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8115" windowHeight="7245"/>
  </bookViews>
  <sheets>
    <sheet name="productExport_3f29e52ad3d5cb88e" sheetId="1" r:id="rId1"/>
  </sheets>
  <calcPr calcId="0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K5454" i="1"/>
  <c r="L5454" i="1"/>
  <c r="K5455" i="1"/>
  <c r="L5455" i="1"/>
  <c r="K5456" i="1"/>
  <c r="L5456" i="1"/>
  <c r="K5457" i="1"/>
  <c r="L5457" i="1"/>
  <c r="K5458" i="1"/>
  <c r="L5458" i="1"/>
  <c r="K5459" i="1"/>
  <c r="L5459" i="1"/>
  <c r="K5460" i="1"/>
  <c r="L5460" i="1"/>
  <c r="K5461" i="1"/>
  <c r="L5461" i="1"/>
  <c r="K5462" i="1"/>
  <c r="L5462" i="1"/>
  <c r="K5463" i="1"/>
  <c r="L5463" i="1"/>
  <c r="K5464" i="1"/>
  <c r="L5464" i="1"/>
  <c r="K5465" i="1"/>
  <c r="L5465" i="1"/>
  <c r="K5466" i="1"/>
  <c r="L5466" i="1"/>
  <c r="K5467" i="1"/>
  <c r="L5467" i="1"/>
  <c r="K5468" i="1"/>
  <c r="L5468" i="1"/>
  <c r="K5469" i="1"/>
  <c r="L5469" i="1"/>
  <c r="K5470" i="1"/>
  <c r="L5470" i="1"/>
  <c r="K5471" i="1"/>
  <c r="L5471" i="1"/>
  <c r="K5472" i="1"/>
  <c r="L5472" i="1"/>
  <c r="K5473" i="1"/>
  <c r="L5473" i="1"/>
  <c r="K5474" i="1"/>
  <c r="L5474" i="1"/>
  <c r="K5475" i="1"/>
  <c r="L5475" i="1"/>
  <c r="K5476" i="1"/>
  <c r="L5476" i="1"/>
  <c r="K5477" i="1"/>
  <c r="L5477" i="1"/>
  <c r="K5478" i="1"/>
  <c r="L5478" i="1"/>
  <c r="K5479" i="1"/>
  <c r="L5479" i="1"/>
  <c r="K5480" i="1"/>
  <c r="L5480" i="1"/>
  <c r="K5481" i="1"/>
  <c r="L5481" i="1"/>
  <c r="K5482" i="1"/>
  <c r="L5482" i="1"/>
  <c r="K5483" i="1"/>
  <c r="L5483" i="1"/>
  <c r="K5484" i="1"/>
  <c r="L5484" i="1"/>
  <c r="K5485" i="1"/>
  <c r="L5485" i="1"/>
  <c r="K5486" i="1"/>
  <c r="L5486" i="1"/>
  <c r="K5487" i="1"/>
  <c r="L5487" i="1"/>
  <c r="K5488" i="1"/>
  <c r="L5488" i="1"/>
  <c r="K5489" i="1"/>
  <c r="L5489" i="1"/>
  <c r="K5490" i="1"/>
  <c r="L5490" i="1"/>
  <c r="K5491" i="1"/>
  <c r="L5491" i="1"/>
  <c r="K5492" i="1"/>
  <c r="L5492" i="1"/>
  <c r="K5493" i="1"/>
  <c r="L5493" i="1"/>
  <c r="K5494" i="1"/>
  <c r="L5494" i="1"/>
  <c r="K5495" i="1"/>
  <c r="L5495" i="1"/>
  <c r="K5496" i="1"/>
  <c r="L5496" i="1"/>
  <c r="K5497" i="1"/>
  <c r="L5497" i="1"/>
  <c r="K5498" i="1"/>
  <c r="L5498" i="1"/>
  <c r="K5499" i="1"/>
  <c r="L5499" i="1"/>
  <c r="K5500" i="1"/>
  <c r="L5500" i="1"/>
  <c r="K5501" i="1"/>
  <c r="L5501" i="1"/>
  <c r="K5502" i="1"/>
  <c r="L5502" i="1"/>
  <c r="K5503" i="1"/>
  <c r="L5503" i="1"/>
  <c r="K5504" i="1"/>
  <c r="L5504" i="1"/>
  <c r="K5505" i="1"/>
  <c r="L5505" i="1"/>
  <c r="K5506" i="1"/>
  <c r="L5506" i="1"/>
  <c r="K5507" i="1"/>
  <c r="L5507" i="1"/>
  <c r="K5508" i="1"/>
  <c r="L5508" i="1"/>
  <c r="K5509" i="1"/>
  <c r="L5509" i="1"/>
  <c r="K5510" i="1"/>
  <c r="L5510" i="1"/>
  <c r="K5511" i="1"/>
  <c r="L5511" i="1"/>
  <c r="K5512" i="1"/>
  <c r="L5512" i="1"/>
  <c r="K5513" i="1"/>
  <c r="L5513" i="1"/>
  <c r="K5514" i="1"/>
  <c r="L5514" i="1"/>
  <c r="K5515" i="1"/>
  <c r="L5515" i="1"/>
  <c r="K5516" i="1"/>
  <c r="L5516" i="1"/>
  <c r="K5517" i="1"/>
  <c r="L5517" i="1"/>
  <c r="K5518" i="1"/>
  <c r="L5518" i="1"/>
  <c r="K5519" i="1"/>
  <c r="L5519" i="1"/>
  <c r="K5520" i="1"/>
  <c r="L5520" i="1"/>
  <c r="K5521" i="1"/>
  <c r="L5521" i="1"/>
  <c r="K5522" i="1"/>
  <c r="L5522" i="1"/>
  <c r="K5523" i="1"/>
  <c r="L5523" i="1"/>
  <c r="K5524" i="1"/>
  <c r="L5524" i="1"/>
  <c r="K5525" i="1"/>
  <c r="L5525" i="1"/>
  <c r="K5526" i="1"/>
  <c r="L5526" i="1"/>
  <c r="K5527" i="1"/>
  <c r="L5527" i="1"/>
  <c r="K5528" i="1"/>
  <c r="L5528" i="1"/>
  <c r="K5529" i="1"/>
  <c r="L5529" i="1"/>
  <c r="K5530" i="1"/>
  <c r="L5530" i="1"/>
  <c r="K5531" i="1"/>
  <c r="L5531" i="1"/>
  <c r="K5532" i="1"/>
  <c r="L5532" i="1"/>
  <c r="K5533" i="1"/>
  <c r="L5533" i="1"/>
  <c r="K5534" i="1"/>
  <c r="L5534" i="1"/>
  <c r="K5535" i="1"/>
  <c r="L5535" i="1"/>
  <c r="K5536" i="1"/>
  <c r="L5536" i="1"/>
  <c r="K5537" i="1"/>
  <c r="L5537" i="1"/>
  <c r="K5538" i="1"/>
  <c r="L5538" i="1"/>
  <c r="K5539" i="1"/>
  <c r="L5539" i="1"/>
  <c r="K5540" i="1"/>
  <c r="L5540" i="1"/>
  <c r="K5541" i="1"/>
  <c r="L5541" i="1"/>
  <c r="K5542" i="1"/>
  <c r="L5542" i="1"/>
  <c r="K5543" i="1"/>
  <c r="L5543" i="1"/>
  <c r="K5544" i="1"/>
  <c r="L5544" i="1"/>
  <c r="K5545" i="1"/>
  <c r="L5545" i="1"/>
  <c r="K5546" i="1"/>
  <c r="L5546" i="1"/>
  <c r="K5547" i="1"/>
  <c r="L5547" i="1"/>
  <c r="K5548" i="1"/>
  <c r="L5548" i="1"/>
  <c r="K5549" i="1"/>
  <c r="L5549" i="1"/>
  <c r="K5550" i="1"/>
  <c r="L5550" i="1"/>
  <c r="K5551" i="1"/>
  <c r="L5551" i="1"/>
  <c r="K5552" i="1"/>
  <c r="L5552" i="1"/>
  <c r="K5553" i="1"/>
  <c r="L5553" i="1"/>
  <c r="K5554" i="1"/>
  <c r="L5554" i="1"/>
  <c r="K5555" i="1"/>
  <c r="L5555" i="1"/>
  <c r="K5556" i="1"/>
  <c r="L5556" i="1"/>
  <c r="K5557" i="1"/>
  <c r="L5557" i="1"/>
  <c r="K5558" i="1"/>
  <c r="L5558" i="1"/>
  <c r="K5559" i="1"/>
  <c r="L5559" i="1"/>
  <c r="K5560" i="1"/>
  <c r="L5560" i="1"/>
  <c r="K5561" i="1"/>
  <c r="L5561" i="1"/>
  <c r="K5562" i="1"/>
  <c r="L5562" i="1"/>
  <c r="K5563" i="1"/>
  <c r="L5563" i="1"/>
  <c r="K5564" i="1"/>
  <c r="L5564" i="1"/>
  <c r="K5565" i="1"/>
  <c r="L5565" i="1"/>
  <c r="K5566" i="1"/>
  <c r="L5566" i="1"/>
  <c r="K5567" i="1"/>
  <c r="L5567" i="1"/>
  <c r="K5568" i="1"/>
  <c r="L5568" i="1"/>
  <c r="K5569" i="1"/>
  <c r="L5569" i="1"/>
  <c r="K5570" i="1"/>
  <c r="L5570" i="1"/>
  <c r="K5571" i="1"/>
  <c r="L5571" i="1"/>
  <c r="K5572" i="1"/>
  <c r="L5572" i="1"/>
  <c r="K5573" i="1"/>
  <c r="L5573" i="1"/>
  <c r="K5574" i="1"/>
  <c r="L5574" i="1"/>
  <c r="K5575" i="1"/>
  <c r="L5575" i="1"/>
  <c r="K5576" i="1"/>
  <c r="L5576" i="1"/>
  <c r="K5577" i="1"/>
  <c r="L5577" i="1"/>
  <c r="K5578" i="1"/>
  <c r="L5578" i="1"/>
  <c r="K5579" i="1"/>
  <c r="L5579" i="1"/>
  <c r="K5580" i="1"/>
  <c r="L5580" i="1"/>
  <c r="K5581" i="1"/>
  <c r="L5581" i="1"/>
  <c r="K5582" i="1"/>
  <c r="L5582" i="1"/>
  <c r="K5583" i="1"/>
  <c r="L5583" i="1"/>
  <c r="K5584" i="1"/>
  <c r="L5584" i="1"/>
  <c r="K5585" i="1"/>
  <c r="L5585" i="1"/>
  <c r="K5586" i="1"/>
  <c r="L5586" i="1"/>
  <c r="K5587" i="1"/>
  <c r="L5587" i="1"/>
  <c r="K5588" i="1"/>
  <c r="L5588" i="1"/>
  <c r="K5589" i="1"/>
  <c r="L5589" i="1"/>
  <c r="K5590" i="1"/>
  <c r="L5590" i="1"/>
  <c r="K5591" i="1"/>
  <c r="L5591" i="1"/>
  <c r="K5592" i="1"/>
  <c r="L5592" i="1"/>
  <c r="K5593" i="1"/>
  <c r="L5593" i="1"/>
  <c r="K5594" i="1"/>
  <c r="L5594" i="1"/>
  <c r="K5595" i="1"/>
  <c r="L5595" i="1"/>
  <c r="K5596" i="1"/>
  <c r="L5596" i="1"/>
  <c r="K5597" i="1"/>
  <c r="L5597" i="1"/>
  <c r="K5598" i="1"/>
  <c r="L5598" i="1"/>
  <c r="K5599" i="1"/>
  <c r="L5599" i="1"/>
  <c r="K5600" i="1"/>
  <c r="L5600" i="1"/>
  <c r="K5601" i="1"/>
  <c r="L5601" i="1"/>
  <c r="K5602" i="1"/>
  <c r="L5602" i="1"/>
  <c r="K5603" i="1"/>
  <c r="L5603" i="1"/>
  <c r="K5604" i="1"/>
  <c r="L5604" i="1"/>
  <c r="K5605" i="1"/>
  <c r="L5605" i="1"/>
  <c r="K5606" i="1"/>
  <c r="L5606" i="1"/>
  <c r="K5607" i="1"/>
  <c r="L5607" i="1"/>
  <c r="K5608" i="1"/>
  <c r="L5608" i="1"/>
  <c r="K5609" i="1"/>
  <c r="L5609" i="1"/>
  <c r="K5610" i="1"/>
  <c r="L5610" i="1"/>
  <c r="K5611" i="1"/>
  <c r="L5611" i="1"/>
  <c r="K5612" i="1"/>
  <c r="L5612" i="1"/>
  <c r="K5613" i="1"/>
  <c r="L5613" i="1"/>
  <c r="K5614" i="1"/>
  <c r="L5614" i="1"/>
  <c r="K5615" i="1"/>
  <c r="L5615" i="1"/>
  <c r="K5616" i="1"/>
  <c r="L5616" i="1"/>
  <c r="K5617" i="1"/>
  <c r="L5617" i="1"/>
  <c r="K5618" i="1"/>
  <c r="L5618" i="1"/>
  <c r="K5619" i="1"/>
  <c r="L5619" i="1"/>
  <c r="K5620" i="1"/>
  <c r="L5620" i="1"/>
  <c r="K5621" i="1"/>
  <c r="L5621" i="1"/>
  <c r="K5622" i="1"/>
  <c r="L5622" i="1"/>
  <c r="K5623" i="1"/>
  <c r="L5623" i="1"/>
  <c r="K5624" i="1"/>
  <c r="L5624" i="1"/>
  <c r="K5625" i="1"/>
  <c r="L5625" i="1"/>
  <c r="K5626" i="1"/>
  <c r="L5626" i="1"/>
  <c r="K5627" i="1"/>
  <c r="L5627" i="1"/>
  <c r="K5628" i="1"/>
  <c r="L5628" i="1"/>
  <c r="K5629" i="1"/>
  <c r="L5629" i="1"/>
  <c r="K5630" i="1"/>
  <c r="L5630" i="1"/>
  <c r="K5631" i="1"/>
  <c r="L5631" i="1"/>
  <c r="K5632" i="1"/>
  <c r="L5632" i="1"/>
  <c r="K5633" i="1"/>
  <c r="L5633" i="1"/>
  <c r="K5634" i="1"/>
  <c r="L5634" i="1"/>
  <c r="K5635" i="1"/>
  <c r="L5635" i="1"/>
  <c r="K5636" i="1"/>
  <c r="L5636" i="1"/>
  <c r="K5637" i="1"/>
  <c r="L5637" i="1"/>
  <c r="K5638" i="1"/>
  <c r="L5638" i="1"/>
  <c r="K5639" i="1"/>
  <c r="L5639" i="1"/>
  <c r="K5640" i="1"/>
  <c r="L5640" i="1"/>
  <c r="K5641" i="1"/>
  <c r="L5641" i="1"/>
  <c r="K5642" i="1"/>
  <c r="L5642" i="1"/>
  <c r="K5643" i="1"/>
  <c r="L5643" i="1"/>
  <c r="K5644" i="1"/>
  <c r="L5644" i="1"/>
  <c r="K5645" i="1"/>
  <c r="L5645" i="1"/>
  <c r="K5646" i="1"/>
  <c r="L5646" i="1"/>
  <c r="K5647" i="1"/>
  <c r="L5647" i="1"/>
  <c r="K5648" i="1"/>
  <c r="L5648" i="1"/>
  <c r="K5649" i="1"/>
  <c r="L5649" i="1"/>
  <c r="K5650" i="1"/>
  <c r="L5650" i="1"/>
  <c r="K5651" i="1"/>
  <c r="L5651" i="1"/>
  <c r="K5652" i="1"/>
  <c r="L5652" i="1"/>
  <c r="K5653" i="1"/>
  <c r="L5653" i="1"/>
  <c r="K5654" i="1"/>
  <c r="L5654" i="1"/>
  <c r="K5655" i="1"/>
  <c r="L5655" i="1"/>
  <c r="K5656" i="1"/>
  <c r="L5656" i="1"/>
  <c r="K5657" i="1"/>
  <c r="L5657" i="1"/>
  <c r="K5658" i="1"/>
  <c r="L5658" i="1"/>
  <c r="K5659" i="1"/>
  <c r="L5659" i="1"/>
  <c r="K5660" i="1"/>
  <c r="L5660" i="1"/>
  <c r="K5661" i="1"/>
  <c r="L5661" i="1"/>
  <c r="K5662" i="1"/>
  <c r="L5662" i="1"/>
  <c r="K5663" i="1"/>
  <c r="L5663" i="1"/>
  <c r="K5664" i="1"/>
  <c r="L5664" i="1"/>
  <c r="K5665" i="1"/>
  <c r="L5665" i="1"/>
  <c r="K5666" i="1"/>
  <c r="L5666" i="1"/>
  <c r="K5667" i="1"/>
  <c r="L5667" i="1"/>
  <c r="K5668" i="1"/>
  <c r="L5668" i="1"/>
  <c r="K5669" i="1"/>
  <c r="L5669" i="1"/>
  <c r="K5670" i="1"/>
  <c r="L5670" i="1"/>
  <c r="K5671" i="1"/>
  <c r="L5671" i="1"/>
  <c r="K5672" i="1"/>
  <c r="L5672" i="1"/>
  <c r="K5673" i="1"/>
  <c r="L5673" i="1"/>
  <c r="K5674" i="1"/>
  <c r="L5674" i="1"/>
  <c r="K5675" i="1"/>
  <c r="L5675" i="1"/>
  <c r="K5676" i="1"/>
  <c r="L5676" i="1"/>
  <c r="K5677" i="1"/>
  <c r="L5677" i="1"/>
  <c r="K5678" i="1"/>
  <c r="L5678" i="1"/>
  <c r="K5679" i="1"/>
  <c r="L5679" i="1"/>
  <c r="K5680" i="1"/>
  <c r="L5680" i="1"/>
  <c r="K5681" i="1"/>
  <c r="L5681" i="1"/>
  <c r="K5682" i="1"/>
  <c r="L5682" i="1"/>
  <c r="K5683" i="1"/>
  <c r="L5683" i="1"/>
  <c r="K5684" i="1"/>
  <c r="L5684" i="1"/>
  <c r="K5685" i="1"/>
  <c r="L5685" i="1"/>
  <c r="K5686" i="1"/>
  <c r="L5686" i="1"/>
  <c r="K5687" i="1"/>
  <c r="L5687" i="1"/>
  <c r="K5688" i="1"/>
  <c r="L5688" i="1"/>
  <c r="K5689" i="1"/>
  <c r="L5689" i="1"/>
  <c r="K5690" i="1"/>
  <c r="L5690" i="1"/>
  <c r="K5691" i="1"/>
  <c r="L5691" i="1"/>
  <c r="K5692" i="1"/>
  <c r="L5692" i="1"/>
  <c r="K5693" i="1"/>
  <c r="L5693" i="1"/>
  <c r="K5694" i="1"/>
  <c r="L5694" i="1"/>
  <c r="K5695" i="1"/>
  <c r="L5695" i="1"/>
  <c r="K5696" i="1"/>
  <c r="L5696" i="1"/>
  <c r="K5697" i="1"/>
  <c r="L5697" i="1"/>
  <c r="K5698" i="1"/>
  <c r="L5698" i="1"/>
  <c r="K5699" i="1"/>
  <c r="L5699" i="1"/>
  <c r="K5700" i="1"/>
  <c r="L5700" i="1"/>
  <c r="K5701" i="1"/>
  <c r="L5701" i="1"/>
  <c r="K5702" i="1"/>
  <c r="L5702" i="1"/>
  <c r="K5703" i="1"/>
  <c r="L5703" i="1"/>
  <c r="K5704" i="1"/>
  <c r="L5704" i="1"/>
  <c r="K5705" i="1"/>
  <c r="L5705" i="1"/>
  <c r="K5706" i="1"/>
  <c r="L5706" i="1"/>
  <c r="K5707" i="1"/>
  <c r="L5707" i="1"/>
  <c r="K5708" i="1"/>
  <c r="L5708" i="1"/>
  <c r="K5709" i="1"/>
  <c r="L5709" i="1"/>
  <c r="K5710" i="1"/>
  <c r="L5710" i="1"/>
  <c r="K5711" i="1"/>
  <c r="L5711" i="1"/>
  <c r="K5712" i="1"/>
  <c r="L5712" i="1"/>
  <c r="K5713" i="1"/>
  <c r="L5713" i="1"/>
  <c r="K5714" i="1"/>
  <c r="L5714" i="1"/>
  <c r="K5715" i="1"/>
  <c r="L5715" i="1"/>
  <c r="K5716" i="1"/>
  <c r="L5716" i="1"/>
  <c r="K5717" i="1"/>
  <c r="L5717" i="1"/>
  <c r="K5718" i="1"/>
  <c r="L5718" i="1"/>
  <c r="K5719" i="1"/>
  <c r="L5719" i="1"/>
  <c r="K5720" i="1"/>
  <c r="L5720" i="1"/>
  <c r="K5721" i="1"/>
  <c r="L5721" i="1"/>
  <c r="K5722" i="1"/>
  <c r="L5722" i="1"/>
  <c r="K5723" i="1"/>
  <c r="L5723" i="1"/>
  <c r="K5724" i="1"/>
  <c r="L5724" i="1"/>
  <c r="K5725" i="1"/>
  <c r="L5725" i="1"/>
  <c r="K5726" i="1"/>
  <c r="L5726" i="1"/>
  <c r="K5727" i="1"/>
  <c r="L5727" i="1"/>
  <c r="K5728" i="1"/>
  <c r="L5728" i="1"/>
  <c r="K5729" i="1"/>
  <c r="L5729" i="1"/>
  <c r="K5730" i="1"/>
  <c r="L5730" i="1"/>
  <c r="K5731" i="1"/>
  <c r="L5731" i="1"/>
  <c r="K5732" i="1"/>
  <c r="L5732" i="1"/>
  <c r="K5733" i="1"/>
  <c r="L5733" i="1"/>
  <c r="K5734" i="1"/>
  <c r="L5734" i="1"/>
  <c r="K5735" i="1"/>
  <c r="L5735" i="1"/>
  <c r="K5736" i="1"/>
  <c r="L5736" i="1"/>
  <c r="K5737" i="1"/>
  <c r="L5737" i="1"/>
  <c r="K5738" i="1"/>
  <c r="L5738" i="1"/>
  <c r="K5739" i="1"/>
  <c r="L5739" i="1"/>
  <c r="K5740" i="1"/>
  <c r="L5740" i="1"/>
  <c r="K5741" i="1"/>
  <c r="L5741" i="1"/>
  <c r="K5742" i="1"/>
  <c r="L5742" i="1"/>
  <c r="K5743" i="1"/>
  <c r="L5743" i="1"/>
  <c r="K5744" i="1"/>
  <c r="L5744" i="1"/>
  <c r="K5745" i="1"/>
  <c r="L5745" i="1"/>
  <c r="K5746" i="1"/>
  <c r="L5746" i="1"/>
  <c r="K5747" i="1"/>
  <c r="L5747" i="1"/>
  <c r="K5748" i="1"/>
  <c r="L5748" i="1"/>
  <c r="K5749" i="1"/>
  <c r="L5749" i="1"/>
  <c r="K5750" i="1"/>
  <c r="L5750" i="1"/>
  <c r="K5751" i="1"/>
  <c r="L5751" i="1"/>
  <c r="K5752" i="1"/>
  <c r="L5752" i="1"/>
  <c r="K5753" i="1"/>
  <c r="L5753" i="1"/>
  <c r="K5754" i="1"/>
  <c r="L5754" i="1"/>
  <c r="K5755" i="1"/>
  <c r="L5755" i="1"/>
  <c r="K5756" i="1"/>
  <c r="L5756" i="1"/>
  <c r="K5757" i="1"/>
  <c r="L5757" i="1"/>
  <c r="K5758" i="1"/>
  <c r="L5758" i="1"/>
  <c r="K5759" i="1"/>
  <c r="L5759" i="1"/>
  <c r="K5760" i="1"/>
  <c r="L5760" i="1"/>
  <c r="K5761" i="1"/>
  <c r="L5761" i="1"/>
  <c r="K5762" i="1"/>
  <c r="L5762" i="1"/>
  <c r="K5763" i="1"/>
  <c r="L5763" i="1"/>
  <c r="K5764" i="1"/>
  <c r="L5764" i="1"/>
  <c r="K5765" i="1"/>
  <c r="L5765" i="1"/>
  <c r="K5766" i="1"/>
  <c r="L5766" i="1"/>
  <c r="K5767" i="1"/>
  <c r="L5767" i="1"/>
  <c r="K5768" i="1"/>
  <c r="L5768" i="1"/>
  <c r="K5769" i="1"/>
  <c r="L5769" i="1"/>
  <c r="K5770" i="1"/>
  <c r="L5770" i="1"/>
  <c r="K5771" i="1"/>
  <c r="L5771" i="1"/>
  <c r="K5772" i="1"/>
  <c r="L5772" i="1"/>
  <c r="K5773" i="1"/>
  <c r="L5773" i="1"/>
  <c r="K5774" i="1"/>
  <c r="L5774" i="1"/>
  <c r="K5775" i="1"/>
  <c r="L5775" i="1"/>
  <c r="K5776" i="1"/>
  <c r="L5776" i="1"/>
  <c r="K5777" i="1"/>
  <c r="L5777" i="1"/>
  <c r="K5778" i="1"/>
  <c r="L5778" i="1"/>
  <c r="K5779" i="1"/>
  <c r="L5779" i="1"/>
  <c r="K5780" i="1"/>
  <c r="L5780" i="1"/>
  <c r="K5781" i="1"/>
  <c r="L5781" i="1"/>
  <c r="K5782" i="1"/>
  <c r="L5782" i="1"/>
  <c r="K5783" i="1"/>
  <c r="L5783" i="1"/>
  <c r="K5784" i="1"/>
  <c r="L5784" i="1"/>
  <c r="K5785" i="1"/>
  <c r="L5785" i="1"/>
  <c r="K5786" i="1"/>
  <c r="L5786" i="1"/>
  <c r="K5787" i="1"/>
  <c r="L5787" i="1"/>
  <c r="K5788" i="1"/>
  <c r="L5788" i="1"/>
  <c r="K5789" i="1"/>
  <c r="L5789" i="1"/>
  <c r="K5790" i="1"/>
  <c r="L5790" i="1"/>
  <c r="K5791" i="1"/>
  <c r="L5791" i="1"/>
  <c r="K5792" i="1"/>
  <c r="L5792" i="1"/>
  <c r="K5793" i="1"/>
  <c r="L5793" i="1"/>
  <c r="K5794" i="1"/>
  <c r="L5794" i="1"/>
  <c r="K5795" i="1"/>
  <c r="L5795" i="1"/>
  <c r="K5796" i="1"/>
  <c r="L5796" i="1"/>
  <c r="K5797" i="1"/>
  <c r="L5797" i="1"/>
  <c r="K5798" i="1"/>
  <c r="L5798" i="1"/>
  <c r="K5799" i="1"/>
  <c r="L5799" i="1"/>
  <c r="K5800" i="1"/>
  <c r="L5800" i="1"/>
  <c r="K5801" i="1"/>
  <c r="L5801" i="1"/>
  <c r="K5802" i="1"/>
  <c r="L5802" i="1"/>
  <c r="K5803" i="1"/>
  <c r="L5803" i="1"/>
  <c r="K5804" i="1"/>
  <c r="L5804" i="1"/>
  <c r="K5805" i="1"/>
  <c r="L5805" i="1"/>
  <c r="K5806" i="1"/>
  <c r="L5806" i="1"/>
  <c r="K5807" i="1"/>
  <c r="L5807" i="1"/>
  <c r="K5808" i="1"/>
  <c r="L5808" i="1"/>
  <c r="K5809" i="1"/>
  <c r="L5809" i="1"/>
  <c r="K5810" i="1"/>
  <c r="L5810" i="1"/>
  <c r="K5811" i="1"/>
  <c r="L5811" i="1"/>
  <c r="K5812" i="1"/>
  <c r="L5812" i="1"/>
  <c r="K5813" i="1"/>
  <c r="L5813" i="1"/>
  <c r="K5814" i="1"/>
  <c r="L5814" i="1"/>
  <c r="K5815" i="1"/>
  <c r="L5815" i="1"/>
  <c r="K5816" i="1"/>
  <c r="L5816" i="1"/>
  <c r="K5817" i="1"/>
  <c r="L5817" i="1"/>
  <c r="K5818" i="1"/>
  <c r="L5818" i="1"/>
  <c r="K5819" i="1"/>
  <c r="L5819" i="1"/>
  <c r="K5820" i="1"/>
  <c r="L5820" i="1"/>
  <c r="K5821" i="1"/>
  <c r="L5821" i="1"/>
  <c r="K5822" i="1"/>
  <c r="L5822" i="1"/>
  <c r="K5823" i="1"/>
  <c r="L5823" i="1"/>
  <c r="K5824" i="1"/>
  <c r="L5824" i="1"/>
  <c r="K5825" i="1"/>
  <c r="L5825" i="1"/>
  <c r="K5826" i="1"/>
  <c r="L5826" i="1"/>
  <c r="K5827" i="1"/>
  <c r="L5827" i="1"/>
  <c r="K5828" i="1"/>
  <c r="L5828" i="1"/>
  <c r="K5829" i="1"/>
  <c r="L5829" i="1"/>
  <c r="K5830" i="1"/>
  <c r="L5830" i="1"/>
  <c r="K5831" i="1"/>
  <c r="L5831" i="1"/>
  <c r="K5832" i="1"/>
  <c r="L5832" i="1"/>
  <c r="K5833" i="1"/>
  <c r="L5833" i="1"/>
  <c r="K5834" i="1"/>
  <c r="L5834" i="1"/>
  <c r="K5835" i="1"/>
  <c r="L5835" i="1"/>
  <c r="K5836" i="1"/>
  <c r="L5836" i="1"/>
  <c r="K5837" i="1"/>
  <c r="L5837" i="1"/>
  <c r="K5838" i="1"/>
  <c r="L5838" i="1"/>
  <c r="K5839" i="1"/>
  <c r="L5839" i="1"/>
  <c r="K5840" i="1"/>
  <c r="L5840" i="1"/>
  <c r="K5841" i="1"/>
  <c r="L5841" i="1"/>
  <c r="K5842" i="1"/>
  <c r="L5842" i="1"/>
  <c r="K5843" i="1"/>
  <c r="L5843" i="1"/>
  <c r="K5844" i="1"/>
  <c r="L5844" i="1"/>
  <c r="K5845" i="1"/>
  <c r="L5845" i="1"/>
  <c r="K5846" i="1"/>
  <c r="L5846" i="1"/>
  <c r="K5847" i="1"/>
  <c r="L5847" i="1"/>
  <c r="K5848" i="1"/>
  <c r="L5848" i="1"/>
  <c r="K5849" i="1"/>
  <c r="L5849" i="1"/>
  <c r="K5850" i="1"/>
  <c r="L5850" i="1"/>
  <c r="K5851" i="1"/>
  <c r="L5851" i="1"/>
  <c r="K5852" i="1"/>
  <c r="L5852" i="1"/>
  <c r="K5853" i="1"/>
  <c r="L5853" i="1"/>
  <c r="K5854" i="1"/>
  <c r="L5854" i="1"/>
  <c r="K5855" i="1"/>
  <c r="L5855" i="1"/>
  <c r="K5856" i="1"/>
  <c r="L5856" i="1"/>
  <c r="K5857" i="1"/>
  <c r="L5857" i="1"/>
  <c r="K5858" i="1"/>
  <c r="L5858" i="1"/>
  <c r="K5859" i="1"/>
  <c r="L5859" i="1"/>
  <c r="K5860" i="1"/>
  <c r="L5860" i="1"/>
  <c r="K5861" i="1"/>
  <c r="L5861" i="1"/>
  <c r="K5862" i="1"/>
  <c r="L5862" i="1"/>
  <c r="K5863" i="1"/>
  <c r="L5863" i="1"/>
  <c r="K5864" i="1"/>
  <c r="L5864" i="1"/>
  <c r="K5865" i="1"/>
  <c r="L5865" i="1"/>
  <c r="K5866" i="1"/>
  <c r="L5866" i="1"/>
  <c r="K5867" i="1"/>
  <c r="L5867" i="1"/>
  <c r="K5868" i="1"/>
  <c r="L5868" i="1"/>
  <c r="K5869" i="1"/>
  <c r="L5869" i="1"/>
  <c r="K5870" i="1"/>
  <c r="L5870" i="1"/>
  <c r="K5871" i="1"/>
  <c r="L5871" i="1"/>
  <c r="K5872" i="1"/>
  <c r="L5872" i="1"/>
  <c r="K5873" i="1"/>
  <c r="L5873" i="1"/>
  <c r="K5874" i="1"/>
  <c r="L5874" i="1"/>
  <c r="K5875" i="1"/>
  <c r="L5875" i="1"/>
  <c r="K5876" i="1"/>
  <c r="L5876" i="1"/>
  <c r="K5877" i="1"/>
  <c r="L5877" i="1"/>
  <c r="K5878" i="1"/>
  <c r="L5878" i="1"/>
  <c r="K5879" i="1"/>
  <c r="L5879" i="1"/>
  <c r="K5880" i="1"/>
  <c r="L5880" i="1"/>
  <c r="K5881" i="1"/>
  <c r="L5881" i="1"/>
  <c r="K5882" i="1"/>
  <c r="L5882" i="1"/>
  <c r="K5883" i="1"/>
  <c r="L5883" i="1"/>
  <c r="K5884" i="1"/>
  <c r="L5884" i="1"/>
  <c r="K5885" i="1"/>
  <c r="L5885" i="1"/>
  <c r="K5886" i="1"/>
  <c r="L5886" i="1"/>
  <c r="K5887" i="1"/>
  <c r="L5887" i="1"/>
  <c r="K5888" i="1"/>
  <c r="L5888" i="1"/>
  <c r="K5889" i="1"/>
  <c r="L5889" i="1"/>
  <c r="K5890" i="1"/>
  <c r="L5890" i="1"/>
  <c r="K5891" i="1"/>
  <c r="L5891" i="1"/>
  <c r="K5892" i="1"/>
  <c r="L5892" i="1"/>
  <c r="K5893" i="1"/>
  <c r="L5893" i="1"/>
  <c r="K5894" i="1"/>
  <c r="L5894" i="1"/>
  <c r="K5895" i="1"/>
  <c r="L5895" i="1"/>
  <c r="K5896" i="1"/>
  <c r="L5896" i="1"/>
  <c r="K5897" i="1"/>
  <c r="L5897" i="1"/>
  <c r="K5898" i="1"/>
  <c r="L5898" i="1"/>
  <c r="K5899" i="1"/>
  <c r="L5899" i="1"/>
  <c r="K5900" i="1"/>
  <c r="L5900" i="1"/>
  <c r="K5901" i="1"/>
  <c r="L5901" i="1"/>
  <c r="K5902" i="1"/>
  <c r="L5902" i="1"/>
  <c r="K5903" i="1"/>
  <c r="L5903" i="1"/>
  <c r="K5904" i="1"/>
  <c r="L5904" i="1"/>
  <c r="K5905" i="1"/>
  <c r="L5905" i="1"/>
  <c r="K5906" i="1"/>
  <c r="L5906" i="1"/>
  <c r="K5907" i="1"/>
  <c r="L5907" i="1"/>
  <c r="K5908" i="1"/>
  <c r="L5908" i="1"/>
  <c r="K5909" i="1"/>
  <c r="L5909" i="1"/>
  <c r="K5910" i="1"/>
  <c r="L5910" i="1"/>
  <c r="K5911" i="1"/>
  <c r="L5911" i="1"/>
  <c r="K5912" i="1"/>
  <c r="L5912" i="1"/>
  <c r="K5913" i="1"/>
  <c r="L5913" i="1"/>
  <c r="K5914" i="1"/>
  <c r="L5914" i="1"/>
  <c r="K5915" i="1"/>
  <c r="L5915" i="1"/>
  <c r="K5916" i="1"/>
  <c r="L5916" i="1"/>
  <c r="K5917" i="1"/>
  <c r="L5917" i="1"/>
  <c r="K5918" i="1"/>
  <c r="L5918" i="1"/>
  <c r="K5919" i="1"/>
  <c r="L5919" i="1"/>
  <c r="K5920" i="1"/>
  <c r="L5920" i="1"/>
  <c r="K5921" i="1"/>
  <c r="L5921" i="1"/>
  <c r="K5922" i="1"/>
  <c r="L5922" i="1"/>
  <c r="K5923" i="1"/>
  <c r="L5923" i="1"/>
  <c r="K5924" i="1"/>
  <c r="L5924" i="1"/>
  <c r="K5925" i="1"/>
  <c r="L5925" i="1"/>
  <c r="K5926" i="1"/>
  <c r="L5926" i="1"/>
  <c r="K5927" i="1"/>
  <c r="L5927" i="1"/>
  <c r="K5928" i="1"/>
  <c r="L5928" i="1"/>
  <c r="K5929" i="1"/>
  <c r="L5929" i="1"/>
  <c r="K5930" i="1"/>
  <c r="L5930" i="1"/>
  <c r="K5931" i="1"/>
  <c r="L5931" i="1"/>
  <c r="K5932" i="1"/>
  <c r="L5932" i="1"/>
  <c r="K5933" i="1"/>
  <c r="L5933" i="1"/>
  <c r="K5934" i="1"/>
  <c r="L5934" i="1"/>
  <c r="K5935" i="1"/>
  <c r="L5935" i="1"/>
  <c r="K5936" i="1"/>
  <c r="L5936" i="1"/>
  <c r="K5937" i="1"/>
  <c r="L5937" i="1"/>
  <c r="K5938" i="1"/>
  <c r="L5938" i="1"/>
  <c r="K5939" i="1"/>
  <c r="L5939" i="1"/>
  <c r="K5940" i="1"/>
  <c r="L5940" i="1"/>
  <c r="K5941" i="1"/>
  <c r="L5941" i="1"/>
  <c r="K5942" i="1"/>
  <c r="L5942" i="1"/>
  <c r="K5943" i="1"/>
  <c r="L5943" i="1"/>
  <c r="K5944" i="1"/>
  <c r="L5944" i="1"/>
  <c r="K5945" i="1"/>
  <c r="L5945" i="1"/>
  <c r="K5946" i="1"/>
  <c r="L5946" i="1"/>
  <c r="K5947" i="1"/>
  <c r="L5947" i="1"/>
  <c r="K5948" i="1"/>
  <c r="L5948" i="1"/>
  <c r="K5949" i="1"/>
  <c r="L5949" i="1"/>
  <c r="K5950" i="1"/>
  <c r="L5950" i="1"/>
  <c r="K5951" i="1"/>
  <c r="L5951" i="1"/>
  <c r="K5952" i="1"/>
  <c r="L5952" i="1"/>
  <c r="K5953" i="1"/>
  <c r="L5953" i="1"/>
  <c r="K5954" i="1"/>
  <c r="L5954" i="1"/>
  <c r="K5955" i="1"/>
  <c r="L5955" i="1"/>
  <c r="K5956" i="1"/>
  <c r="L5956" i="1"/>
  <c r="K5957" i="1"/>
  <c r="L5957" i="1"/>
  <c r="K5958" i="1"/>
  <c r="L5958" i="1"/>
  <c r="K5959" i="1"/>
  <c r="L5959" i="1"/>
  <c r="K5960" i="1"/>
  <c r="L5960" i="1"/>
  <c r="K5961" i="1"/>
  <c r="L5961" i="1"/>
  <c r="K5962" i="1"/>
  <c r="L5962" i="1"/>
  <c r="K5963" i="1"/>
  <c r="L5963" i="1"/>
  <c r="K5964" i="1"/>
  <c r="L5964" i="1"/>
  <c r="K5965" i="1"/>
  <c r="L5965" i="1"/>
  <c r="K5966" i="1"/>
  <c r="L5966" i="1"/>
  <c r="K5967" i="1"/>
  <c r="L5967" i="1"/>
  <c r="K5968" i="1"/>
  <c r="L5968" i="1"/>
  <c r="K5969" i="1"/>
  <c r="L5969" i="1"/>
  <c r="K5970" i="1"/>
  <c r="L5970" i="1"/>
  <c r="K5971" i="1"/>
  <c r="L5971" i="1"/>
  <c r="K5972" i="1"/>
  <c r="L5972" i="1"/>
  <c r="K5973" i="1"/>
  <c r="L5973" i="1"/>
  <c r="K5974" i="1"/>
  <c r="L5974" i="1"/>
  <c r="K5975" i="1"/>
  <c r="L5975" i="1"/>
  <c r="K5976" i="1"/>
  <c r="L5976" i="1"/>
  <c r="K5977" i="1"/>
  <c r="L5977" i="1"/>
  <c r="K5978" i="1"/>
  <c r="L5978" i="1"/>
  <c r="K5979" i="1"/>
  <c r="L5979" i="1"/>
  <c r="K5980" i="1"/>
  <c r="L5980" i="1"/>
  <c r="K5981" i="1"/>
  <c r="L5981" i="1"/>
  <c r="K5982" i="1"/>
  <c r="L5982" i="1"/>
  <c r="K5983" i="1"/>
  <c r="L5983" i="1"/>
  <c r="K5984" i="1"/>
  <c r="L5984" i="1"/>
  <c r="K5985" i="1"/>
  <c r="L5985" i="1"/>
  <c r="K5986" i="1"/>
  <c r="L5986" i="1"/>
  <c r="K5987" i="1"/>
  <c r="L5987" i="1"/>
  <c r="K5988" i="1"/>
  <c r="L5988" i="1"/>
  <c r="K5989" i="1"/>
  <c r="L5989" i="1"/>
  <c r="K5990" i="1"/>
  <c r="L5990" i="1"/>
  <c r="K5991" i="1"/>
  <c r="L5991" i="1"/>
  <c r="K5992" i="1"/>
  <c r="L5992" i="1"/>
  <c r="K5993" i="1"/>
  <c r="L5993" i="1"/>
  <c r="K5994" i="1"/>
  <c r="L5994" i="1"/>
  <c r="K5995" i="1"/>
  <c r="L5995" i="1"/>
  <c r="K5996" i="1"/>
  <c r="L5996" i="1"/>
  <c r="K5997" i="1"/>
  <c r="L5997" i="1"/>
  <c r="K5998" i="1"/>
  <c r="L5998" i="1"/>
  <c r="K5999" i="1"/>
  <c r="L5999" i="1"/>
  <c r="K6000" i="1"/>
  <c r="L6000" i="1"/>
  <c r="K6001" i="1"/>
  <c r="L6001" i="1"/>
  <c r="K6002" i="1"/>
  <c r="L6002" i="1"/>
  <c r="K6003" i="1"/>
  <c r="L6003" i="1"/>
  <c r="K6004" i="1"/>
  <c r="L6004" i="1"/>
  <c r="K6005" i="1"/>
  <c r="L6005" i="1"/>
  <c r="K6006" i="1"/>
  <c r="L6006" i="1"/>
  <c r="K6007" i="1"/>
  <c r="L6007" i="1"/>
  <c r="K6008" i="1"/>
  <c r="L6008" i="1"/>
  <c r="K6009" i="1"/>
  <c r="L6009" i="1"/>
  <c r="K6010" i="1"/>
  <c r="L6010" i="1"/>
  <c r="K6011" i="1"/>
  <c r="L6011" i="1"/>
  <c r="K6012" i="1"/>
  <c r="L6012" i="1"/>
  <c r="K6013" i="1"/>
  <c r="L6013" i="1"/>
  <c r="K6014" i="1"/>
  <c r="L6014" i="1"/>
  <c r="K6015" i="1"/>
  <c r="L6015" i="1"/>
  <c r="K6016" i="1"/>
  <c r="L6016" i="1"/>
  <c r="K6017" i="1"/>
  <c r="L6017" i="1"/>
  <c r="K6018" i="1"/>
  <c r="L6018" i="1"/>
  <c r="K6019" i="1"/>
  <c r="L6019" i="1"/>
  <c r="K6020" i="1"/>
  <c r="L6020" i="1"/>
  <c r="K6021" i="1"/>
  <c r="L6021" i="1"/>
  <c r="K6022" i="1"/>
  <c r="L6022" i="1"/>
  <c r="K6023" i="1"/>
  <c r="L6023" i="1"/>
  <c r="K6024" i="1"/>
  <c r="L6024" i="1"/>
  <c r="K6025" i="1"/>
  <c r="L6025" i="1"/>
  <c r="K6026" i="1"/>
  <c r="L6026" i="1"/>
  <c r="K6027" i="1"/>
  <c r="L6027" i="1"/>
  <c r="K6028" i="1"/>
  <c r="L6028" i="1"/>
  <c r="K6029" i="1"/>
  <c r="L6029" i="1"/>
  <c r="K6030" i="1"/>
  <c r="L6030" i="1"/>
  <c r="K6031" i="1"/>
  <c r="L6031" i="1"/>
  <c r="K6032" i="1"/>
  <c r="L6032" i="1"/>
  <c r="K6033" i="1"/>
  <c r="L6033" i="1"/>
  <c r="K6034" i="1"/>
  <c r="L6034" i="1"/>
  <c r="K6035" i="1"/>
  <c r="L6035" i="1"/>
  <c r="K6036" i="1"/>
  <c r="L6036" i="1"/>
  <c r="K6037" i="1"/>
  <c r="L6037" i="1"/>
  <c r="K6038" i="1"/>
  <c r="L6038" i="1"/>
  <c r="K6039" i="1"/>
  <c r="L6039" i="1"/>
  <c r="K6040" i="1"/>
  <c r="L6040" i="1"/>
  <c r="K6041" i="1"/>
  <c r="L6041" i="1"/>
  <c r="K6042" i="1"/>
  <c r="L6042" i="1"/>
  <c r="K6043" i="1"/>
  <c r="L6043" i="1"/>
  <c r="K6044" i="1"/>
  <c r="L6044" i="1"/>
  <c r="K6045" i="1"/>
  <c r="L6045" i="1"/>
  <c r="K6046" i="1"/>
  <c r="L6046" i="1"/>
  <c r="K6047" i="1"/>
  <c r="L6047" i="1"/>
  <c r="K6048" i="1"/>
  <c r="L6048" i="1"/>
  <c r="K6049" i="1"/>
  <c r="L6049" i="1"/>
  <c r="K6050" i="1"/>
  <c r="L6050" i="1"/>
  <c r="K6051" i="1"/>
  <c r="L6051" i="1"/>
  <c r="K6052" i="1"/>
  <c r="L6052" i="1"/>
  <c r="K6053" i="1"/>
  <c r="L6053" i="1"/>
  <c r="K6054" i="1"/>
  <c r="L6054" i="1"/>
  <c r="K6055" i="1"/>
  <c r="L6055" i="1"/>
  <c r="K6056" i="1"/>
  <c r="L6056" i="1"/>
  <c r="K6057" i="1"/>
  <c r="L6057" i="1"/>
  <c r="K6058" i="1"/>
  <c r="L6058" i="1"/>
  <c r="K6059" i="1"/>
  <c r="L6059" i="1"/>
  <c r="K6060" i="1"/>
  <c r="L6060" i="1"/>
  <c r="K6061" i="1"/>
  <c r="L6061" i="1"/>
  <c r="K6062" i="1"/>
  <c r="L6062" i="1"/>
  <c r="K6063" i="1"/>
  <c r="L6063" i="1"/>
  <c r="K6064" i="1"/>
  <c r="L6064" i="1"/>
  <c r="K6065" i="1"/>
  <c r="L6065" i="1"/>
  <c r="K6066" i="1"/>
  <c r="L6066" i="1"/>
  <c r="K6067" i="1"/>
  <c r="L6067" i="1"/>
  <c r="K6068" i="1"/>
  <c r="L6068" i="1"/>
  <c r="K6069" i="1"/>
  <c r="L6069" i="1"/>
  <c r="K6070" i="1"/>
  <c r="L6070" i="1"/>
  <c r="K6071" i="1"/>
  <c r="L6071" i="1"/>
  <c r="K6072" i="1"/>
  <c r="L6072" i="1"/>
  <c r="K6073" i="1"/>
  <c r="L6073" i="1"/>
  <c r="K6074" i="1"/>
  <c r="L6074" i="1"/>
  <c r="K6075" i="1"/>
  <c r="L6075" i="1"/>
  <c r="K6076" i="1"/>
  <c r="L6076" i="1"/>
  <c r="K6077" i="1"/>
  <c r="L6077" i="1"/>
  <c r="K6078" i="1"/>
  <c r="L6078" i="1"/>
  <c r="K6079" i="1"/>
  <c r="L6079" i="1"/>
  <c r="K6080" i="1"/>
  <c r="L6080" i="1"/>
  <c r="K6081" i="1"/>
  <c r="L6081" i="1"/>
  <c r="K6082" i="1"/>
  <c r="L6082" i="1"/>
  <c r="K6083" i="1"/>
  <c r="L6083" i="1"/>
  <c r="K6084" i="1"/>
  <c r="L6084" i="1"/>
  <c r="K6085" i="1"/>
  <c r="L6085" i="1"/>
  <c r="K6086" i="1"/>
  <c r="L6086" i="1"/>
  <c r="K6087" i="1"/>
  <c r="L6087" i="1"/>
  <c r="K6088" i="1"/>
  <c r="L6088" i="1"/>
  <c r="K6089" i="1"/>
  <c r="L6089" i="1"/>
  <c r="K6090" i="1"/>
  <c r="L6090" i="1"/>
  <c r="K6091" i="1"/>
  <c r="L6091" i="1"/>
  <c r="K6092" i="1"/>
  <c r="L6092" i="1"/>
  <c r="K6093" i="1"/>
  <c r="L6093" i="1"/>
  <c r="K6094" i="1"/>
  <c r="L6094" i="1"/>
  <c r="K6095" i="1"/>
  <c r="L6095" i="1"/>
  <c r="K6096" i="1"/>
  <c r="L6096" i="1"/>
  <c r="K6097" i="1"/>
  <c r="L6097" i="1"/>
  <c r="K6098" i="1"/>
  <c r="L6098" i="1"/>
  <c r="K6099" i="1"/>
  <c r="L6099" i="1"/>
  <c r="K6100" i="1"/>
  <c r="L6100" i="1"/>
  <c r="K6101" i="1"/>
  <c r="L6101" i="1"/>
  <c r="K6102" i="1"/>
  <c r="L6102" i="1"/>
  <c r="K6103" i="1"/>
  <c r="L6103" i="1"/>
  <c r="K6104" i="1"/>
  <c r="L6104" i="1"/>
  <c r="K6105" i="1"/>
  <c r="L6105" i="1"/>
  <c r="K6106" i="1"/>
  <c r="L6106" i="1"/>
  <c r="K6107" i="1"/>
  <c r="L6107" i="1"/>
  <c r="K6108" i="1"/>
  <c r="L6108" i="1"/>
  <c r="K6109" i="1"/>
  <c r="L6109" i="1"/>
  <c r="K6110" i="1"/>
  <c r="L6110" i="1"/>
  <c r="K6111" i="1"/>
  <c r="L6111" i="1"/>
  <c r="K6112" i="1"/>
  <c r="L6112" i="1"/>
  <c r="K6113" i="1"/>
  <c r="L6113" i="1"/>
  <c r="K6114" i="1"/>
  <c r="L6114" i="1"/>
  <c r="K6115" i="1"/>
  <c r="L6115" i="1"/>
  <c r="K6116" i="1"/>
  <c r="L6116" i="1"/>
  <c r="K6117" i="1"/>
  <c r="L6117" i="1"/>
  <c r="K6118" i="1"/>
  <c r="L6118" i="1"/>
  <c r="K6119" i="1"/>
  <c r="L6119" i="1"/>
  <c r="K6120" i="1"/>
  <c r="L6120" i="1"/>
  <c r="K6121" i="1"/>
  <c r="L6121" i="1"/>
  <c r="K6122" i="1"/>
  <c r="L6122" i="1"/>
  <c r="K6123" i="1"/>
  <c r="L6123" i="1"/>
  <c r="K6124" i="1"/>
  <c r="L6124" i="1"/>
  <c r="K6125" i="1"/>
  <c r="L6125" i="1"/>
  <c r="K6126" i="1"/>
  <c r="L6126" i="1"/>
  <c r="K6127" i="1"/>
  <c r="L6127" i="1"/>
  <c r="K6128" i="1"/>
  <c r="L6128" i="1"/>
  <c r="K6129" i="1"/>
  <c r="L6129" i="1"/>
  <c r="K6130" i="1"/>
  <c r="L6130" i="1"/>
  <c r="K6131" i="1"/>
  <c r="L6131" i="1"/>
  <c r="K6132" i="1"/>
  <c r="L6132" i="1"/>
  <c r="K6133" i="1"/>
  <c r="L6133" i="1"/>
  <c r="K6134" i="1"/>
  <c r="L6134" i="1"/>
  <c r="K6135" i="1"/>
  <c r="L6135" i="1"/>
  <c r="K6136" i="1"/>
  <c r="L6136" i="1"/>
  <c r="K6137" i="1"/>
  <c r="L6137" i="1"/>
  <c r="K6138" i="1"/>
  <c r="L6138" i="1"/>
  <c r="K6139" i="1"/>
  <c r="L6139" i="1"/>
  <c r="K6140" i="1"/>
  <c r="L6140" i="1"/>
  <c r="K6141" i="1"/>
  <c r="L6141" i="1"/>
  <c r="K6142" i="1"/>
  <c r="L6142" i="1"/>
  <c r="K6143" i="1"/>
  <c r="L6143" i="1"/>
  <c r="K6144" i="1"/>
  <c r="L6144" i="1"/>
  <c r="K6145" i="1"/>
  <c r="L6145" i="1"/>
  <c r="K6146" i="1"/>
  <c r="L6146" i="1"/>
  <c r="K6147" i="1"/>
  <c r="L6147" i="1"/>
  <c r="K6148" i="1"/>
  <c r="L6148" i="1"/>
  <c r="K6149" i="1"/>
  <c r="L6149" i="1"/>
  <c r="K6150" i="1"/>
  <c r="L6150" i="1"/>
  <c r="K6151" i="1"/>
  <c r="L6151" i="1"/>
  <c r="K6152" i="1"/>
  <c r="L6152" i="1"/>
  <c r="K6153" i="1"/>
  <c r="L6153" i="1"/>
  <c r="K6154" i="1"/>
  <c r="L6154" i="1"/>
  <c r="K6155" i="1"/>
  <c r="L6155" i="1"/>
  <c r="K6156" i="1"/>
  <c r="L6156" i="1"/>
  <c r="K6157" i="1"/>
  <c r="L6157" i="1"/>
  <c r="K6158" i="1"/>
  <c r="L6158" i="1"/>
  <c r="K6159" i="1"/>
  <c r="L6159" i="1"/>
  <c r="K6160" i="1"/>
  <c r="L6160" i="1"/>
  <c r="K6161" i="1"/>
  <c r="L6161" i="1"/>
  <c r="K6162" i="1"/>
  <c r="L6162" i="1"/>
  <c r="K6163" i="1"/>
  <c r="L6163" i="1"/>
  <c r="K6164" i="1"/>
  <c r="L6164" i="1"/>
  <c r="K6165" i="1"/>
  <c r="L6165" i="1"/>
  <c r="K6166" i="1"/>
  <c r="L6166" i="1"/>
  <c r="K6167" i="1"/>
  <c r="L6167" i="1"/>
  <c r="K6168" i="1"/>
  <c r="L6168" i="1"/>
  <c r="K6169" i="1"/>
  <c r="L6169" i="1"/>
  <c r="K6170" i="1"/>
  <c r="L6170" i="1"/>
  <c r="K6171" i="1"/>
  <c r="L6171" i="1"/>
  <c r="K6172" i="1"/>
  <c r="L6172" i="1"/>
  <c r="K6173" i="1"/>
  <c r="L6173" i="1"/>
  <c r="K6174" i="1"/>
  <c r="L6174" i="1"/>
  <c r="K6175" i="1"/>
  <c r="L6175" i="1"/>
  <c r="K6176" i="1"/>
  <c r="L6176" i="1"/>
  <c r="K6177" i="1"/>
  <c r="L6177" i="1"/>
  <c r="K6178" i="1"/>
  <c r="L6178" i="1"/>
  <c r="K6179" i="1"/>
  <c r="L6179" i="1"/>
  <c r="K6180" i="1"/>
  <c r="L6180" i="1"/>
  <c r="K6181" i="1"/>
  <c r="L6181" i="1"/>
  <c r="K6182" i="1"/>
  <c r="L6182" i="1"/>
  <c r="K6183" i="1"/>
  <c r="L6183" i="1"/>
  <c r="K6184" i="1"/>
  <c r="L6184" i="1"/>
  <c r="K6185" i="1"/>
  <c r="L6185" i="1"/>
  <c r="K6186" i="1"/>
  <c r="L6186" i="1"/>
  <c r="K6187" i="1"/>
  <c r="L6187" i="1"/>
  <c r="K6188" i="1"/>
  <c r="L6188" i="1"/>
  <c r="K6189" i="1"/>
  <c r="L6189" i="1"/>
  <c r="K6190" i="1"/>
  <c r="L6190" i="1"/>
  <c r="K6191" i="1"/>
  <c r="L6191" i="1"/>
  <c r="K6192" i="1"/>
  <c r="L6192" i="1"/>
  <c r="K6193" i="1"/>
  <c r="L6193" i="1"/>
  <c r="K6194" i="1"/>
  <c r="L6194" i="1"/>
  <c r="K6195" i="1"/>
  <c r="L6195" i="1"/>
  <c r="K6196" i="1"/>
  <c r="L6196" i="1"/>
  <c r="K6197" i="1"/>
  <c r="L6197" i="1"/>
  <c r="K6198" i="1"/>
  <c r="L6198" i="1"/>
  <c r="K6199" i="1"/>
  <c r="L6199" i="1"/>
  <c r="K6200" i="1"/>
  <c r="L6200" i="1"/>
  <c r="K6201" i="1"/>
  <c r="L6201" i="1"/>
  <c r="K6202" i="1"/>
  <c r="L6202" i="1"/>
  <c r="K6203" i="1"/>
  <c r="L6203" i="1"/>
  <c r="K6204" i="1"/>
  <c r="L6204" i="1"/>
  <c r="K6205" i="1"/>
  <c r="L6205" i="1"/>
  <c r="K6206" i="1"/>
  <c r="L6206" i="1"/>
  <c r="K6207" i="1"/>
  <c r="L6207" i="1"/>
  <c r="K6208" i="1"/>
  <c r="L6208" i="1"/>
  <c r="K6209" i="1"/>
  <c r="L6209" i="1"/>
  <c r="K6210" i="1"/>
  <c r="L6210" i="1"/>
  <c r="K6211" i="1"/>
  <c r="L6211" i="1"/>
  <c r="K6212" i="1"/>
  <c r="L6212" i="1"/>
  <c r="K6213" i="1"/>
  <c r="L6213" i="1"/>
  <c r="K6214" i="1"/>
  <c r="L6214" i="1"/>
  <c r="K6215" i="1"/>
  <c r="L6215" i="1"/>
  <c r="K6216" i="1"/>
  <c r="L6216" i="1"/>
  <c r="K6217" i="1"/>
  <c r="L6217" i="1"/>
  <c r="K6218" i="1"/>
  <c r="L6218" i="1"/>
  <c r="K6219" i="1"/>
  <c r="L6219" i="1"/>
  <c r="K6220" i="1"/>
  <c r="L6220" i="1"/>
  <c r="K6221" i="1"/>
  <c r="L6221" i="1"/>
  <c r="K6222" i="1"/>
  <c r="L6222" i="1"/>
  <c r="K6223" i="1"/>
  <c r="L6223" i="1"/>
  <c r="K6224" i="1"/>
  <c r="L6224" i="1"/>
  <c r="K6225" i="1"/>
  <c r="L6225" i="1"/>
  <c r="K6226" i="1"/>
  <c r="L6226" i="1"/>
  <c r="K6227" i="1"/>
  <c r="L6227" i="1"/>
  <c r="K6228" i="1"/>
  <c r="L6228" i="1"/>
  <c r="K6229" i="1"/>
  <c r="L6229" i="1"/>
  <c r="K6230" i="1"/>
  <c r="L6230" i="1"/>
  <c r="K6231" i="1"/>
  <c r="L6231" i="1"/>
  <c r="K6232" i="1"/>
  <c r="L6232" i="1"/>
  <c r="K6233" i="1"/>
  <c r="L6233" i="1"/>
  <c r="K6234" i="1"/>
  <c r="L6234" i="1"/>
  <c r="K6235" i="1"/>
  <c r="L6235" i="1"/>
  <c r="K6236" i="1"/>
  <c r="L6236" i="1"/>
  <c r="K6237" i="1"/>
  <c r="L6237" i="1"/>
  <c r="K6238" i="1"/>
  <c r="L6238" i="1"/>
  <c r="K6239" i="1"/>
  <c r="L6239" i="1"/>
  <c r="K6240" i="1"/>
  <c r="L6240" i="1"/>
  <c r="K6241" i="1"/>
  <c r="L6241" i="1"/>
  <c r="K6242" i="1"/>
  <c r="L6242" i="1"/>
  <c r="K6243" i="1"/>
  <c r="L6243" i="1"/>
  <c r="K6244" i="1"/>
  <c r="L6244" i="1"/>
  <c r="K6245" i="1"/>
  <c r="L6245" i="1"/>
  <c r="K6246" i="1"/>
  <c r="L6246" i="1"/>
  <c r="K6247" i="1"/>
  <c r="L6247" i="1"/>
  <c r="K6248" i="1"/>
  <c r="L6248" i="1"/>
  <c r="K6249" i="1"/>
  <c r="L6249" i="1"/>
  <c r="K6250" i="1"/>
  <c r="L6250" i="1"/>
  <c r="K6251" i="1"/>
  <c r="L6251" i="1"/>
  <c r="K6252" i="1"/>
  <c r="L6252" i="1"/>
  <c r="K6253" i="1"/>
  <c r="L6253" i="1"/>
  <c r="K6254" i="1"/>
  <c r="L6254" i="1"/>
  <c r="K6255" i="1"/>
  <c r="L6255" i="1"/>
  <c r="K6256" i="1"/>
  <c r="L6256" i="1"/>
  <c r="K6257" i="1"/>
  <c r="L6257" i="1"/>
  <c r="K6258" i="1"/>
  <c r="L6258" i="1"/>
  <c r="K6259" i="1"/>
  <c r="L6259" i="1"/>
  <c r="K6260" i="1"/>
  <c r="L6260" i="1"/>
  <c r="K6261" i="1"/>
  <c r="L6261" i="1"/>
  <c r="K6262" i="1"/>
  <c r="L6262" i="1"/>
  <c r="K6263" i="1"/>
  <c r="L6263" i="1"/>
  <c r="K6264" i="1"/>
  <c r="L6264" i="1"/>
  <c r="K6265" i="1"/>
  <c r="L6265" i="1"/>
  <c r="K6266" i="1"/>
  <c r="L6266" i="1"/>
  <c r="K6267" i="1"/>
  <c r="L6267" i="1"/>
  <c r="K6268" i="1"/>
  <c r="L6268" i="1"/>
  <c r="K6269" i="1"/>
  <c r="L6269" i="1"/>
  <c r="K6270" i="1"/>
  <c r="L6270" i="1"/>
  <c r="K6271" i="1"/>
  <c r="L6271" i="1"/>
  <c r="K6272" i="1"/>
  <c r="L6272" i="1"/>
  <c r="K6273" i="1"/>
  <c r="L6273" i="1"/>
  <c r="K6274" i="1"/>
  <c r="L6274" i="1"/>
  <c r="K6275" i="1"/>
  <c r="L6275" i="1"/>
  <c r="K6276" i="1"/>
  <c r="L6276" i="1"/>
  <c r="K6277" i="1"/>
  <c r="L6277" i="1"/>
  <c r="K6278" i="1"/>
  <c r="L6278" i="1"/>
  <c r="K6279" i="1"/>
  <c r="L6279" i="1"/>
  <c r="K6280" i="1"/>
  <c r="L6280" i="1"/>
  <c r="K6281" i="1"/>
  <c r="L6281" i="1"/>
  <c r="K6282" i="1"/>
  <c r="L6282" i="1"/>
  <c r="K6283" i="1"/>
  <c r="L6283" i="1"/>
  <c r="K6284" i="1"/>
  <c r="L6284" i="1"/>
  <c r="K6285" i="1"/>
  <c r="L6285" i="1"/>
  <c r="K6286" i="1"/>
  <c r="L6286" i="1"/>
  <c r="K6287" i="1"/>
  <c r="L6287" i="1"/>
  <c r="K6288" i="1"/>
  <c r="L6288" i="1"/>
  <c r="K6289" i="1"/>
  <c r="L6289" i="1"/>
  <c r="K6290" i="1"/>
  <c r="L6290" i="1"/>
  <c r="K6291" i="1"/>
  <c r="L6291" i="1"/>
  <c r="K6292" i="1"/>
  <c r="L6292" i="1"/>
  <c r="K6293" i="1"/>
  <c r="L6293" i="1"/>
  <c r="K6294" i="1"/>
  <c r="L6294" i="1"/>
  <c r="K6295" i="1"/>
  <c r="L6295" i="1"/>
  <c r="K6296" i="1"/>
  <c r="L6296" i="1"/>
  <c r="K6297" i="1"/>
  <c r="L6297" i="1"/>
  <c r="K6298" i="1"/>
  <c r="L6298" i="1"/>
  <c r="K6299" i="1"/>
  <c r="L6299" i="1"/>
  <c r="K6300" i="1"/>
  <c r="L6300" i="1"/>
  <c r="K6301" i="1"/>
  <c r="L6301" i="1"/>
  <c r="K6302" i="1"/>
  <c r="L6302" i="1"/>
  <c r="K6303" i="1"/>
  <c r="L6303" i="1"/>
  <c r="K6304" i="1"/>
  <c r="L6304" i="1"/>
  <c r="K6305" i="1"/>
  <c r="L6305" i="1"/>
  <c r="K6306" i="1"/>
  <c r="L6306" i="1"/>
  <c r="K6307" i="1"/>
  <c r="L6307" i="1"/>
  <c r="K6308" i="1"/>
  <c r="L6308" i="1"/>
  <c r="K6309" i="1"/>
  <c r="L6309" i="1"/>
  <c r="K6310" i="1"/>
  <c r="L6310" i="1"/>
  <c r="K6311" i="1"/>
  <c r="L6311" i="1"/>
  <c r="K6312" i="1"/>
  <c r="L6312" i="1"/>
  <c r="K6313" i="1"/>
  <c r="L6313" i="1"/>
  <c r="K6314" i="1"/>
  <c r="L6314" i="1"/>
  <c r="K6315" i="1"/>
  <c r="L6315" i="1"/>
  <c r="K6316" i="1"/>
  <c r="L6316" i="1"/>
  <c r="K6317" i="1"/>
  <c r="L6317" i="1"/>
  <c r="K6318" i="1"/>
  <c r="L6318" i="1"/>
  <c r="K6319" i="1"/>
  <c r="L6319" i="1"/>
  <c r="K6320" i="1"/>
  <c r="L6320" i="1"/>
  <c r="K6321" i="1"/>
  <c r="L6321" i="1"/>
  <c r="K6322" i="1"/>
  <c r="L6322" i="1"/>
  <c r="K6323" i="1"/>
  <c r="L6323" i="1"/>
  <c r="K6324" i="1"/>
  <c r="L6324" i="1"/>
  <c r="K6325" i="1"/>
  <c r="L6325" i="1"/>
  <c r="K6326" i="1"/>
  <c r="L6326" i="1"/>
  <c r="K6327" i="1"/>
  <c r="L6327" i="1"/>
  <c r="K6328" i="1"/>
  <c r="L6328" i="1"/>
  <c r="K6329" i="1"/>
  <c r="L6329" i="1"/>
  <c r="K6330" i="1"/>
  <c r="L6330" i="1"/>
  <c r="K6331" i="1"/>
  <c r="L6331" i="1"/>
  <c r="K6332" i="1"/>
  <c r="L6332" i="1"/>
  <c r="K6333" i="1"/>
  <c r="L6333" i="1"/>
  <c r="K6334" i="1"/>
  <c r="L6334" i="1"/>
  <c r="K6335" i="1"/>
  <c r="L6335" i="1"/>
  <c r="K6336" i="1"/>
  <c r="L6336" i="1"/>
  <c r="K6337" i="1"/>
  <c r="L6337" i="1"/>
  <c r="K6338" i="1"/>
  <c r="L6338" i="1"/>
  <c r="K6339" i="1"/>
  <c r="L6339" i="1"/>
  <c r="K6340" i="1"/>
  <c r="L6340" i="1"/>
  <c r="K6341" i="1"/>
  <c r="L6341" i="1"/>
  <c r="K6342" i="1"/>
  <c r="L6342" i="1"/>
  <c r="K6343" i="1"/>
  <c r="L6343" i="1"/>
  <c r="K6344" i="1"/>
  <c r="L6344" i="1"/>
  <c r="K6345" i="1"/>
  <c r="L6345" i="1"/>
  <c r="K6346" i="1"/>
  <c r="L6346" i="1"/>
  <c r="K6347" i="1"/>
  <c r="L6347" i="1"/>
  <c r="K6348" i="1"/>
  <c r="L6348" i="1"/>
  <c r="K6349" i="1"/>
  <c r="L6349" i="1"/>
  <c r="K6350" i="1"/>
  <c r="L6350" i="1"/>
  <c r="K6351" i="1"/>
  <c r="L6351" i="1"/>
  <c r="K6352" i="1"/>
  <c r="L6352" i="1"/>
  <c r="K6353" i="1"/>
  <c r="L6353" i="1"/>
  <c r="K6354" i="1"/>
  <c r="L6354" i="1"/>
  <c r="K6355" i="1"/>
  <c r="L6355" i="1"/>
  <c r="K6356" i="1"/>
  <c r="L6356" i="1"/>
  <c r="K6357" i="1"/>
  <c r="L6357" i="1"/>
  <c r="K6358" i="1"/>
  <c r="L6358" i="1"/>
  <c r="K6359" i="1"/>
  <c r="L6359" i="1"/>
  <c r="K6360" i="1"/>
  <c r="L6360" i="1"/>
  <c r="K6361" i="1"/>
  <c r="L6361" i="1"/>
  <c r="K6362" i="1"/>
  <c r="L6362" i="1"/>
  <c r="K6363" i="1"/>
  <c r="L6363" i="1"/>
  <c r="K6364" i="1"/>
  <c r="L6364" i="1"/>
  <c r="K6365" i="1"/>
  <c r="L6365" i="1"/>
  <c r="K6366" i="1"/>
  <c r="L6366" i="1"/>
  <c r="K6367" i="1"/>
  <c r="L6367" i="1"/>
  <c r="K6368" i="1"/>
  <c r="L6368" i="1"/>
  <c r="K6369" i="1"/>
  <c r="L6369" i="1"/>
  <c r="K6370" i="1"/>
  <c r="L6370" i="1"/>
  <c r="K6371" i="1"/>
  <c r="L6371" i="1"/>
  <c r="K6372" i="1"/>
  <c r="L6372" i="1"/>
  <c r="K6373" i="1"/>
  <c r="L6373" i="1"/>
  <c r="K6374" i="1"/>
  <c r="L6374" i="1"/>
  <c r="K6375" i="1"/>
  <c r="L6375" i="1"/>
  <c r="K6376" i="1"/>
  <c r="L6376" i="1"/>
  <c r="K6377" i="1"/>
  <c r="L6377" i="1"/>
  <c r="K6378" i="1"/>
  <c r="L6378" i="1"/>
  <c r="K6379" i="1"/>
  <c r="L6379" i="1"/>
  <c r="K6380" i="1"/>
  <c r="L6380" i="1"/>
  <c r="K6381" i="1"/>
  <c r="L6381" i="1"/>
  <c r="K6382" i="1"/>
  <c r="L6382" i="1"/>
  <c r="K6383" i="1"/>
  <c r="L6383" i="1"/>
  <c r="K6384" i="1"/>
  <c r="L6384" i="1"/>
  <c r="K6385" i="1"/>
  <c r="L6385" i="1"/>
  <c r="K6386" i="1"/>
  <c r="L6386" i="1"/>
  <c r="K6387" i="1"/>
  <c r="L6387" i="1"/>
  <c r="K6388" i="1"/>
  <c r="L6388" i="1"/>
  <c r="K6389" i="1"/>
  <c r="L6389" i="1"/>
  <c r="K6390" i="1"/>
  <c r="L6390" i="1"/>
  <c r="K6391" i="1"/>
  <c r="L6391" i="1"/>
  <c r="K6392" i="1"/>
  <c r="L6392" i="1"/>
  <c r="K6393" i="1"/>
  <c r="L6393" i="1"/>
  <c r="K6394" i="1"/>
  <c r="L6394" i="1"/>
  <c r="K6395" i="1"/>
  <c r="L6395" i="1"/>
  <c r="K6396" i="1"/>
  <c r="L6396" i="1"/>
  <c r="K6397" i="1"/>
  <c r="L6397" i="1"/>
  <c r="K6398" i="1"/>
  <c r="L6398" i="1"/>
  <c r="K6399" i="1"/>
  <c r="L6399" i="1"/>
  <c r="K6400" i="1"/>
  <c r="L6400" i="1"/>
  <c r="K6401" i="1"/>
  <c r="L6401" i="1"/>
  <c r="K6402" i="1"/>
  <c r="L6402" i="1"/>
  <c r="K6403" i="1"/>
  <c r="L6403" i="1"/>
  <c r="K6404" i="1"/>
  <c r="L6404" i="1"/>
  <c r="K6405" i="1"/>
  <c r="L6405" i="1"/>
  <c r="K6406" i="1"/>
  <c r="L6406" i="1"/>
  <c r="K6407" i="1"/>
  <c r="L6407" i="1"/>
  <c r="K6408" i="1"/>
  <c r="L6408" i="1"/>
  <c r="K6409" i="1"/>
  <c r="L6409" i="1"/>
  <c r="K6410" i="1"/>
  <c r="L6410" i="1"/>
  <c r="K6411" i="1"/>
  <c r="L6411" i="1"/>
  <c r="K6412" i="1"/>
  <c r="L6412" i="1"/>
  <c r="K6413" i="1"/>
  <c r="L6413" i="1"/>
  <c r="K6414" i="1"/>
  <c r="L6414" i="1"/>
  <c r="K6415" i="1"/>
  <c r="L6415" i="1"/>
  <c r="K6416" i="1"/>
  <c r="L6416" i="1"/>
  <c r="K6417" i="1"/>
  <c r="L6417" i="1"/>
  <c r="K6418" i="1"/>
  <c r="L6418" i="1"/>
  <c r="K6419" i="1"/>
  <c r="L6419" i="1"/>
  <c r="K6420" i="1"/>
  <c r="L6420" i="1"/>
  <c r="K6421" i="1"/>
  <c r="L6421" i="1"/>
  <c r="K6422" i="1"/>
  <c r="L6422" i="1"/>
  <c r="K6423" i="1"/>
  <c r="L6423" i="1"/>
  <c r="K6424" i="1"/>
  <c r="L6424" i="1"/>
  <c r="K6425" i="1"/>
  <c r="L6425" i="1"/>
  <c r="K6426" i="1"/>
  <c r="L6426" i="1"/>
  <c r="K6427" i="1"/>
  <c r="L6427" i="1"/>
  <c r="K6428" i="1"/>
  <c r="L6428" i="1"/>
  <c r="K6429" i="1"/>
  <c r="L6429" i="1"/>
  <c r="K6430" i="1"/>
  <c r="L6430" i="1"/>
  <c r="K6431" i="1"/>
  <c r="L6431" i="1"/>
  <c r="K6432" i="1"/>
  <c r="L6432" i="1"/>
  <c r="K6433" i="1"/>
  <c r="L6433" i="1"/>
  <c r="K6434" i="1"/>
  <c r="L6434" i="1"/>
  <c r="K6435" i="1"/>
  <c r="L6435" i="1"/>
  <c r="K6436" i="1"/>
  <c r="L6436" i="1"/>
  <c r="K6437" i="1"/>
  <c r="L6437" i="1"/>
  <c r="K6438" i="1"/>
  <c r="L6438" i="1"/>
  <c r="K6439" i="1"/>
  <c r="L6439" i="1"/>
  <c r="K6440" i="1"/>
  <c r="L6440" i="1"/>
  <c r="K6441" i="1"/>
  <c r="L6441" i="1"/>
  <c r="K6442" i="1"/>
  <c r="L6442" i="1"/>
  <c r="K6443" i="1"/>
  <c r="L6443" i="1"/>
  <c r="K6444" i="1"/>
  <c r="L6444" i="1"/>
  <c r="K6445" i="1"/>
  <c r="L6445" i="1"/>
  <c r="K6446" i="1"/>
  <c r="L6446" i="1"/>
  <c r="K6447" i="1"/>
  <c r="L6447" i="1"/>
  <c r="K6448" i="1"/>
  <c r="L6448" i="1"/>
  <c r="K6449" i="1"/>
  <c r="L6449" i="1"/>
  <c r="K6450" i="1"/>
  <c r="L6450" i="1"/>
  <c r="K6451" i="1"/>
  <c r="L6451" i="1"/>
  <c r="K6452" i="1"/>
  <c r="L6452" i="1"/>
  <c r="K6453" i="1"/>
  <c r="L6453" i="1"/>
  <c r="K6454" i="1"/>
  <c r="L6454" i="1"/>
  <c r="K6455" i="1"/>
  <c r="L6455" i="1"/>
  <c r="K6456" i="1"/>
  <c r="L6456" i="1"/>
  <c r="K6457" i="1"/>
  <c r="L6457" i="1"/>
  <c r="K6458" i="1"/>
  <c r="L6458" i="1"/>
  <c r="K6459" i="1"/>
  <c r="L6459" i="1"/>
  <c r="K6460" i="1"/>
  <c r="L6460" i="1"/>
  <c r="K6461" i="1"/>
  <c r="L6461" i="1"/>
  <c r="K6462" i="1"/>
  <c r="L6462" i="1"/>
  <c r="K6463" i="1"/>
  <c r="L6463" i="1"/>
  <c r="K6464" i="1"/>
  <c r="L6464" i="1"/>
  <c r="K6465" i="1"/>
  <c r="L6465" i="1"/>
  <c r="K6466" i="1"/>
  <c r="L6466" i="1"/>
  <c r="K6467" i="1"/>
  <c r="L6467" i="1"/>
  <c r="K6468" i="1"/>
  <c r="L6468" i="1"/>
  <c r="K6469" i="1"/>
  <c r="L6469" i="1"/>
  <c r="K6470" i="1"/>
  <c r="L6470" i="1"/>
  <c r="K6471" i="1"/>
  <c r="L6471" i="1"/>
  <c r="K6472" i="1"/>
  <c r="L6472" i="1"/>
  <c r="K6473" i="1"/>
  <c r="L6473" i="1"/>
  <c r="K6474" i="1"/>
  <c r="L6474" i="1"/>
  <c r="K6475" i="1"/>
  <c r="L6475" i="1"/>
  <c r="K6476" i="1"/>
  <c r="L6476" i="1"/>
  <c r="K6477" i="1"/>
  <c r="L6477" i="1"/>
  <c r="K6478" i="1"/>
  <c r="L6478" i="1"/>
  <c r="K6479" i="1"/>
  <c r="L6479" i="1"/>
  <c r="K6480" i="1"/>
  <c r="L6480" i="1"/>
  <c r="K6481" i="1"/>
  <c r="L6481" i="1"/>
  <c r="K6482" i="1"/>
  <c r="L6482" i="1"/>
  <c r="K6483" i="1"/>
  <c r="L6483" i="1"/>
  <c r="K6484" i="1"/>
  <c r="L6484" i="1"/>
  <c r="K6485" i="1"/>
  <c r="L6485" i="1"/>
  <c r="K6486" i="1"/>
  <c r="L6486" i="1"/>
  <c r="K6487" i="1"/>
  <c r="L6487" i="1"/>
  <c r="K6488" i="1"/>
  <c r="L6488" i="1"/>
  <c r="K6489" i="1"/>
  <c r="L6489" i="1"/>
  <c r="K6490" i="1"/>
  <c r="L6490" i="1"/>
  <c r="K6491" i="1"/>
  <c r="L6491" i="1"/>
  <c r="K6492" i="1"/>
  <c r="L6492" i="1"/>
  <c r="K6493" i="1"/>
  <c r="L6493" i="1"/>
  <c r="K6494" i="1"/>
  <c r="L6494" i="1"/>
  <c r="K6495" i="1"/>
  <c r="L6495" i="1"/>
  <c r="K6496" i="1"/>
  <c r="L6496" i="1"/>
  <c r="K6497" i="1"/>
  <c r="L6497" i="1"/>
  <c r="K6498" i="1"/>
  <c r="L6498" i="1"/>
  <c r="K6499" i="1"/>
  <c r="L6499" i="1"/>
  <c r="K6500" i="1"/>
  <c r="L6500" i="1"/>
  <c r="K6501" i="1"/>
  <c r="L6501" i="1"/>
  <c r="K6502" i="1"/>
  <c r="L6502" i="1"/>
  <c r="K6503" i="1"/>
  <c r="L6503" i="1"/>
  <c r="K6504" i="1"/>
  <c r="L6504" i="1"/>
  <c r="K6505" i="1"/>
  <c r="L6505" i="1"/>
  <c r="K6506" i="1"/>
  <c r="L6506" i="1"/>
  <c r="K6507" i="1"/>
  <c r="L6507" i="1"/>
  <c r="K6508" i="1"/>
  <c r="L6508" i="1"/>
  <c r="K6509" i="1"/>
  <c r="L6509" i="1"/>
  <c r="K6510" i="1"/>
  <c r="L6510" i="1"/>
  <c r="K6511" i="1"/>
  <c r="L6511" i="1"/>
  <c r="K6512" i="1"/>
  <c r="L6512" i="1"/>
  <c r="K6513" i="1"/>
  <c r="L6513" i="1"/>
  <c r="K6514" i="1"/>
  <c r="L6514" i="1"/>
  <c r="K6515" i="1"/>
  <c r="L6515" i="1"/>
  <c r="K6516" i="1"/>
  <c r="L6516" i="1"/>
  <c r="K6517" i="1"/>
  <c r="L6517" i="1"/>
  <c r="K6518" i="1"/>
  <c r="L6518" i="1"/>
  <c r="K6519" i="1"/>
  <c r="L6519" i="1"/>
  <c r="K6520" i="1"/>
  <c r="L6520" i="1"/>
  <c r="K6521" i="1"/>
  <c r="L6521" i="1"/>
  <c r="K6522" i="1"/>
  <c r="L6522" i="1"/>
  <c r="K6523" i="1"/>
  <c r="L6523" i="1"/>
  <c r="K6524" i="1"/>
  <c r="L6524" i="1"/>
  <c r="K6525" i="1"/>
  <c r="L6525" i="1"/>
  <c r="K6526" i="1"/>
  <c r="L6526" i="1"/>
  <c r="K6527" i="1"/>
  <c r="L6527" i="1"/>
  <c r="K6528" i="1"/>
  <c r="L6528" i="1"/>
  <c r="K6529" i="1"/>
  <c r="L6529" i="1"/>
  <c r="K6530" i="1"/>
  <c r="L6530" i="1"/>
  <c r="K6531" i="1"/>
  <c r="L6531" i="1"/>
  <c r="K6532" i="1"/>
  <c r="L6532" i="1"/>
  <c r="K6533" i="1"/>
  <c r="L6533" i="1"/>
  <c r="K6534" i="1"/>
  <c r="L6534" i="1"/>
  <c r="K6535" i="1"/>
  <c r="L6535" i="1"/>
  <c r="K6536" i="1"/>
  <c r="L6536" i="1"/>
  <c r="K6537" i="1"/>
  <c r="L6537" i="1"/>
  <c r="K6538" i="1"/>
  <c r="L6538" i="1"/>
  <c r="K6539" i="1"/>
  <c r="L6539" i="1"/>
  <c r="K6540" i="1"/>
  <c r="L6540" i="1"/>
  <c r="K6541" i="1"/>
  <c r="L6541" i="1"/>
  <c r="K6542" i="1"/>
  <c r="L6542" i="1"/>
  <c r="K6543" i="1"/>
  <c r="L6543" i="1"/>
  <c r="K6544" i="1"/>
  <c r="L6544" i="1"/>
  <c r="K6545" i="1"/>
  <c r="L6545" i="1"/>
  <c r="K6546" i="1"/>
  <c r="L6546" i="1"/>
  <c r="K6547" i="1"/>
  <c r="L6547" i="1"/>
  <c r="K6548" i="1"/>
  <c r="L6548" i="1"/>
  <c r="K6549" i="1"/>
  <c r="L6549" i="1"/>
  <c r="K6550" i="1"/>
  <c r="L6550" i="1"/>
  <c r="K6551" i="1"/>
  <c r="L6551" i="1"/>
  <c r="K6552" i="1"/>
  <c r="L6552" i="1"/>
  <c r="K6553" i="1"/>
  <c r="L6553" i="1"/>
  <c r="K6554" i="1"/>
  <c r="L6554" i="1"/>
  <c r="K6555" i="1"/>
  <c r="L6555" i="1"/>
  <c r="K6556" i="1"/>
  <c r="L6556" i="1"/>
  <c r="K6557" i="1"/>
  <c r="L6557" i="1"/>
  <c r="K6558" i="1"/>
  <c r="L6558" i="1"/>
  <c r="K6559" i="1"/>
  <c r="L6559" i="1"/>
  <c r="K6560" i="1"/>
  <c r="L6560" i="1"/>
  <c r="K6561" i="1"/>
  <c r="L6561" i="1"/>
  <c r="K6562" i="1"/>
  <c r="L6562" i="1"/>
  <c r="K6563" i="1"/>
  <c r="L6563" i="1"/>
  <c r="K6564" i="1"/>
  <c r="L6564" i="1"/>
  <c r="K6565" i="1"/>
  <c r="L6565" i="1"/>
  <c r="K6566" i="1"/>
  <c r="L6566" i="1"/>
  <c r="K6567" i="1"/>
  <c r="L6567" i="1"/>
  <c r="K6568" i="1"/>
  <c r="L6568" i="1"/>
  <c r="K6569" i="1"/>
  <c r="L6569" i="1"/>
  <c r="K6570" i="1"/>
  <c r="L6570" i="1"/>
  <c r="K6571" i="1"/>
  <c r="L6571" i="1"/>
  <c r="K6572" i="1"/>
  <c r="L6572" i="1"/>
  <c r="K6573" i="1"/>
  <c r="L6573" i="1"/>
  <c r="K6574" i="1"/>
  <c r="L6574" i="1"/>
  <c r="K6575" i="1"/>
  <c r="L6575" i="1"/>
  <c r="K6576" i="1"/>
  <c r="L6576" i="1"/>
  <c r="K6577" i="1"/>
  <c r="L6577" i="1"/>
  <c r="K6578" i="1"/>
  <c r="L6578" i="1"/>
  <c r="K6579" i="1"/>
  <c r="L6579" i="1"/>
  <c r="K6580" i="1"/>
  <c r="L6580" i="1"/>
  <c r="K6581" i="1"/>
  <c r="L6581" i="1"/>
  <c r="K6582" i="1"/>
  <c r="L6582" i="1"/>
  <c r="K6583" i="1"/>
  <c r="L6583" i="1"/>
  <c r="K6584" i="1"/>
  <c r="L6584" i="1"/>
  <c r="K6585" i="1"/>
  <c r="L6585" i="1"/>
  <c r="K6586" i="1"/>
  <c r="L6586" i="1"/>
  <c r="K6587" i="1"/>
  <c r="L6587" i="1"/>
  <c r="K6588" i="1"/>
  <c r="L6588" i="1"/>
  <c r="K6589" i="1"/>
  <c r="L6589" i="1"/>
  <c r="K6590" i="1"/>
  <c r="L6590" i="1"/>
  <c r="K6591" i="1"/>
  <c r="L6591" i="1"/>
  <c r="K6592" i="1"/>
  <c r="L6592" i="1"/>
  <c r="K6593" i="1"/>
  <c r="L6593" i="1"/>
  <c r="K6594" i="1"/>
  <c r="L6594" i="1"/>
  <c r="K6595" i="1"/>
  <c r="L6595" i="1"/>
  <c r="K6596" i="1"/>
  <c r="L6596" i="1"/>
  <c r="K6597" i="1"/>
  <c r="L6597" i="1"/>
  <c r="K6598" i="1"/>
  <c r="L6598" i="1"/>
  <c r="K6599" i="1"/>
  <c r="L6599" i="1"/>
  <c r="K6600" i="1"/>
  <c r="L6600" i="1"/>
  <c r="K6601" i="1"/>
  <c r="L6601" i="1"/>
  <c r="K6602" i="1"/>
  <c r="L6602" i="1"/>
  <c r="K6603" i="1"/>
  <c r="L6603" i="1"/>
  <c r="K6604" i="1"/>
  <c r="L6604" i="1"/>
  <c r="K6605" i="1"/>
  <c r="L6605" i="1"/>
  <c r="K6606" i="1"/>
  <c r="L6606" i="1"/>
  <c r="K6607" i="1"/>
  <c r="L6607" i="1"/>
  <c r="K6608" i="1"/>
  <c r="L6608" i="1"/>
  <c r="K6609" i="1"/>
  <c r="L6609" i="1"/>
  <c r="K6610" i="1"/>
  <c r="L6610" i="1"/>
  <c r="K6611" i="1"/>
  <c r="L6611" i="1"/>
  <c r="K6612" i="1"/>
  <c r="L6612" i="1"/>
  <c r="K6613" i="1"/>
  <c r="L6613" i="1"/>
  <c r="K6614" i="1"/>
  <c r="L6614" i="1"/>
  <c r="K6615" i="1"/>
  <c r="L6615" i="1"/>
  <c r="K6616" i="1"/>
  <c r="L6616" i="1"/>
  <c r="K6617" i="1"/>
  <c r="L6617" i="1"/>
  <c r="K6618" i="1"/>
  <c r="L6618" i="1"/>
  <c r="K6619" i="1"/>
  <c r="L6619" i="1"/>
  <c r="K6620" i="1"/>
  <c r="L6620" i="1"/>
  <c r="K6621" i="1"/>
  <c r="L6621" i="1"/>
  <c r="K6622" i="1"/>
  <c r="L6622" i="1"/>
  <c r="K6623" i="1"/>
  <c r="L6623" i="1"/>
  <c r="K6624" i="1"/>
  <c r="L6624" i="1"/>
  <c r="K6625" i="1"/>
  <c r="L6625" i="1"/>
  <c r="K6626" i="1"/>
  <c r="L6626" i="1"/>
  <c r="K6627" i="1"/>
  <c r="L6627" i="1"/>
  <c r="K6628" i="1"/>
  <c r="L6628" i="1"/>
  <c r="K6629" i="1"/>
  <c r="L6629" i="1"/>
  <c r="K6630" i="1"/>
  <c r="L6630" i="1"/>
  <c r="K6631" i="1"/>
  <c r="L6631" i="1"/>
  <c r="K6632" i="1"/>
  <c r="L6632" i="1"/>
  <c r="K6633" i="1"/>
  <c r="L6633" i="1"/>
  <c r="K6634" i="1"/>
  <c r="L6634" i="1"/>
  <c r="K6635" i="1"/>
  <c r="L6635" i="1"/>
  <c r="K6636" i="1"/>
  <c r="L6636" i="1"/>
  <c r="K6637" i="1"/>
  <c r="L6637" i="1"/>
  <c r="K6638" i="1"/>
  <c r="L6638" i="1"/>
  <c r="K6639" i="1"/>
  <c r="L6639" i="1"/>
  <c r="K6640" i="1"/>
  <c r="L6640" i="1"/>
  <c r="K6641" i="1"/>
  <c r="L6641" i="1"/>
  <c r="K6642" i="1"/>
  <c r="L6642" i="1"/>
  <c r="K6643" i="1"/>
  <c r="L6643" i="1"/>
  <c r="K6644" i="1"/>
  <c r="L6644" i="1"/>
  <c r="K6645" i="1"/>
  <c r="L6645" i="1"/>
  <c r="K6646" i="1"/>
  <c r="L6646" i="1"/>
  <c r="K6647" i="1"/>
  <c r="L6647" i="1"/>
  <c r="K6648" i="1"/>
  <c r="L6648" i="1"/>
  <c r="K6649" i="1"/>
  <c r="L6649" i="1"/>
  <c r="K6650" i="1"/>
  <c r="L6650" i="1"/>
  <c r="K6651" i="1"/>
  <c r="L6651" i="1"/>
  <c r="K6652" i="1"/>
  <c r="L6652" i="1"/>
  <c r="K6653" i="1"/>
  <c r="L6653" i="1"/>
  <c r="K6654" i="1"/>
  <c r="L6654" i="1"/>
  <c r="K6655" i="1"/>
  <c r="L6655" i="1"/>
  <c r="K6656" i="1"/>
  <c r="L6656" i="1"/>
  <c r="K6657" i="1"/>
  <c r="L6657" i="1"/>
  <c r="K6658" i="1"/>
  <c r="L6658" i="1"/>
  <c r="K6659" i="1"/>
  <c r="L6659" i="1"/>
  <c r="K6660" i="1"/>
  <c r="L6660" i="1"/>
  <c r="K6661" i="1"/>
  <c r="L6661" i="1"/>
  <c r="K6662" i="1"/>
  <c r="L6662" i="1"/>
  <c r="K6663" i="1"/>
  <c r="L6663" i="1"/>
  <c r="K6664" i="1"/>
  <c r="L6664" i="1"/>
  <c r="K6665" i="1"/>
  <c r="L6665" i="1"/>
  <c r="K6666" i="1"/>
  <c r="L6666" i="1"/>
  <c r="K6667" i="1"/>
  <c r="L6667" i="1"/>
  <c r="K6668" i="1"/>
  <c r="L6668" i="1"/>
  <c r="K6669" i="1"/>
  <c r="L6669" i="1"/>
  <c r="K6670" i="1"/>
  <c r="L6670" i="1"/>
  <c r="K6671" i="1"/>
  <c r="L6671" i="1"/>
  <c r="K6672" i="1"/>
  <c r="L6672" i="1"/>
  <c r="K6673" i="1"/>
  <c r="L6673" i="1"/>
  <c r="K6674" i="1"/>
  <c r="L6674" i="1"/>
  <c r="K6675" i="1"/>
  <c r="L6675" i="1"/>
  <c r="K6676" i="1"/>
  <c r="L6676" i="1"/>
  <c r="K6677" i="1"/>
  <c r="L6677" i="1"/>
  <c r="K6678" i="1"/>
  <c r="L6678" i="1"/>
  <c r="K6679" i="1"/>
  <c r="L6679" i="1"/>
  <c r="K6680" i="1"/>
  <c r="L6680" i="1"/>
  <c r="K6681" i="1"/>
  <c r="L6681" i="1"/>
  <c r="K6682" i="1"/>
  <c r="L6682" i="1"/>
  <c r="K6683" i="1"/>
  <c r="L6683" i="1"/>
  <c r="K6684" i="1"/>
  <c r="L6684" i="1"/>
  <c r="K6685" i="1"/>
  <c r="L6685" i="1"/>
  <c r="K6686" i="1"/>
  <c r="L6686" i="1"/>
  <c r="K6687" i="1"/>
  <c r="L6687" i="1"/>
  <c r="K6688" i="1"/>
  <c r="L6688" i="1"/>
  <c r="K6689" i="1"/>
  <c r="L6689" i="1"/>
  <c r="K6690" i="1"/>
  <c r="L6690" i="1"/>
  <c r="K6691" i="1"/>
  <c r="L6691" i="1"/>
  <c r="K6692" i="1"/>
  <c r="L6692" i="1"/>
  <c r="K6693" i="1"/>
  <c r="L6693" i="1"/>
  <c r="K6694" i="1"/>
  <c r="L6694" i="1"/>
  <c r="K6695" i="1"/>
  <c r="L6695" i="1"/>
  <c r="K6696" i="1"/>
  <c r="L6696" i="1"/>
  <c r="K6697" i="1"/>
  <c r="L6697" i="1"/>
  <c r="K6698" i="1"/>
  <c r="L6698" i="1"/>
  <c r="K6699" i="1"/>
  <c r="L6699" i="1"/>
  <c r="K6700" i="1"/>
  <c r="L6700" i="1"/>
  <c r="K6701" i="1"/>
  <c r="L6701" i="1"/>
  <c r="K6702" i="1"/>
  <c r="L6702" i="1"/>
  <c r="K6703" i="1"/>
  <c r="L6703" i="1"/>
  <c r="K6704" i="1"/>
  <c r="L6704" i="1"/>
  <c r="K6705" i="1"/>
  <c r="L6705" i="1"/>
  <c r="K6706" i="1"/>
  <c r="L6706" i="1"/>
  <c r="K6707" i="1"/>
  <c r="L6707" i="1"/>
  <c r="K6708" i="1"/>
  <c r="L6708" i="1"/>
  <c r="K6709" i="1"/>
  <c r="L6709" i="1"/>
  <c r="K6710" i="1"/>
  <c r="L6710" i="1"/>
  <c r="K6711" i="1"/>
  <c r="L6711" i="1"/>
  <c r="K6712" i="1"/>
  <c r="L6712" i="1"/>
  <c r="K6713" i="1"/>
  <c r="L6713" i="1"/>
  <c r="K6714" i="1"/>
  <c r="L6714" i="1"/>
  <c r="K6715" i="1"/>
  <c r="L6715" i="1"/>
  <c r="K6716" i="1"/>
  <c r="L6716" i="1"/>
  <c r="K6717" i="1"/>
  <c r="L6717" i="1"/>
  <c r="K6718" i="1"/>
  <c r="L6718" i="1"/>
  <c r="K6719" i="1"/>
  <c r="L6719" i="1"/>
  <c r="K6720" i="1"/>
  <c r="L6720" i="1"/>
  <c r="K6721" i="1"/>
  <c r="L6721" i="1"/>
  <c r="K6722" i="1"/>
  <c r="L6722" i="1"/>
  <c r="K6723" i="1"/>
  <c r="L6723" i="1"/>
  <c r="K6724" i="1"/>
  <c r="L6724" i="1"/>
  <c r="K6725" i="1"/>
  <c r="L6725" i="1"/>
  <c r="K6726" i="1"/>
  <c r="L6726" i="1"/>
  <c r="K6727" i="1"/>
  <c r="L6727" i="1"/>
  <c r="K6728" i="1"/>
  <c r="L6728" i="1"/>
  <c r="K6729" i="1"/>
  <c r="L6729" i="1"/>
  <c r="K6730" i="1"/>
  <c r="L6730" i="1"/>
  <c r="K6731" i="1"/>
  <c r="L6731" i="1"/>
  <c r="K6732" i="1"/>
  <c r="L6732" i="1"/>
  <c r="K6733" i="1"/>
  <c r="L6733" i="1"/>
  <c r="K6734" i="1"/>
  <c r="L6734" i="1"/>
  <c r="K6735" i="1"/>
  <c r="L6735" i="1"/>
  <c r="K6736" i="1"/>
  <c r="L6736" i="1"/>
  <c r="K6737" i="1"/>
  <c r="L6737" i="1"/>
  <c r="K6738" i="1"/>
  <c r="L6738" i="1"/>
  <c r="K6739" i="1"/>
  <c r="L6739" i="1"/>
  <c r="K6740" i="1"/>
  <c r="L6740" i="1"/>
  <c r="K6741" i="1"/>
  <c r="L6741" i="1"/>
  <c r="K6742" i="1"/>
  <c r="L6742" i="1"/>
  <c r="K6743" i="1"/>
  <c r="L6743" i="1"/>
  <c r="K6744" i="1"/>
  <c r="L6744" i="1"/>
  <c r="K6745" i="1"/>
  <c r="L6745" i="1"/>
  <c r="K6746" i="1"/>
  <c r="L6746" i="1"/>
  <c r="K6747" i="1"/>
  <c r="L6747" i="1"/>
  <c r="K6748" i="1"/>
  <c r="L6748" i="1"/>
  <c r="K6749" i="1"/>
  <c r="L6749" i="1"/>
  <c r="K6750" i="1"/>
  <c r="L6750" i="1"/>
  <c r="K6751" i="1"/>
  <c r="L6751" i="1"/>
  <c r="K6752" i="1"/>
  <c r="L6752" i="1"/>
  <c r="K6753" i="1"/>
  <c r="L6753" i="1"/>
  <c r="K6754" i="1"/>
  <c r="L6754" i="1"/>
  <c r="K6755" i="1"/>
  <c r="L6755" i="1"/>
  <c r="K6756" i="1"/>
  <c r="L6756" i="1"/>
  <c r="K6757" i="1"/>
  <c r="L6757" i="1"/>
  <c r="K6758" i="1"/>
  <c r="L6758" i="1"/>
  <c r="K6759" i="1"/>
  <c r="L6759" i="1"/>
  <c r="K6760" i="1"/>
  <c r="L6760" i="1"/>
  <c r="K6761" i="1"/>
  <c r="L6761" i="1"/>
  <c r="K6762" i="1"/>
  <c r="L6762" i="1"/>
  <c r="K6763" i="1"/>
  <c r="L6763" i="1"/>
  <c r="K6764" i="1"/>
  <c r="L6764" i="1"/>
  <c r="K6765" i="1"/>
  <c r="L6765" i="1"/>
  <c r="K6766" i="1"/>
  <c r="L6766" i="1"/>
  <c r="K6767" i="1"/>
  <c r="L6767" i="1"/>
  <c r="K6768" i="1"/>
  <c r="L6768" i="1"/>
  <c r="K6769" i="1"/>
  <c r="L6769" i="1"/>
  <c r="K6770" i="1"/>
  <c r="L6770" i="1"/>
  <c r="K6771" i="1"/>
  <c r="L6771" i="1"/>
  <c r="K6772" i="1"/>
  <c r="L6772" i="1"/>
  <c r="K6773" i="1"/>
  <c r="L6773" i="1"/>
  <c r="K6774" i="1"/>
  <c r="L6774" i="1"/>
  <c r="K6775" i="1"/>
  <c r="L6775" i="1"/>
  <c r="K6776" i="1"/>
  <c r="L6776" i="1"/>
  <c r="K6777" i="1"/>
  <c r="L6777" i="1"/>
  <c r="K6778" i="1"/>
  <c r="L6778" i="1"/>
  <c r="K6779" i="1"/>
  <c r="L6779" i="1"/>
  <c r="K6780" i="1"/>
  <c r="L6780" i="1"/>
  <c r="K6781" i="1"/>
  <c r="L6781" i="1"/>
  <c r="K6782" i="1"/>
  <c r="L6782" i="1"/>
  <c r="K6783" i="1"/>
  <c r="L6783" i="1"/>
  <c r="K6784" i="1"/>
  <c r="L6784" i="1"/>
  <c r="K6785" i="1"/>
  <c r="L6785" i="1"/>
  <c r="K6786" i="1"/>
  <c r="L6786" i="1"/>
  <c r="K6787" i="1"/>
  <c r="L6787" i="1"/>
  <c r="K6788" i="1"/>
  <c r="L6788" i="1"/>
  <c r="K6789" i="1"/>
  <c r="L6789" i="1"/>
  <c r="K6790" i="1"/>
  <c r="L6790" i="1"/>
  <c r="K6791" i="1"/>
  <c r="L6791" i="1"/>
  <c r="K6792" i="1"/>
  <c r="L6792" i="1"/>
  <c r="K6793" i="1"/>
  <c r="L6793" i="1"/>
  <c r="K6794" i="1"/>
  <c r="L6794" i="1"/>
  <c r="K6795" i="1"/>
  <c r="L6795" i="1"/>
  <c r="K6796" i="1"/>
  <c r="L6796" i="1"/>
  <c r="K6797" i="1"/>
  <c r="L6797" i="1"/>
  <c r="K6798" i="1"/>
  <c r="L6798" i="1"/>
  <c r="K6799" i="1"/>
  <c r="L6799" i="1"/>
  <c r="K6800" i="1"/>
  <c r="L6800" i="1"/>
  <c r="K6801" i="1"/>
  <c r="L6801" i="1"/>
  <c r="K6802" i="1"/>
  <c r="L6802" i="1"/>
  <c r="K6803" i="1"/>
  <c r="L6803" i="1"/>
  <c r="K6804" i="1"/>
  <c r="L6804" i="1"/>
  <c r="K6805" i="1"/>
  <c r="L6805" i="1"/>
  <c r="K6806" i="1"/>
  <c r="L6806" i="1"/>
  <c r="K6807" i="1"/>
  <c r="L6807" i="1"/>
  <c r="K6808" i="1"/>
  <c r="L6808" i="1"/>
  <c r="K6809" i="1"/>
  <c r="L6809" i="1"/>
  <c r="K6810" i="1"/>
  <c r="L6810" i="1"/>
  <c r="K6811" i="1"/>
  <c r="L6811" i="1"/>
  <c r="K6812" i="1"/>
  <c r="L6812" i="1"/>
  <c r="K6813" i="1"/>
  <c r="L6813" i="1"/>
  <c r="K6814" i="1"/>
  <c r="L6814" i="1"/>
  <c r="K6815" i="1"/>
  <c r="L6815" i="1"/>
  <c r="K6816" i="1"/>
  <c r="L6816" i="1"/>
  <c r="K6817" i="1"/>
  <c r="L6817" i="1"/>
  <c r="K6818" i="1"/>
  <c r="L6818" i="1"/>
  <c r="K6819" i="1"/>
  <c r="L6819" i="1"/>
  <c r="K6820" i="1"/>
  <c r="L6820" i="1"/>
  <c r="K6821" i="1"/>
  <c r="L6821" i="1"/>
  <c r="K6822" i="1"/>
  <c r="L6822" i="1"/>
  <c r="K6823" i="1"/>
  <c r="L6823" i="1"/>
  <c r="K6824" i="1"/>
  <c r="L6824" i="1"/>
  <c r="K6825" i="1"/>
  <c r="L6825" i="1"/>
  <c r="K6826" i="1"/>
  <c r="L6826" i="1"/>
  <c r="K6827" i="1"/>
  <c r="L6827" i="1"/>
  <c r="K6828" i="1"/>
  <c r="L6828" i="1"/>
  <c r="K6829" i="1"/>
  <c r="L6829" i="1"/>
  <c r="K6830" i="1"/>
  <c r="L6830" i="1"/>
  <c r="K6831" i="1"/>
  <c r="L6831" i="1"/>
  <c r="K6832" i="1"/>
  <c r="L6832" i="1"/>
  <c r="K6833" i="1"/>
  <c r="L6833" i="1"/>
  <c r="K6834" i="1"/>
  <c r="L6834" i="1"/>
  <c r="K6835" i="1"/>
  <c r="L6835" i="1"/>
  <c r="K6836" i="1"/>
  <c r="L6836" i="1"/>
  <c r="K6837" i="1"/>
  <c r="L6837" i="1"/>
  <c r="K6838" i="1"/>
  <c r="L6838" i="1"/>
  <c r="K6839" i="1"/>
  <c r="L6839" i="1"/>
  <c r="K6840" i="1"/>
  <c r="L6840" i="1"/>
  <c r="K6841" i="1"/>
  <c r="L6841" i="1"/>
  <c r="K6842" i="1"/>
  <c r="L6842" i="1"/>
  <c r="K6843" i="1"/>
  <c r="L6843" i="1"/>
  <c r="K6844" i="1"/>
  <c r="L6844" i="1"/>
  <c r="K6845" i="1"/>
  <c r="L6845" i="1"/>
  <c r="K6846" i="1"/>
  <c r="L6846" i="1"/>
  <c r="K6847" i="1"/>
  <c r="L6847" i="1"/>
  <c r="K6848" i="1"/>
  <c r="L6848" i="1"/>
  <c r="K6849" i="1"/>
  <c r="L6849" i="1"/>
  <c r="K6850" i="1"/>
  <c r="L6850" i="1"/>
  <c r="K6851" i="1"/>
  <c r="L6851" i="1"/>
  <c r="K6852" i="1"/>
  <c r="L6852" i="1"/>
  <c r="K6853" i="1"/>
  <c r="L6853" i="1"/>
  <c r="K6854" i="1"/>
  <c r="L6854" i="1"/>
  <c r="K6855" i="1"/>
  <c r="L6855" i="1"/>
  <c r="K6856" i="1"/>
  <c r="L6856" i="1"/>
  <c r="K6857" i="1"/>
  <c r="L6857" i="1"/>
  <c r="K6858" i="1"/>
  <c r="L6858" i="1"/>
  <c r="K6859" i="1"/>
  <c r="L6859" i="1"/>
  <c r="K6860" i="1"/>
  <c r="L6860" i="1"/>
  <c r="K6861" i="1"/>
  <c r="L6861" i="1"/>
  <c r="K6862" i="1"/>
  <c r="L6862" i="1"/>
  <c r="K6863" i="1"/>
  <c r="L6863" i="1"/>
  <c r="K6864" i="1"/>
  <c r="L6864" i="1"/>
  <c r="K6865" i="1"/>
  <c r="L6865" i="1"/>
  <c r="K6866" i="1"/>
  <c r="L6866" i="1"/>
  <c r="K6867" i="1"/>
  <c r="L6867" i="1"/>
  <c r="K6868" i="1"/>
  <c r="L6868" i="1"/>
  <c r="K6869" i="1"/>
  <c r="L6869" i="1"/>
  <c r="K6870" i="1"/>
  <c r="L6870" i="1"/>
  <c r="K6871" i="1"/>
  <c r="L6871" i="1"/>
  <c r="K6872" i="1"/>
  <c r="L6872" i="1"/>
  <c r="K6873" i="1"/>
  <c r="L6873" i="1"/>
  <c r="K6874" i="1"/>
  <c r="L6874" i="1"/>
  <c r="K6875" i="1"/>
  <c r="L6875" i="1"/>
  <c r="K6876" i="1"/>
  <c r="L6876" i="1"/>
  <c r="K6877" i="1"/>
  <c r="L6877" i="1"/>
  <c r="K6878" i="1"/>
  <c r="L6878" i="1"/>
  <c r="K6879" i="1"/>
  <c r="L6879" i="1"/>
  <c r="K6880" i="1"/>
  <c r="L6880" i="1"/>
  <c r="K6881" i="1"/>
  <c r="L6881" i="1"/>
  <c r="K6882" i="1"/>
  <c r="L6882" i="1"/>
  <c r="K6883" i="1"/>
  <c r="L6883" i="1"/>
  <c r="K6884" i="1"/>
  <c r="L6884" i="1"/>
  <c r="K6885" i="1"/>
  <c r="L6885" i="1"/>
  <c r="K6886" i="1"/>
  <c r="L6886" i="1"/>
  <c r="K6887" i="1"/>
  <c r="L6887" i="1"/>
  <c r="K6888" i="1"/>
  <c r="L6888" i="1"/>
  <c r="K6889" i="1"/>
  <c r="L6889" i="1"/>
  <c r="K6890" i="1"/>
  <c r="L6890" i="1"/>
  <c r="K6891" i="1"/>
  <c r="L6891" i="1"/>
  <c r="K6892" i="1"/>
  <c r="L6892" i="1"/>
  <c r="K6893" i="1"/>
  <c r="L6893" i="1"/>
  <c r="K6894" i="1"/>
  <c r="L6894" i="1"/>
  <c r="K6895" i="1"/>
  <c r="L6895" i="1"/>
  <c r="K6896" i="1"/>
  <c r="L6896" i="1"/>
  <c r="K6897" i="1"/>
  <c r="L6897" i="1"/>
  <c r="K6898" i="1"/>
  <c r="L6898" i="1"/>
  <c r="K6899" i="1"/>
  <c r="L6899" i="1"/>
  <c r="K6900" i="1"/>
  <c r="L6900" i="1"/>
  <c r="K6901" i="1"/>
  <c r="L6901" i="1"/>
  <c r="K6902" i="1"/>
  <c r="L6902" i="1"/>
  <c r="K6903" i="1"/>
  <c r="L6903" i="1"/>
  <c r="K6904" i="1"/>
  <c r="L6904" i="1"/>
  <c r="K6905" i="1"/>
  <c r="L6905" i="1"/>
  <c r="K6906" i="1"/>
  <c r="L6906" i="1"/>
  <c r="K6907" i="1"/>
  <c r="L6907" i="1"/>
  <c r="K6908" i="1"/>
  <c r="L6908" i="1"/>
  <c r="K6909" i="1"/>
  <c r="L6909" i="1"/>
  <c r="K6910" i="1"/>
  <c r="L6910" i="1"/>
  <c r="K6911" i="1"/>
  <c r="L6911" i="1"/>
  <c r="K6912" i="1"/>
  <c r="L6912" i="1"/>
  <c r="K6913" i="1"/>
  <c r="L6913" i="1"/>
  <c r="K6914" i="1"/>
  <c r="L6914" i="1"/>
  <c r="K6915" i="1"/>
  <c r="L6915" i="1"/>
  <c r="K6916" i="1"/>
  <c r="L6916" i="1"/>
  <c r="K6917" i="1"/>
  <c r="L6917" i="1"/>
  <c r="K6918" i="1"/>
  <c r="L6918" i="1"/>
  <c r="K6919" i="1"/>
  <c r="L6919" i="1"/>
  <c r="K6920" i="1"/>
  <c r="L6920" i="1"/>
  <c r="K6921" i="1"/>
  <c r="L6921" i="1"/>
  <c r="K6922" i="1"/>
  <c r="L6922" i="1"/>
  <c r="K6923" i="1"/>
  <c r="L6923" i="1"/>
  <c r="K6924" i="1"/>
  <c r="L6924" i="1"/>
  <c r="K6925" i="1"/>
  <c r="L6925" i="1"/>
  <c r="K6926" i="1"/>
  <c r="L6926" i="1"/>
  <c r="K6927" i="1"/>
  <c r="L6927" i="1"/>
  <c r="K6928" i="1"/>
  <c r="L6928" i="1"/>
  <c r="K6929" i="1"/>
  <c r="L6929" i="1"/>
  <c r="K6930" i="1"/>
  <c r="L6930" i="1"/>
  <c r="K6931" i="1"/>
  <c r="L6931" i="1"/>
  <c r="K6932" i="1"/>
  <c r="L6932" i="1"/>
  <c r="K6933" i="1"/>
  <c r="L6933" i="1"/>
  <c r="K6934" i="1"/>
  <c r="L6934" i="1"/>
  <c r="K6935" i="1"/>
  <c r="L6935" i="1"/>
  <c r="K6936" i="1"/>
  <c r="L6936" i="1"/>
  <c r="K6937" i="1"/>
  <c r="L6937" i="1"/>
  <c r="K6938" i="1"/>
  <c r="L6938" i="1"/>
  <c r="K6939" i="1"/>
  <c r="L6939" i="1"/>
  <c r="K6940" i="1"/>
  <c r="L6940" i="1"/>
  <c r="K6941" i="1"/>
  <c r="L6941" i="1"/>
  <c r="K6942" i="1"/>
  <c r="L6942" i="1"/>
  <c r="K6943" i="1"/>
  <c r="L6943" i="1"/>
  <c r="K6944" i="1"/>
  <c r="L6944" i="1"/>
  <c r="K6945" i="1"/>
  <c r="L6945" i="1"/>
  <c r="K6946" i="1"/>
  <c r="L6946" i="1"/>
  <c r="K6947" i="1"/>
  <c r="L6947" i="1"/>
  <c r="K6948" i="1"/>
  <c r="L6948" i="1"/>
  <c r="K6949" i="1"/>
  <c r="L6949" i="1"/>
  <c r="K6950" i="1"/>
  <c r="L6950" i="1"/>
  <c r="K6951" i="1"/>
  <c r="L6951" i="1"/>
  <c r="K6952" i="1"/>
  <c r="L6952" i="1"/>
  <c r="K6953" i="1"/>
  <c r="L6953" i="1"/>
  <c r="K6954" i="1"/>
  <c r="L6954" i="1"/>
  <c r="K6955" i="1"/>
  <c r="L6955" i="1"/>
  <c r="K6956" i="1"/>
  <c r="L6956" i="1"/>
  <c r="K6957" i="1"/>
  <c r="L6957" i="1"/>
  <c r="K6958" i="1"/>
  <c r="L6958" i="1"/>
  <c r="K6959" i="1"/>
  <c r="L6959" i="1"/>
  <c r="K6960" i="1"/>
  <c r="L6960" i="1"/>
  <c r="K6961" i="1"/>
  <c r="L6961" i="1"/>
  <c r="K6962" i="1"/>
  <c r="L6962" i="1"/>
  <c r="K6963" i="1"/>
  <c r="L6963" i="1"/>
  <c r="K6964" i="1"/>
  <c r="L6964" i="1"/>
  <c r="K6965" i="1"/>
  <c r="L6965" i="1"/>
  <c r="K6966" i="1"/>
  <c r="L6966" i="1"/>
  <c r="K6967" i="1"/>
  <c r="L6967" i="1"/>
  <c r="K6968" i="1"/>
  <c r="L6968" i="1"/>
  <c r="K6969" i="1"/>
  <c r="L6969" i="1"/>
  <c r="K6970" i="1"/>
  <c r="L6970" i="1"/>
  <c r="K6971" i="1"/>
  <c r="L6971" i="1"/>
  <c r="K6972" i="1"/>
  <c r="L6972" i="1"/>
  <c r="K6973" i="1"/>
  <c r="L6973" i="1"/>
  <c r="K6974" i="1"/>
  <c r="L6974" i="1"/>
  <c r="K6975" i="1"/>
  <c r="L6975" i="1"/>
  <c r="K6976" i="1"/>
  <c r="L6976" i="1"/>
  <c r="K6977" i="1"/>
  <c r="L6977" i="1"/>
  <c r="K6978" i="1"/>
  <c r="L6978" i="1"/>
  <c r="K6979" i="1"/>
  <c r="L6979" i="1"/>
  <c r="K6980" i="1"/>
  <c r="L6980" i="1"/>
  <c r="K6981" i="1"/>
  <c r="L6981" i="1"/>
  <c r="K6982" i="1"/>
  <c r="L6982" i="1"/>
  <c r="K6983" i="1"/>
  <c r="L6983" i="1"/>
  <c r="K6984" i="1"/>
  <c r="L6984" i="1"/>
  <c r="K6985" i="1"/>
  <c r="L6985" i="1"/>
  <c r="K6986" i="1"/>
  <c r="L6986" i="1"/>
  <c r="K6987" i="1"/>
  <c r="L6987" i="1"/>
  <c r="K6988" i="1"/>
  <c r="L6988" i="1"/>
  <c r="K6989" i="1"/>
  <c r="L6989" i="1"/>
  <c r="K6990" i="1"/>
  <c r="L6990" i="1"/>
  <c r="K6991" i="1"/>
  <c r="L6991" i="1"/>
  <c r="K6992" i="1"/>
  <c r="L6992" i="1"/>
  <c r="K6993" i="1"/>
  <c r="L6993" i="1"/>
  <c r="K6994" i="1"/>
  <c r="L6994" i="1"/>
  <c r="K6995" i="1"/>
  <c r="L6995" i="1"/>
  <c r="K6996" i="1"/>
  <c r="L6996" i="1"/>
  <c r="K6997" i="1"/>
  <c r="L6997" i="1"/>
  <c r="K6998" i="1"/>
  <c r="L6998" i="1"/>
  <c r="K6999" i="1"/>
  <c r="L6999" i="1"/>
  <c r="K7000" i="1"/>
  <c r="L7000" i="1"/>
  <c r="K7001" i="1"/>
  <c r="L7001" i="1"/>
  <c r="K7002" i="1"/>
  <c r="L7002" i="1"/>
  <c r="K7003" i="1"/>
  <c r="L7003" i="1"/>
  <c r="K7004" i="1"/>
  <c r="L7004" i="1"/>
  <c r="K7005" i="1"/>
  <c r="L7005" i="1"/>
  <c r="K7006" i="1"/>
  <c r="L7006" i="1"/>
  <c r="K7007" i="1"/>
  <c r="L7007" i="1"/>
  <c r="K7008" i="1"/>
  <c r="L7008" i="1"/>
  <c r="K7009" i="1"/>
  <c r="L7009" i="1"/>
  <c r="K7010" i="1"/>
  <c r="L7010" i="1"/>
  <c r="K7011" i="1"/>
  <c r="L7011" i="1"/>
  <c r="K7012" i="1"/>
  <c r="L7012" i="1"/>
  <c r="K7013" i="1"/>
  <c r="L7013" i="1"/>
  <c r="K7014" i="1"/>
  <c r="L7014" i="1"/>
  <c r="K7015" i="1"/>
  <c r="L7015" i="1"/>
  <c r="K7016" i="1"/>
  <c r="L7016" i="1"/>
  <c r="K7017" i="1"/>
  <c r="L7017" i="1"/>
  <c r="K7018" i="1"/>
  <c r="L7018" i="1"/>
  <c r="K7019" i="1"/>
  <c r="L7019" i="1"/>
  <c r="K7020" i="1"/>
  <c r="L7020" i="1"/>
  <c r="K7021" i="1"/>
  <c r="L7021" i="1"/>
  <c r="K7022" i="1"/>
  <c r="L7022" i="1"/>
  <c r="K7023" i="1"/>
  <c r="L7023" i="1"/>
  <c r="K7024" i="1"/>
  <c r="L7024" i="1"/>
  <c r="K7025" i="1"/>
  <c r="L7025" i="1"/>
  <c r="K7026" i="1"/>
  <c r="L7026" i="1"/>
  <c r="K7027" i="1"/>
  <c r="L7027" i="1"/>
  <c r="K7028" i="1"/>
  <c r="L7028" i="1"/>
  <c r="K7029" i="1"/>
  <c r="L7029" i="1"/>
  <c r="K7030" i="1"/>
  <c r="L7030" i="1"/>
  <c r="K7031" i="1"/>
  <c r="L7031" i="1"/>
  <c r="K7032" i="1"/>
  <c r="L7032" i="1"/>
  <c r="K7033" i="1"/>
  <c r="L7033" i="1"/>
  <c r="K7034" i="1"/>
  <c r="L7034" i="1"/>
  <c r="K7035" i="1"/>
  <c r="L7035" i="1"/>
  <c r="K7036" i="1"/>
  <c r="L7036" i="1"/>
  <c r="K7037" i="1"/>
  <c r="L7037" i="1"/>
  <c r="K7038" i="1"/>
  <c r="L7038" i="1"/>
  <c r="K7039" i="1"/>
  <c r="L7039" i="1"/>
  <c r="K7040" i="1"/>
  <c r="L7040" i="1"/>
  <c r="K7041" i="1"/>
  <c r="L7041" i="1"/>
  <c r="K7042" i="1"/>
  <c r="L7042" i="1"/>
  <c r="K7043" i="1"/>
  <c r="L7043" i="1"/>
  <c r="K7044" i="1"/>
  <c r="L7044" i="1"/>
  <c r="K7045" i="1"/>
  <c r="L7045" i="1"/>
  <c r="K7046" i="1"/>
  <c r="L7046" i="1"/>
  <c r="K7047" i="1"/>
  <c r="L7047" i="1"/>
  <c r="K7048" i="1"/>
  <c r="L7048" i="1"/>
  <c r="K7049" i="1"/>
  <c r="L7049" i="1"/>
  <c r="K7050" i="1"/>
  <c r="L7050" i="1"/>
  <c r="K7051" i="1"/>
  <c r="L7051" i="1"/>
  <c r="K7052" i="1"/>
  <c r="L7052" i="1"/>
  <c r="K7053" i="1"/>
  <c r="L7053" i="1"/>
  <c r="K7054" i="1"/>
  <c r="L7054" i="1"/>
  <c r="K7055" i="1"/>
  <c r="L7055" i="1"/>
  <c r="K7056" i="1"/>
  <c r="L7056" i="1"/>
  <c r="K7057" i="1"/>
  <c r="L7057" i="1"/>
  <c r="K7058" i="1"/>
  <c r="L7058" i="1"/>
  <c r="K7059" i="1"/>
  <c r="L7059" i="1"/>
  <c r="K7060" i="1"/>
  <c r="L7060" i="1"/>
  <c r="K7061" i="1"/>
  <c r="L7061" i="1"/>
  <c r="K7062" i="1"/>
  <c r="L7062" i="1"/>
  <c r="K7063" i="1"/>
  <c r="L7063" i="1"/>
  <c r="K7064" i="1"/>
  <c r="L7064" i="1"/>
  <c r="K7065" i="1"/>
  <c r="L7065" i="1"/>
  <c r="K7066" i="1"/>
  <c r="L7066" i="1"/>
  <c r="K7067" i="1"/>
  <c r="L7067" i="1"/>
  <c r="K7068" i="1"/>
  <c r="L7068" i="1"/>
  <c r="K7069" i="1"/>
  <c r="L7069" i="1"/>
  <c r="K7070" i="1"/>
  <c r="L7070" i="1"/>
  <c r="K7071" i="1"/>
  <c r="L7071" i="1"/>
  <c r="K7072" i="1"/>
  <c r="L7072" i="1"/>
  <c r="K7073" i="1"/>
  <c r="L7073" i="1"/>
  <c r="K7074" i="1"/>
  <c r="L7074" i="1"/>
  <c r="K7075" i="1"/>
  <c r="L7075" i="1"/>
  <c r="K7076" i="1"/>
  <c r="L7076" i="1"/>
  <c r="K7077" i="1"/>
  <c r="L7077" i="1"/>
  <c r="K7078" i="1"/>
  <c r="L7078" i="1"/>
  <c r="K7079" i="1"/>
  <c r="L7079" i="1"/>
  <c r="K7080" i="1"/>
  <c r="L7080" i="1"/>
  <c r="K7081" i="1"/>
  <c r="L7081" i="1"/>
  <c r="K7082" i="1"/>
  <c r="L7082" i="1"/>
  <c r="K7083" i="1"/>
  <c r="L7083" i="1"/>
  <c r="K7084" i="1"/>
  <c r="L7084" i="1"/>
  <c r="K7085" i="1"/>
  <c r="L7085" i="1"/>
  <c r="K7086" i="1"/>
  <c r="L7086" i="1"/>
  <c r="K7087" i="1"/>
  <c r="L7087" i="1"/>
  <c r="K7088" i="1"/>
  <c r="L7088" i="1"/>
  <c r="K7089" i="1"/>
  <c r="L7089" i="1"/>
  <c r="K7090" i="1"/>
  <c r="L7090" i="1"/>
  <c r="K7091" i="1"/>
  <c r="L7091" i="1"/>
  <c r="K7092" i="1"/>
  <c r="L7092" i="1"/>
  <c r="K7093" i="1"/>
  <c r="L7093" i="1"/>
  <c r="K7094" i="1"/>
  <c r="L7094" i="1"/>
  <c r="K7095" i="1"/>
  <c r="L7095" i="1"/>
  <c r="K7096" i="1"/>
  <c r="L7096" i="1"/>
  <c r="K7097" i="1"/>
  <c r="L7097" i="1"/>
  <c r="K7098" i="1"/>
  <c r="L7098" i="1"/>
  <c r="K7099" i="1"/>
  <c r="L7099" i="1"/>
  <c r="K7100" i="1"/>
  <c r="L7100" i="1"/>
  <c r="K7101" i="1"/>
  <c r="L7101" i="1"/>
  <c r="K7102" i="1"/>
  <c r="L7102" i="1"/>
  <c r="K7103" i="1"/>
  <c r="L7103" i="1"/>
  <c r="K7104" i="1"/>
  <c r="L7104" i="1"/>
  <c r="K7105" i="1"/>
  <c r="L7105" i="1"/>
  <c r="K7106" i="1"/>
  <c r="L7106" i="1"/>
  <c r="K7107" i="1"/>
  <c r="L7107" i="1"/>
  <c r="K7108" i="1"/>
  <c r="L7108" i="1"/>
  <c r="K7109" i="1"/>
  <c r="L7109" i="1"/>
  <c r="K7110" i="1"/>
  <c r="L7110" i="1"/>
  <c r="K7111" i="1"/>
  <c r="L7111" i="1"/>
  <c r="K7112" i="1"/>
  <c r="L7112" i="1"/>
  <c r="K7113" i="1"/>
  <c r="L7113" i="1"/>
  <c r="K7114" i="1"/>
  <c r="L7114" i="1"/>
  <c r="K7115" i="1"/>
  <c r="L7115" i="1"/>
  <c r="K7116" i="1"/>
  <c r="L7116" i="1"/>
  <c r="K7117" i="1"/>
  <c r="L7117" i="1"/>
  <c r="K7118" i="1"/>
  <c r="L7118" i="1"/>
  <c r="K7119" i="1"/>
  <c r="L7119" i="1"/>
  <c r="K7120" i="1"/>
  <c r="L7120" i="1"/>
  <c r="K7121" i="1"/>
  <c r="L7121" i="1"/>
  <c r="K7122" i="1"/>
  <c r="L7122" i="1"/>
  <c r="K7123" i="1"/>
  <c r="L7123" i="1"/>
  <c r="K7124" i="1"/>
  <c r="L7124" i="1"/>
  <c r="K7125" i="1"/>
  <c r="L7125" i="1"/>
  <c r="K7126" i="1"/>
  <c r="L7126" i="1"/>
  <c r="K7127" i="1"/>
  <c r="L7127" i="1"/>
  <c r="K7128" i="1"/>
  <c r="L7128" i="1"/>
  <c r="K7129" i="1"/>
  <c r="L7129" i="1"/>
  <c r="K7130" i="1"/>
  <c r="L7130" i="1"/>
  <c r="K7131" i="1"/>
  <c r="L7131" i="1"/>
  <c r="K7132" i="1"/>
  <c r="L7132" i="1"/>
  <c r="K7133" i="1"/>
  <c r="L7133" i="1"/>
  <c r="K7134" i="1"/>
  <c r="L7134" i="1"/>
  <c r="K7135" i="1"/>
  <c r="L7135" i="1"/>
  <c r="K7136" i="1"/>
  <c r="L7136" i="1"/>
  <c r="K7137" i="1"/>
  <c r="L7137" i="1"/>
  <c r="K7138" i="1"/>
  <c r="L7138" i="1"/>
  <c r="K7139" i="1"/>
  <c r="L7139" i="1"/>
  <c r="K7140" i="1"/>
  <c r="L7140" i="1"/>
  <c r="K7141" i="1"/>
  <c r="L7141" i="1"/>
  <c r="K7142" i="1"/>
  <c r="L7142" i="1"/>
  <c r="K7143" i="1"/>
  <c r="L7143" i="1"/>
  <c r="K7144" i="1"/>
  <c r="L7144" i="1"/>
  <c r="K7145" i="1"/>
  <c r="L7145" i="1"/>
  <c r="K7146" i="1"/>
  <c r="L7146" i="1"/>
  <c r="K7147" i="1"/>
  <c r="L7147" i="1"/>
  <c r="K7148" i="1"/>
  <c r="L7148" i="1"/>
  <c r="K7149" i="1"/>
  <c r="L7149" i="1"/>
  <c r="K7150" i="1"/>
  <c r="L7150" i="1"/>
  <c r="K7151" i="1"/>
  <c r="L7151" i="1"/>
  <c r="K7152" i="1"/>
  <c r="L7152" i="1"/>
  <c r="K7153" i="1"/>
  <c r="L7153" i="1"/>
  <c r="K7154" i="1"/>
  <c r="L7154" i="1"/>
  <c r="K7155" i="1"/>
  <c r="L7155" i="1"/>
  <c r="K7156" i="1"/>
  <c r="L7156" i="1"/>
  <c r="K7157" i="1"/>
  <c r="L7157" i="1"/>
  <c r="K7158" i="1"/>
  <c r="L7158" i="1"/>
  <c r="K7159" i="1"/>
  <c r="L7159" i="1"/>
  <c r="K7160" i="1"/>
  <c r="L7160" i="1"/>
  <c r="K7161" i="1"/>
  <c r="L7161" i="1"/>
  <c r="K7162" i="1"/>
  <c r="L7162" i="1"/>
  <c r="K7163" i="1"/>
  <c r="L7163" i="1"/>
  <c r="K7164" i="1"/>
  <c r="L7164" i="1"/>
  <c r="K7165" i="1"/>
  <c r="L7165" i="1"/>
  <c r="K7166" i="1"/>
  <c r="L7166" i="1"/>
  <c r="K7167" i="1"/>
  <c r="L7167" i="1"/>
  <c r="K7168" i="1"/>
  <c r="L7168" i="1"/>
  <c r="K7169" i="1"/>
  <c r="L7169" i="1"/>
  <c r="K7170" i="1"/>
  <c r="L7170" i="1"/>
  <c r="K7171" i="1"/>
  <c r="L7171" i="1"/>
  <c r="K7172" i="1"/>
  <c r="L7172" i="1"/>
  <c r="K7173" i="1"/>
  <c r="L7173" i="1"/>
  <c r="K7174" i="1"/>
  <c r="L7174" i="1"/>
  <c r="K7175" i="1"/>
  <c r="L7175" i="1"/>
  <c r="K7176" i="1"/>
  <c r="L7176" i="1"/>
  <c r="K7177" i="1"/>
  <c r="L7177" i="1"/>
  <c r="K7178" i="1"/>
  <c r="L7178" i="1"/>
  <c r="K7179" i="1"/>
  <c r="L7179" i="1"/>
  <c r="K7180" i="1"/>
  <c r="L7180" i="1"/>
  <c r="K7181" i="1"/>
  <c r="L7181" i="1"/>
  <c r="K7182" i="1"/>
  <c r="L7182" i="1"/>
  <c r="K7183" i="1"/>
  <c r="L7183" i="1"/>
  <c r="K7184" i="1"/>
  <c r="L7184" i="1"/>
  <c r="K7185" i="1"/>
  <c r="L7185" i="1"/>
  <c r="K7186" i="1"/>
  <c r="L7186" i="1"/>
  <c r="K7187" i="1"/>
  <c r="L7187" i="1"/>
  <c r="K7188" i="1"/>
  <c r="L7188" i="1"/>
  <c r="K7189" i="1"/>
  <c r="L7189" i="1"/>
  <c r="K7190" i="1"/>
  <c r="L7190" i="1"/>
  <c r="K7191" i="1"/>
  <c r="L7191" i="1"/>
  <c r="K7192" i="1"/>
  <c r="L7192" i="1"/>
  <c r="K7193" i="1"/>
  <c r="L7193" i="1"/>
  <c r="K7194" i="1"/>
  <c r="L7194" i="1"/>
  <c r="K7195" i="1"/>
  <c r="L7195" i="1"/>
  <c r="K7196" i="1"/>
  <c r="L7196" i="1"/>
  <c r="K7197" i="1"/>
  <c r="L7197" i="1"/>
  <c r="K7198" i="1"/>
  <c r="L7198" i="1"/>
  <c r="K7199" i="1"/>
  <c r="L7199" i="1"/>
  <c r="K7200" i="1"/>
  <c r="L7200" i="1"/>
  <c r="K7201" i="1"/>
  <c r="L7201" i="1"/>
  <c r="K7202" i="1"/>
  <c r="L7202" i="1"/>
  <c r="K7203" i="1"/>
  <c r="L7203" i="1"/>
  <c r="K7204" i="1"/>
  <c r="L7204" i="1"/>
  <c r="K7205" i="1"/>
  <c r="L7205" i="1"/>
  <c r="K7206" i="1"/>
  <c r="L7206" i="1"/>
  <c r="K7207" i="1"/>
  <c r="L7207" i="1"/>
  <c r="K7208" i="1"/>
  <c r="L7208" i="1"/>
  <c r="K7209" i="1"/>
  <c r="L7209" i="1"/>
  <c r="K7210" i="1"/>
  <c r="L7210" i="1"/>
  <c r="K7211" i="1"/>
  <c r="L7211" i="1"/>
  <c r="K7212" i="1"/>
  <c r="L7212" i="1"/>
  <c r="K7213" i="1"/>
  <c r="L7213" i="1"/>
  <c r="K7214" i="1"/>
  <c r="L7214" i="1"/>
  <c r="K7215" i="1"/>
  <c r="L7215" i="1"/>
  <c r="K7216" i="1"/>
  <c r="L7216" i="1"/>
  <c r="K7217" i="1"/>
  <c r="L7217" i="1"/>
  <c r="K7218" i="1"/>
  <c r="L7218" i="1"/>
  <c r="K7219" i="1"/>
  <c r="L7219" i="1"/>
  <c r="K7220" i="1"/>
  <c r="L7220" i="1"/>
  <c r="K7221" i="1"/>
  <c r="L7221" i="1"/>
  <c r="K7222" i="1"/>
  <c r="L7222" i="1"/>
  <c r="K7223" i="1"/>
  <c r="L7223" i="1"/>
  <c r="K7224" i="1"/>
  <c r="L7224" i="1"/>
  <c r="K7225" i="1"/>
  <c r="L7225" i="1"/>
  <c r="K7226" i="1"/>
  <c r="L7226" i="1"/>
  <c r="K7227" i="1"/>
  <c r="L7227" i="1"/>
  <c r="K7228" i="1"/>
  <c r="L7228" i="1"/>
  <c r="K7229" i="1"/>
  <c r="L7229" i="1"/>
  <c r="K7230" i="1"/>
  <c r="L7230" i="1"/>
  <c r="K7231" i="1"/>
  <c r="L7231" i="1"/>
  <c r="K7232" i="1"/>
  <c r="L7232" i="1"/>
  <c r="K7233" i="1"/>
  <c r="L7233" i="1"/>
  <c r="K7234" i="1"/>
  <c r="L7234" i="1"/>
  <c r="K7235" i="1"/>
  <c r="L7235" i="1"/>
  <c r="K7236" i="1"/>
  <c r="L7236" i="1"/>
  <c r="K7237" i="1"/>
  <c r="L7237" i="1"/>
  <c r="K7238" i="1"/>
  <c r="L7238" i="1"/>
  <c r="K7239" i="1"/>
  <c r="L7239" i="1"/>
  <c r="K7240" i="1"/>
  <c r="L7240" i="1"/>
  <c r="K7241" i="1"/>
  <c r="L7241" i="1"/>
  <c r="K7242" i="1"/>
  <c r="L7242" i="1"/>
  <c r="K7243" i="1"/>
  <c r="L7243" i="1"/>
  <c r="K7244" i="1"/>
  <c r="L7244" i="1"/>
  <c r="K7245" i="1"/>
  <c r="L7245" i="1"/>
  <c r="K7246" i="1"/>
  <c r="L7246" i="1"/>
  <c r="K7247" i="1"/>
  <c r="L7247" i="1"/>
  <c r="K7248" i="1"/>
  <c r="L7248" i="1"/>
  <c r="K7249" i="1"/>
  <c r="L7249" i="1"/>
  <c r="K7250" i="1"/>
  <c r="L7250" i="1"/>
  <c r="K7251" i="1"/>
  <c r="L7251" i="1"/>
  <c r="K7252" i="1"/>
  <c r="L7252" i="1"/>
  <c r="K7253" i="1"/>
  <c r="L7253" i="1"/>
  <c r="K7254" i="1"/>
  <c r="L7254" i="1"/>
  <c r="K7255" i="1"/>
  <c r="L7255" i="1"/>
  <c r="K7256" i="1"/>
  <c r="L7256" i="1"/>
  <c r="K7257" i="1"/>
  <c r="L7257" i="1"/>
  <c r="K7258" i="1"/>
  <c r="L7258" i="1"/>
  <c r="K7259" i="1"/>
  <c r="L7259" i="1"/>
  <c r="K7260" i="1"/>
  <c r="L7260" i="1"/>
  <c r="K7261" i="1"/>
  <c r="L7261" i="1"/>
  <c r="K7262" i="1"/>
  <c r="L7262" i="1"/>
  <c r="K7263" i="1"/>
  <c r="L7263" i="1"/>
  <c r="K7264" i="1"/>
  <c r="L7264" i="1"/>
  <c r="K7265" i="1"/>
  <c r="L7265" i="1"/>
  <c r="K7266" i="1"/>
  <c r="L7266" i="1"/>
  <c r="K7267" i="1"/>
  <c r="L7267" i="1"/>
  <c r="K7268" i="1"/>
  <c r="L7268" i="1"/>
  <c r="K7269" i="1"/>
  <c r="L7269" i="1"/>
  <c r="K7270" i="1"/>
  <c r="L7270" i="1"/>
  <c r="K7271" i="1"/>
  <c r="L7271" i="1"/>
  <c r="K7272" i="1"/>
  <c r="L7272" i="1"/>
  <c r="K7273" i="1"/>
  <c r="L7273" i="1"/>
  <c r="K7274" i="1"/>
  <c r="L7274" i="1"/>
  <c r="K7275" i="1"/>
  <c r="L7275" i="1"/>
  <c r="K7276" i="1"/>
  <c r="L7276" i="1"/>
  <c r="K7277" i="1"/>
  <c r="L7277" i="1"/>
  <c r="K7278" i="1"/>
  <c r="L7278" i="1"/>
  <c r="K7279" i="1"/>
  <c r="L7279" i="1"/>
  <c r="K7280" i="1"/>
  <c r="L7280" i="1"/>
  <c r="K7281" i="1"/>
  <c r="L7281" i="1"/>
  <c r="K7282" i="1"/>
  <c r="L7282" i="1"/>
  <c r="K7283" i="1"/>
  <c r="L7283" i="1"/>
  <c r="K7284" i="1"/>
  <c r="L7284" i="1"/>
  <c r="K7285" i="1"/>
  <c r="L7285" i="1"/>
  <c r="K7286" i="1"/>
  <c r="L7286" i="1"/>
  <c r="K7287" i="1"/>
  <c r="L7287" i="1"/>
  <c r="K7288" i="1"/>
  <c r="L7288" i="1"/>
  <c r="K7289" i="1"/>
  <c r="L7289" i="1"/>
  <c r="K7290" i="1"/>
  <c r="L7290" i="1"/>
  <c r="K7291" i="1"/>
  <c r="L7291" i="1"/>
  <c r="K7292" i="1"/>
  <c r="L7292" i="1"/>
  <c r="K7293" i="1"/>
  <c r="L7293" i="1"/>
  <c r="K7294" i="1"/>
  <c r="L7294" i="1"/>
  <c r="K7295" i="1"/>
  <c r="L7295" i="1"/>
  <c r="K7296" i="1"/>
  <c r="L7296" i="1"/>
  <c r="K7297" i="1"/>
  <c r="L7297" i="1"/>
  <c r="K7298" i="1"/>
  <c r="L7298" i="1"/>
  <c r="K7299" i="1"/>
  <c r="L7299" i="1"/>
  <c r="K7300" i="1"/>
  <c r="L7300" i="1"/>
  <c r="K7301" i="1"/>
  <c r="L7301" i="1"/>
  <c r="K7302" i="1"/>
  <c r="L7302" i="1"/>
  <c r="K7303" i="1"/>
  <c r="L7303" i="1"/>
  <c r="K7304" i="1"/>
  <c r="L7304" i="1"/>
  <c r="K7305" i="1"/>
  <c r="L7305" i="1"/>
  <c r="K7306" i="1"/>
  <c r="L7306" i="1"/>
  <c r="K7307" i="1"/>
  <c r="L7307" i="1"/>
  <c r="K7308" i="1"/>
  <c r="L7308" i="1"/>
  <c r="K7309" i="1"/>
  <c r="L7309" i="1"/>
  <c r="K7310" i="1"/>
  <c r="L7310" i="1"/>
  <c r="K7311" i="1"/>
  <c r="L7311" i="1"/>
  <c r="K7312" i="1"/>
  <c r="L7312" i="1"/>
  <c r="K7313" i="1"/>
  <c r="L7313" i="1"/>
  <c r="K7314" i="1"/>
  <c r="L7314" i="1"/>
  <c r="K7315" i="1"/>
  <c r="L7315" i="1"/>
  <c r="K7316" i="1"/>
  <c r="L7316" i="1"/>
  <c r="K7317" i="1"/>
  <c r="L7317" i="1"/>
  <c r="K7318" i="1"/>
  <c r="L7318" i="1"/>
  <c r="K7319" i="1"/>
  <c r="L7319" i="1"/>
  <c r="K7320" i="1"/>
  <c r="L7320" i="1"/>
  <c r="K7321" i="1"/>
  <c r="L7321" i="1"/>
  <c r="K7322" i="1"/>
  <c r="L7322" i="1"/>
  <c r="K7323" i="1"/>
  <c r="L7323" i="1"/>
  <c r="K7324" i="1"/>
  <c r="L7324" i="1"/>
  <c r="K7325" i="1"/>
  <c r="L7325" i="1"/>
  <c r="K7326" i="1"/>
  <c r="L7326" i="1"/>
  <c r="K7327" i="1"/>
  <c r="L7327" i="1"/>
  <c r="K7328" i="1"/>
  <c r="L7328" i="1"/>
  <c r="K7329" i="1"/>
  <c r="L7329" i="1"/>
  <c r="K7330" i="1"/>
  <c r="L7330" i="1"/>
  <c r="K7331" i="1"/>
  <c r="L7331" i="1"/>
  <c r="K7332" i="1"/>
  <c r="L7332" i="1"/>
  <c r="K7333" i="1"/>
  <c r="L7333" i="1"/>
  <c r="K7334" i="1"/>
  <c r="L7334" i="1"/>
  <c r="K7335" i="1"/>
  <c r="L7335" i="1"/>
  <c r="K7336" i="1"/>
  <c r="L7336" i="1"/>
  <c r="K7337" i="1"/>
  <c r="L7337" i="1"/>
  <c r="K7338" i="1"/>
  <c r="L7338" i="1"/>
  <c r="K7339" i="1"/>
  <c r="L7339" i="1"/>
  <c r="K7340" i="1"/>
  <c r="L7340" i="1"/>
  <c r="K7341" i="1"/>
  <c r="L7341" i="1"/>
  <c r="K7342" i="1"/>
  <c r="L7342" i="1"/>
  <c r="K7343" i="1"/>
  <c r="L7343" i="1"/>
  <c r="K7344" i="1"/>
  <c r="L7344" i="1"/>
  <c r="K7345" i="1"/>
  <c r="L7345" i="1"/>
  <c r="K7346" i="1"/>
  <c r="L7346" i="1"/>
  <c r="K7347" i="1"/>
  <c r="L7347" i="1"/>
  <c r="K7348" i="1"/>
  <c r="L7348" i="1"/>
  <c r="K7349" i="1"/>
  <c r="L7349" i="1"/>
  <c r="K7350" i="1"/>
  <c r="L7350" i="1"/>
  <c r="K7351" i="1"/>
  <c r="L7351" i="1"/>
  <c r="K7352" i="1"/>
  <c r="L7352" i="1"/>
  <c r="K7353" i="1"/>
  <c r="L7353" i="1"/>
  <c r="K7354" i="1"/>
  <c r="L7354" i="1"/>
  <c r="K7355" i="1"/>
  <c r="L7355" i="1"/>
  <c r="K7356" i="1"/>
  <c r="L7356" i="1"/>
  <c r="K7357" i="1"/>
  <c r="L7357" i="1"/>
  <c r="K7358" i="1"/>
  <c r="L7358" i="1"/>
  <c r="K7359" i="1"/>
  <c r="L7359" i="1"/>
  <c r="K7360" i="1"/>
  <c r="L7360" i="1"/>
  <c r="K7361" i="1"/>
  <c r="L7361" i="1"/>
  <c r="K7362" i="1"/>
  <c r="L7362" i="1"/>
  <c r="K7363" i="1"/>
  <c r="L7363" i="1"/>
  <c r="K7364" i="1"/>
  <c r="L7364" i="1"/>
  <c r="K7365" i="1"/>
  <c r="L7365" i="1"/>
  <c r="K7366" i="1"/>
  <c r="L7366" i="1"/>
  <c r="K7367" i="1"/>
  <c r="L7367" i="1"/>
  <c r="K7368" i="1"/>
  <c r="L7368" i="1"/>
  <c r="K7369" i="1"/>
  <c r="L7369" i="1"/>
  <c r="K7370" i="1"/>
  <c r="L7370" i="1"/>
  <c r="K7371" i="1"/>
  <c r="L7371" i="1"/>
  <c r="K7372" i="1"/>
  <c r="L7372" i="1"/>
  <c r="K7373" i="1"/>
  <c r="L7373" i="1"/>
  <c r="K7374" i="1"/>
  <c r="L7374" i="1"/>
  <c r="K7375" i="1"/>
  <c r="L7375" i="1"/>
  <c r="K7376" i="1"/>
  <c r="L7376" i="1"/>
  <c r="K7377" i="1"/>
  <c r="L7377" i="1"/>
  <c r="K7378" i="1"/>
  <c r="L7378" i="1"/>
  <c r="K7379" i="1"/>
  <c r="L7379" i="1"/>
  <c r="K7380" i="1"/>
  <c r="L7380" i="1"/>
  <c r="K7381" i="1"/>
  <c r="L7381" i="1"/>
  <c r="K7382" i="1"/>
  <c r="L7382" i="1"/>
  <c r="K7383" i="1"/>
  <c r="L7383" i="1"/>
  <c r="K7384" i="1"/>
  <c r="L7384" i="1"/>
  <c r="K7385" i="1"/>
  <c r="L7385" i="1"/>
  <c r="K7386" i="1"/>
  <c r="L7386" i="1"/>
  <c r="K7387" i="1"/>
  <c r="L7387" i="1"/>
  <c r="K7388" i="1"/>
  <c r="L7388" i="1"/>
  <c r="K7389" i="1"/>
  <c r="L7389" i="1"/>
  <c r="K7390" i="1"/>
  <c r="L7390" i="1"/>
  <c r="K7391" i="1"/>
  <c r="L7391" i="1"/>
  <c r="K7392" i="1"/>
  <c r="L7392" i="1"/>
  <c r="K7393" i="1"/>
  <c r="L7393" i="1"/>
  <c r="K7394" i="1"/>
  <c r="L7394" i="1"/>
  <c r="K7395" i="1"/>
  <c r="L7395" i="1"/>
  <c r="K7396" i="1"/>
  <c r="L7396" i="1"/>
  <c r="K7397" i="1"/>
  <c r="L7397" i="1"/>
  <c r="K7398" i="1"/>
  <c r="L7398" i="1"/>
  <c r="K7399" i="1"/>
  <c r="L7399" i="1"/>
  <c r="K7400" i="1"/>
  <c r="L7400" i="1"/>
  <c r="K7401" i="1"/>
  <c r="L7401" i="1"/>
  <c r="K7402" i="1"/>
  <c r="L7402" i="1"/>
  <c r="K7403" i="1"/>
  <c r="L7403" i="1"/>
  <c r="K7404" i="1"/>
  <c r="L7404" i="1"/>
  <c r="K7405" i="1"/>
  <c r="L7405" i="1"/>
  <c r="K7406" i="1"/>
  <c r="L7406" i="1"/>
  <c r="K7407" i="1"/>
  <c r="L7407" i="1"/>
  <c r="K7408" i="1"/>
  <c r="L7408" i="1"/>
  <c r="K7409" i="1"/>
  <c r="L7409" i="1"/>
  <c r="K7410" i="1"/>
  <c r="L7410" i="1"/>
  <c r="K7411" i="1"/>
  <c r="L7411" i="1"/>
  <c r="K7412" i="1"/>
  <c r="L7412" i="1"/>
  <c r="K7413" i="1"/>
  <c r="L7413" i="1"/>
  <c r="K7414" i="1"/>
  <c r="L7414" i="1"/>
  <c r="K7415" i="1"/>
  <c r="L7415" i="1"/>
  <c r="K7416" i="1"/>
  <c r="L7416" i="1"/>
  <c r="K7417" i="1"/>
  <c r="L7417" i="1"/>
  <c r="K7418" i="1"/>
  <c r="L7418" i="1"/>
  <c r="K7419" i="1"/>
  <c r="L7419" i="1"/>
  <c r="K7420" i="1"/>
  <c r="L7420" i="1"/>
  <c r="K7421" i="1"/>
  <c r="L7421" i="1"/>
  <c r="K7422" i="1"/>
  <c r="L7422" i="1"/>
  <c r="K7423" i="1"/>
  <c r="L7423" i="1"/>
  <c r="K7424" i="1"/>
  <c r="L7424" i="1"/>
  <c r="K7425" i="1"/>
  <c r="L7425" i="1"/>
  <c r="K7426" i="1"/>
  <c r="L7426" i="1"/>
  <c r="K7427" i="1"/>
  <c r="L7427" i="1"/>
  <c r="K7428" i="1"/>
  <c r="L7428" i="1"/>
  <c r="K7429" i="1"/>
  <c r="L7429" i="1"/>
  <c r="K7430" i="1"/>
  <c r="L7430" i="1"/>
  <c r="K7431" i="1"/>
  <c r="L7431" i="1"/>
  <c r="K7432" i="1"/>
  <c r="L7432" i="1"/>
  <c r="K7433" i="1"/>
  <c r="L7433" i="1"/>
  <c r="K7434" i="1"/>
  <c r="L7434" i="1"/>
  <c r="K7435" i="1"/>
  <c r="L7435" i="1"/>
  <c r="K7436" i="1"/>
  <c r="L7436" i="1"/>
  <c r="K7437" i="1"/>
  <c r="L7437" i="1"/>
  <c r="K7438" i="1"/>
  <c r="L7438" i="1"/>
  <c r="K7439" i="1"/>
  <c r="L7439" i="1"/>
  <c r="K7440" i="1"/>
  <c r="L7440" i="1"/>
  <c r="K7441" i="1"/>
  <c r="L7441" i="1"/>
  <c r="K7442" i="1"/>
  <c r="L7442" i="1"/>
  <c r="K7443" i="1"/>
  <c r="L7443" i="1"/>
  <c r="K7444" i="1"/>
  <c r="L7444" i="1"/>
  <c r="K7445" i="1"/>
  <c r="L7445" i="1"/>
  <c r="K7446" i="1"/>
  <c r="L7446" i="1"/>
  <c r="K7447" i="1"/>
  <c r="L7447" i="1"/>
  <c r="K7448" i="1"/>
  <c r="L7448" i="1"/>
  <c r="K7449" i="1"/>
  <c r="L7449" i="1"/>
  <c r="K7450" i="1"/>
  <c r="L7450" i="1"/>
  <c r="K7451" i="1"/>
  <c r="L7451" i="1"/>
  <c r="K7452" i="1"/>
  <c r="L7452" i="1"/>
  <c r="K7453" i="1"/>
  <c r="L7453" i="1"/>
  <c r="K7454" i="1"/>
  <c r="L7454" i="1"/>
  <c r="K7455" i="1"/>
  <c r="L7455" i="1"/>
  <c r="K7456" i="1"/>
  <c r="L7456" i="1"/>
  <c r="K7457" i="1"/>
  <c r="L7457" i="1"/>
  <c r="K7458" i="1"/>
  <c r="L7458" i="1"/>
  <c r="K7459" i="1"/>
  <c r="L7459" i="1"/>
  <c r="K7460" i="1"/>
  <c r="L7460" i="1"/>
  <c r="K7461" i="1"/>
  <c r="L7461" i="1"/>
  <c r="K7462" i="1"/>
  <c r="L7462" i="1"/>
  <c r="K7463" i="1"/>
  <c r="L7463" i="1"/>
  <c r="K7464" i="1"/>
  <c r="L7464" i="1"/>
  <c r="K7465" i="1"/>
  <c r="L7465" i="1"/>
  <c r="K7466" i="1"/>
  <c r="L7466" i="1"/>
  <c r="K7467" i="1"/>
  <c r="L7467" i="1"/>
  <c r="K7468" i="1"/>
  <c r="L7468" i="1"/>
  <c r="K7469" i="1"/>
  <c r="L7469" i="1"/>
  <c r="K7470" i="1"/>
  <c r="L7470" i="1"/>
  <c r="K7471" i="1"/>
  <c r="L7471" i="1"/>
  <c r="K7472" i="1"/>
  <c r="L7472" i="1"/>
  <c r="K7473" i="1"/>
  <c r="L7473" i="1"/>
  <c r="K7474" i="1"/>
  <c r="L7474" i="1"/>
  <c r="K7475" i="1"/>
  <c r="L7475" i="1"/>
  <c r="K7476" i="1"/>
  <c r="L7476" i="1"/>
  <c r="K7477" i="1"/>
  <c r="L7477" i="1"/>
  <c r="K7478" i="1"/>
  <c r="L7478" i="1"/>
  <c r="K7479" i="1"/>
  <c r="L7479" i="1"/>
  <c r="K7480" i="1"/>
  <c r="L7480" i="1"/>
  <c r="K7481" i="1"/>
  <c r="L7481" i="1"/>
  <c r="K7482" i="1"/>
  <c r="L7482" i="1"/>
  <c r="K7483" i="1"/>
  <c r="L7483" i="1"/>
  <c r="K7484" i="1"/>
  <c r="L7484" i="1"/>
  <c r="K7485" i="1"/>
  <c r="L7485" i="1"/>
  <c r="K7486" i="1"/>
  <c r="L7486" i="1"/>
  <c r="K7487" i="1"/>
  <c r="L7487" i="1"/>
  <c r="K7488" i="1"/>
  <c r="L7488" i="1"/>
  <c r="K7489" i="1"/>
  <c r="L7489" i="1"/>
  <c r="K7490" i="1"/>
  <c r="L7490" i="1"/>
  <c r="K7491" i="1"/>
  <c r="L7491" i="1"/>
  <c r="K7492" i="1"/>
  <c r="L7492" i="1"/>
  <c r="K7493" i="1"/>
  <c r="L7493" i="1"/>
  <c r="K7494" i="1"/>
  <c r="L7494" i="1"/>
  <c r="K7495" i="1"/>
  <c r="L7495" i="1"/>
  <c r="K7496" i="1"/>
  <c r="L7496" i="1"/>
  <c r="K7497" i="1"/>
  <c r="L7497" i="1"/>
  <c r="K7498" i="1"/>
  <c r="L7498" i="1"/>
  <c r="K7499" i="1"/>
  <c r="L7499" i="1"/>
  <c r="K7500" i="1"/>
  <c r="L7500" i="1"/>
  <c r="K7501" i="1"/>
  <c r="L7501" i="1"/>
  <c r="K7502" i="1"/>
  <c r="L7502" i="1"/>
  <c r="K7503" i="1"/>
  <c r="L7503" i="1"/>
  <c r="K7504" i="1"/>
  <c r="L7504" i="1"/>
  <c r="K7505" i="1"/>
  <c r="L7505" i="1"/>
  <c r="K7506" i="1"/>
  <c r="L7506" i="1"/>
  <c r="K7507" i="1"/>
  <c r="L7507" i="1"/>
  <c r="K7508" i="1"/>
  <c r="L7508" i="1"/>
  <c r="K7509" i="1"/>
  <c r="L7509" i="1"/>
  <c r="K7510" i="1"/>
  <c r="L7510" i="1"/>
  <c r="K7511" i="1"/>
  <c r="L7511" i="1"/>
  <c r="K7512" i="1"/>
  <c r="L7512" i="1"/>
  <c r="K7513" i="1"/>
  <c r="L7513" i="1"/>
  <c r="K7514" i="1"/>
  <c r="L7514" i="1"/>
  <c r="K7515" i="1"/>
  <c r="L7515" i="1"/>
  <c r="K7516" i="1"/>
  <c r="L7516" i="1"/>
  <c r="K7517" i="1"/>
  <c r="L7517" i="1"/>
  <c r="K7518" i="1"/>
  <c r="L7518" i="1"/>
  <c r="K7519" i="1"/>
  <c r="L7519" i="1"/>
  <c r="K7520" i="1"/>
  <c r="L7520" i="1"/>
  <c r="K7521" i="1"/>
  <c r="L7521" i="1"/>
  <c r="K7522" i="1"/>
  <c r="L7522" i="1"/>
  <c r="K7523" i="1"/>
  <c r="L7523" i="1"/>
  <c r="K7524" i="1"/>
  <c r="L7524" i="1"/>
  <c r="K7525" i="1"/>
  <c r="L7525" i="1"/>
  <c r="K7526" i="1"/>
  <c r="L7526" i="1"/>
  <c r="K7527" i="1"/>
  <c r="L7527" i="1"/>
  <c r="K7528" i="1"/>
  <c r="L7528" i="1"/>
  <c r="K7529" i="1"/>
  <c r="L7529" i="1"/>
  <c r="K7530" i="1"/>
  <c r="L7530" i="1"/>
  <c r="K7531" i="1"/>
  <c r="L7531" i="1"/>
  <c r="K7532" i="1"/>
  <c r="L7532" i="1"/>
  <c r="K7533" i="1"/>
  <c r="L7533" i="1"/>
  <c r="K7534" i="1"/>
  <c r="L7534" i="1"/>
  <c r="K7535" i="1"/>
  <c r="L7535" i="1"/>
  <c r="K7536" i="1"/>
  <c r="L7536" i="1"/>
  <c r="K7537" i="1"/>
  <c r="L7537" i="1"/>
  <c r="K7538" i="1"/>
  <c r="L7538" i="1"/>
  <c r="K7539" i="1"/>
  <c r="L7539" i="1"/>
  <c r="K7540" i="1"/>
  <c r="L7540" i="1"/>
  <c r="K7541" i="1"/>
  <c r="L7541" i="1"/>
  <c r="K7542" i="1"/>
  <c r="L7542" i="1"/>
  <c r="K7543" i="1"/>
  <c r="L7543" i="1"/>
  <c r="K7544" i="1"/>
  <c r="L7544" i="1"/>
  <c r="K7545" i="1"/>
  <c r="L7545" i="1"/>
  <c r="K7546" i="1"/>
  <c r="L7546" i="1"/>
  <c r="K7547" i="1"/>
  <c r="L7547" i="1"/>
  <c r="K7548" i="1"/>
  <c r="L7548" i="1"/>
  <c r="K7549" i="1"/>
  <c r="L7549" i="1"/>
  <c r="K7550" i="1"/>
  <c r="L7550" i="1"/>
  <c r="K7551" i="1"/>
  <c r="L7551" i="1"/>
  <c r="K7552" i="1"/>
  <c r="L7552" i="1"/>
  <c r="K7553" i="1"/>
  <c r="L7553" i="1"/>
  <c r="K7554" i="1"/>
  <c r="L7554" i="1"/>
  <c r="K7555" i="1"/>
  <c r="L7555" i="1"/>
  <c r="K7556" i="1"/>
  <c r="L7556" i="1"/>
  <c r="K7557" i="1"/>
  <c r="L7557" i="1"/>
  <c r="K7558" i="1"/>
  <c r="L7558" i="1"/>
  <c r="K7559" i="1"/>
  <c r="L7559" i="1"/>
  <c r="K7560" i="1"/>
  <c r="L7560" i="1"/>
  <c r="K7561" i="1"/>
  <c r="L7561" i="1"/>
  <c r="K7562" i="1"/>
  <c r="L7562" i="1"/>
  <c r="K7563" i="1"/>
  <c r="L7563" i="1"/>
  <c r="K7564" i="1"/>
  <c r="L7564" i="1"/>
  <c r="K7565" i="1"/>
  <c r="L7565" i="1"/>
  <c r="K7566" i="1"/>
  <c r="L7566" i="1"/>
  <c r="K7567" i="1"/>
  <c r="L7567" i="1"/>
  <c r="K7568" i="1"/>
  <c r="L7568" i="1"/>
  <c r="K7569" i="1"/>
  <c r="L7569" i="1"/>
  <c r="K7570" i="1"/>
  <c r="L7570" i="1"/>
  <c r="K7571" i="1"/>
  <c r="L7571" i="1"/>
  <c r="K7572" i="1"/>
  <c r="L7572" i="1"/>
  <c r="K7573" i="1"/>
  <c r="L7573" i="1"/>
  <c r="K7574" i="1"/>
  <c r="L7574" i="1"/>
  <c r="K7575" i="1"/>
  <c r="L7575" i="1"/>
  <c r="K7576" i="1"/>
  <c r="L7576" i="1"/>
  <c r="K7577" i="1"/>
  <c r="L7577" i="1"/>
  <c r="K7578" i="1"/>
  <c r="L7578" i="1"/>
  <c r="K7579" i="1"/>
  <c r="L7579" i="1"/>
  <c r="K7580" i="1"/>
  <c r="L7580" i="1"/>
  <c r="K7581" i="1"/>
  <c r="L7581" i="1"/>
  <c r="K7582" i="1"/>
  <c r="L7582" i="1"/>
  <c r="K7583" i="1"/>
  <c r="L7583" i="1"/>
  <c r="K7584" i="1"/>
  <c r="L7584" i="1"/>
  <c r="K7585" i="1"/>
  <c r="L7585" i="1"/>
  <c r="K7586" i="1"/>
  <c r="L7586" i="1"/>
  <c r="K7587" i="1"/>
  <c r="L7587" i="1"/>
  <c r="K7588" i="1"/>
  <c r="L7588" i="1"/>
  <c r="K7589" i="1"/>
  <c r="L7589" i="1"/>
  <c r="K7590" i="1"/>
  <c r="L7590" i="1"/>
  <c r="K7591" i="1"/>
  <c r="L7591" i="1"/>
  <c r="K7592" i="1"/>
  <c r="L7592" i="1"/>
  <c r="K7593" i="1"/>
  <c r="L7593" i="1"/>
  <c r="K7594" i="1"/>
  <c r="L7594" i="1"/>
  <c r="K7595" i="1"/>
  <c r="L7595" i="1"/>
  <c r="K7596" i="1"/>
  <c r="L7596" i="1"/>
  <c r="K7597" i="1"/>
  <c r="L7597" i="1"/>
  <c r="K7598" i="1"/>
  <c r="L7598" i="1"/>
  <c r="K7599" i="1"/>
  <c r="L7599" i="1"/>
  <c r="K7600" i="1"/>
  <c r="L7600" i="1"/>
  <c r="K7601" i="1"/>
  <c r="L7601" i="1"/>
  <c r="K7602" i="1"/>
  <c r="L7602" i="1"/>
  <c r="K7603" i="1"/>
  <c r="L7603" i="1"/>
  <c r="K7604" i="1"/>
  <c r="L7604" i="1"/>
  <c r="K7605" i="1"/>
  <c r="L7605" i="1"/>
  <c r="K7606" i="1"/>
  <c r="L7606" i="1"/>
  <c r="K7607" i="1"/>
  <c r="L7607" i="1"/>
  <c r="K7608" i="1"/>
  <c r="L7608" i="1"/>
  <c r="K7609" i="1"/>
  <c r="L7609" i="1"/>
  <c r="K7610" i="1"/>
  <c r="L7610" i="1"/>
  <c r="K7611" i="1"/>
  <c r="L7611" i="1"/>
  <c r="K7612" i="1"/>
  <c r="L7612" i="1"/>
  <c r="K7613" i="1"/>
  <c r="L7613" i="1"/>
  <c r="K7614" i="1"/>
  <c r="L7614" i="1"/>
  <c r="K7615" i="1"/>
  <c r="L7615" i="1"/>
  <c r="K7616" i="1"/>
  <c r="L7616" i="1"/>
  <c r="K7617" i="1"/>
  <c r="L7617" i="1"/>
  <c r="K7618" i="1"/>
  <c r="L7618" i="1"/>
  <c r="K7619" i="1"/>
  <c r="L7619" i="1"/>
  <c r="K7620" i="1"/>
  <c r="L7620" i="1"/>
  <c r="K7621" i="1"/>
  <c r="L7621" i="1"/>
  <c r="K7622" i="1"/>
  <c r="L7622" i="1"/>
  <c r="K7623" i="1"/>
  <c r="L7623" i="1"/>
  <c r="K7624" i="1"/>
  <c r="L7624" i="1"/>
  <c r="K7625" i="1"/>
  <c r="L7625" i="1"/>
  <c r="K7626" i="1"/>
  <c r="L7626" i="1"/>
  <c r="K7627" i="1"/>
  <c r="L7627" i="1"/>
  <c r="K7628" i="1"/>
  <c r="L7628" i="1"/>
  <c r="K7629" i="1"/>
  <c r="L7629" i="1"/>
  <c r="K7630" i="1"/>
  <c r="L7630" i="1"/>
  <c r="K7631" i="1"/>
  <c r="L7631" i="1"/>
  <c r="K7632" i="1"/>
  <c r="L7632" i="1"/>
  <c r="K7633" i="1"/>
  <c r="L7633" i="1"/>
  <c r="K7634" i="1"/>
  <c r="L7634" i="1"/>
  <c r="K7635" i="1"/>
  <c r="L7635" i="1"/>
  <c r="K7636" i="1"/>
  <c r="L7636" i="1"/>
  <c r="K7637" i="1"/>
  <c r="L7637" i="1"/>
  <c r="K7638" i="1"/>
  <c r="L7638" i="1"/>
  <c r="K7639" i="1"/>
  <c r="L7639" i="1"/>
  <c r="K7640" i="1"/>
  <c r="L7640" i="1"/>
  <c r="K7641" i="1"/>
  <c r="L7641" i="1"/>
  <c r="K7642" i="1"/>
  <c r="L7642" i="1"/>
  <c r="K7643" i="1"/>
  <c r="L7643" i="1"/>
  <c r="K7644" i="1"/>
  <c r="L7644" i="1"/>
  <c r="K7645" i="1"/>
  <c r="L7645" i="1"/>
  <c r="K7646" i="1"/>
  <c r="L7646" i="1"/>
  <c r="K7647" i="1"/>
  <c r="L7647" i="1"/>
  <c r="K7648" i="1"/>
  <c r="L7648" i="1"/>
  <c r="K7649" i="1"/>
  <c r="L7649" i="1"/>
  <c r="K7650" i="1"/>
  <c r="L7650" i="1"/>
  <c r="K7651" i="1"/>
  <c r="L7651" i="1"/>
  <c r="K7652" i="1"/>
  <c r="L7652" i="1"/>
  <c r="K7653" i="1"/>
  <c r="L7653" i="1"/>
  <c r="K7654" i="1"/>
  <c r="L7654" i="1"/>
  <c r="K7655" i="1"/>
  <c r="L7655" i="1"/>
  <c r="K7656" i="1"/>
  <c r="L7656" i="1"/>
  <c r="K7657" i="1"/>
  <c r="L7657" i="1"/>
  <c r="K7658" i="1"/>
  <c r="L7658" i="1"/>
  <c r="K7659" i="1"/>
  <c r="L7659" i="1"/>
  <c r="K7660" i="1"/>
  <c r="L7660" i="1"/>
  <c r="K7661" i="1"/>
  <c r="L7661" i="1"/>
  <c r="K7662" i="1"/>
  <c r="L7662" i="1"/>
  <c r="K7663" i="1"/>
  <c r="L7663" i="1"/>
  <c r="K7664" i="1"/>
  <c r="L7664" i="1"/>
  <c r="K7665" i="1"/>
  <c r="L7665" i="1"/>
  <c r="K7666" i="1"/>
  <c r="L7666" i="1"/>
  <c r="K7667" i="1"/>
  <c r="L7667" i="1"/>
  <c r="K7668" i="1"/>
  <c r="L7668" i="1"/>
  <c r="K7669" i="1"/>
  <c r="L7669" i="1"/>
  <c r="K7670" i="1"/>
  <c r="L7670" i="1"/>
  <c r="K7671" i="1"/>
  <c r="L7671" i="1"/>
  <c r="K7672" i="1"/>
  <c r="L7672" i="1"/>
  <c r="K7673" i="1"/>
  <c r="L7673" i="1"/>
  <c r="K7674" i="1"/>
  <c r="L7674" i="1"/>
  <c r="K7675" i="1"/>
  <c r="L7675" i="1"/>
  <c r="K7676" i="1"/>
  <c r="L7676" i="1"/>
  <c r="K7677" i="1"/>
  <c r="L7677" i="1"/>
  <c r="K7678" i="1"/>
  <c r="L7678" i="1"/>
  <c r="K7679" i="1"/>
  <c r="L7679" i="1"/>
  <c r="K7680" i="1"/>
  <c r="L7680" i="1"/>
  <c r="K7681" i="1"/>
  <c r="L7681" i="1"/>
  <c r="K7682" i="1"/>
  <c r="L7682" i="1"/>
  <c r="K7683" i="1"/>
  <c r="L7683" i="1"/>
  <c r="K7684" i="1"/>
  <c r="L7684" i="1"/>
  <c r="K7685" i="1"/>
  <c r="L7685" i="1"/>
  <c r="K7686" i="1"/>
  <c r="L7686" i="1"/>
  <c r="K7687" i="1"/>
  <c r="L7687" i="1"/>
  <c r="K7688" i="1"/>
  <c r="L7688" i="1"/>
  <c r="K7689" i="1"/>
  <c r="L7689" i="1"/>
  <c r="K7690" i="1"/>
  <c r="L7690" i="1"/>
  <c r="K7691" i="1"/>
  <c r="L7691" i="1"/>
  <c r="K7692" i="1"/>
  <c r="L7692" i="1"/>
  <c r="K7693" i="1"/>
  <c r="L7693" i="1"/>
  <c r="K7694" i="1"/>
  <c r="L7694" i="1"/>
  <c r="K7695" i="1"/>
  <c r="L7695" i="1"/>
  <c r="K7696" i="1"/>
  <c r="L7696" i="1"/>
  <c r="K7697" i="1"/>
  <c r="L7697" i="1"/>
  <c r="K7698" i="1"/>
  <c r="L7698" i="1"/>
  <c r="K7699" i="1"/>
  <c r="L7699" i="1"/>
  <c r="K7700" i="1"/>
  <c r="L7700" i="1"/>
  <c r="K7701" i="1"/>
  <c r="L7701" i="1"/>
  <c r="K7702" i="1"/>
  <c r="L7702" i="1"/>
  <c r="K7703" i="1"/>
  <c r="L7703" i="1"/>
  <c r="K7704" i="1"/>
  <c r="L7704" i="1"/>
  <c r="K7705" i="1"/>
  <c r="L7705" i="1"/>
  <c r="K7706" i="1"/>
  <c r="L7706" i="1"/>
  <c r="K7707" i="1"/>
  <c r="L7707" i="1"/>
  <c r="K7708" i="1"/>
  <c r="L7708" i="1"/>
  <c r="K7709" i="1"/>
  <c r="L7709" i="1"/>
  <c r="K7710" i="1"/>
  <c r="L7710" i="1"/>
  <c r="K7711" i="1"/>
  <c r="L7711" i="1"/>
  <c r="K7712" i="1"/>
  <c r="L7712" i="1"/>
  <c r="K7713" i="1"/>
  <c r="L7713" i="1"/>
  <c r="K7714" i="1"/>
  <c r="L7714" i="1"/>
  <c r="K7715" i="1"/>
  <c r="L7715" i="1"/>
  <c r="K7716" i="1"/>
  <c r="L7716" i="1"/>
  <c r="K7717" i="1"/>
  <c r="L7717" i="1"/>
  <c r="K7718" i="1"/>
  <c r="L7718" i="1"/>
  <c r="K7719" i="1"/>
  <c r="L7719" i="1"/>
  <c r="K7720" i="1"/>
  <c r="L7720" i="1"/>
  <c r="K7721" i="1"/>
  <c r="L7721" i="1"/>
  <c r="K7722" i="1"/>
  <c r="L7722" i="1"/>
  <c r="K7723" i="1"/>
  <c r="L7723" i="1"/>
  <c r="K7724" i="1"/>
  <c r="L7724" i="1"/>
  <c r="K7725" i="1"/>
  <c r="L7725" i="1"/>
  <c r="K7726" i="1"/>
  <c r="L7726" i="1"/>
  <c r="K7727" i="1"/>
  <c r="L7727" i="1"/>
  <c r="K7728" i="1"/>
  <c r="L7728" i="1"/>
  <c r="K7729" i="1"/>
  <c r="L7729" i="1"/>
  <c r="K7730" i="1"/>
  <c r="L7730" i="1"/>
  <c r="K7731" i="1"/>
  <c r="L7731" i="1"/>
  <c r="K7732" i="1"/>
  <c r="L7732" i="1"/>
  <c r="K7733" i="1"/>
  <c r="L7733" i="1"/>
  <c r="K7734" i="1"/>
  <c r="L7734" i="1"/>
  <c r="K7735" i="1"/>
  <c r="L7735" i="1"/>
  <c r="K7736" i="1"/>
  <c r="L7736" i="1"/>
  <c r="K7737" i="1"/>
  <c r="L7737" i="1"/>
  <c r="K7738" i="1"/>
  <c r="L7738" i="1"/>
  <c r="K7739" i="1"/>
  <c r="L7739" i="1"/>
  <c r="K7740" i="1"/>
  <c r="L7740" i="1"/>
  <c r="K7741" i="1"/>
  <c r="L7741" i="1"/>
  <c r="K7742" i="1"/>
  <c r="L7742" i="1"/>
  <c r="K7743" i="1"/>
  <c r="L7743" i="1"/>
  <c r="K7744" i="1"/>
  <c r="L7744" i="1"/>
  <c r="K7745" i="1"/>
  <c r="L7745" i="1"/>
  <c r="K7746" i="1"/>
  <c r="L7746" i="1"/>
  <c r="K7747" i="1"/>
  <c r="L7747" i="1"/>
  <c r="K7748" i="1"/>
  <c r="L7748" i="1"/>
  <c r="K7749" i="1"/>
  <c r="L7749" i="1"/>
  <c r="K7750" i="1"/>
  <c r="L7750" i="1"/>
  <c r="K7751" i="1"/>
  <c r="L7751" i="1"/>
  <c r="K7752" i="1"/>
  <c r="L7752" i="1"/>
  <c r="K7753" i="1"/>
  <c r="L7753" i="1"/>
  <c r="K7754" i="1"/>
  <c r="L7754" i="1"/>
  <c r="K7755" i="1"/>
  <c r="L7755" i="1"/>
  <c r="K7756" i="1"/>
  <c r="L7756" i="1"/>
  <c r="K7757" i="1"/>
  <c r="L7757" i="1"/>
  <c r="K7758" i="1"/>
  <c r="L7758" i="1"/>
  <c r="K7759" i="1"/>
  <c r="L7759" i="1"/>
  <c r="K7760" i="1"/>
  <c r="L7760" i="1"/>
  <c r="K7761" i="1"/>
  <c r="L7761" i="1"/>
  <c r="K7762" i="1"/>
  <c r="L7762" i="1"/>
  <c r="K7763" i="1"/>
  <c r="L7763" i="1"/>
  <c r="K7764" i="1"/>
  <c r="L7764" i="1"/>
  <c r="K7765" i="1"/>
  <c r="L7765" i="1"/>
  <c r="K7766" i="1"/>
  <c r="L7766" i="1"/>
  <c r="K7767" i="1"/>
  <c r="L7767" i="1"/>
  <c r="K7768" i="1"/>
  <c r="L7768" i="1"/>
  <c r="K7769" i="1"/>
  <c r="L7769" i="1"/>
  <c r="K7770" i="1"/>
  <c r="L7770" i="1"/>
  <c r="K7771" i="1"/>
  <c r="L7771" i="1"/>
  <c r="K7772" i="1"/>
  <c r="L7772" i="1"/>
  <c r="K7773" i="1"/>
  <c r="L7773" i="1"/>
  <c r="K7774" i="1"/>
  <c r="L7774" i="1"/>
  <c r="K7775" i="1"/>
  <c r="L7775" i="1"/>
  <c r="K7776" i="1"/>
  <c r="L7776" i="1"/>
  <c r="K7777" i="1"/>
  <c r="L7777" i="1"/>
  <c r="K7778" i="1"/>
  <c r="L7778" i="1"/>
  <c r="K7779" i="1"/>
  <c r="L7779" i="1"/>
  <c r="K7780" i="1"/>
  <c r="L7780" i="1"/>
  <c r="K7781" i="1"/>
  <c r="L7781" i="1"/>
  <c r="K7782" i="1"/>
  <c r="L7782" i="1"/>
  <c r="K7783" i="1"/>
  <c r="L7783" i="1"/>
  <c r="K7784" i="1"/>
  <c r="L7784" i="1"/>
  <c r="K7785" i="1"/>
  <c r="L7785" i="1"/>
  <c r="K7786" i="1"/>
  <c r="L7786" i="1"/>
  <c r="K7787" i="1"/>
  <c r="L7787" i="1"/>
  <c r="K7788" i="1"/>
  <c r="L7788" i="1"/>
  <c r="K7789" i="1"/>
  <c r="L7789" i="1"/>
  <c r="K7790" i="1"/>
  <c r="L7790" i="1"/>
  <c r="K7791" i="1"/>
  <c r="L7791" i="1"/>
  <c r="K7792" i="1"/>
  <c r="L7792" i="1"/>
  <c r="K7793" i="1"/>
  <c r="L7793" i="1"/>
  <c r="K7794" i="1"/>
  <c r="L7794" i="1"/>
  <c r="K7795" i="1"/>
  <c r="L7795" i="1"/>
  <c r="K7796" i="1"/>
  <c r="L7796" i="1"/>
  <c r="K7797" i="1"/>
  <c r="L7797" i="1"/>
  <c r="K7798" i="1"/>
  <c r="L7798" i="1"/>
  <c r="K7799" i="1"/>
  <c r="L7799" i="1"/>
  <c r="K7800" i="1"/>
  <c r="L7800" i="1"/>
  <c r="K7801" i="1"/>
  <c r="L7801" i="1"/>
  <c r="K7802" i="1"/>
  <c r="L7802" i="1"/>
  <c r="K7803" i="1"/>
  <c r="L7803" i="1"/>
  <c r="K7804" i="1"/>
  <c r="L7804" i="1"/>
  <c r="K7805" i="1"/>
  <c r="L7805" i="1"/>
  <c r="K7806" i="1"/>
  <c r="L7806" i="1"/>
  <c r="K7807" i="1"/>
  <c r="L7807" i="1"/>
  <c r="K7808" i="1"/>
  <c r="L7808" i="1"/>
  <c r="K7809" i="1"/>
  <c r="L7809" i="1"/>
  <c r="K7810" i="1"/>
  <c r="L7810" i="1"/>
  <c r="K7811" i="1"/>
  <c r="L7811" i="1"/>
  <c r="K7812" i="1"/>
  <c r="L7812" i="1"/>
  <c r="K7813" i="1"/>
  <c r="L7813" i="1"/>
  <c r="K7814" i="1"/>
  <c r="L7814" i="1"/>
  <c r="K7815" i="1"/>
  <c r="L7815" i="1"/>
  <c r="K7816" i="1"/>
  <c r="L7816" i="1"/>
  <c r="K7817" i="1"/>
  <c r="L7817" i="1"/>
  <c r="K7818" i="1"/>
  <c r="L7818" i="1"/>
  <c r="K7819" i="1"/>
  <c r="L7819" i="1"/>
  <c r="K7820" i="1"/>
  <c r="L7820" i="1"/>
  <c r="K7821" i="1"/>
  <c r="L7821" i="1"/>
  <c r="K7822" i="1"/>
  <c r="L7822" i="1"/>
  <c r="K7823" i="1"/>
  <c r="L7823" i="1"/>
  <c r="K7824" i="1"/>
  <c r="L7824" i="1"/>
  <c r="K7825" i="1"/>
  <c r="L7825" i="1"/>
  <c r="K7826" i="1"/>
  <c r="L7826" i="1"/>
  <c r="K7827" i="1"/>
  <c r="L7827" i="1"/>
  <c r="K7828" i="1"/>
  <c r="L7828" i="1"/>
  <c r="K7829" i="1"/>
  <c r="L7829" i="1"/>
  <c r="K7830" i="1"/>
  <c r="L7830" i="1"/>
  <c r="K7831" i="1"/>
  <c r="L7831" i="1"/>
  <c r="K7832" i="1"/>
  <c r="L7832" i="1"/>
  <c r="K7833" i="1"/>
  <c r="L7833" i="1"/>
  <c r="K7834" i="1"/>
  <c r="L7834" i="1"/>
  <c r="K7835" i="1"/>
  <c r="L7835" i="1"/>
  <c r="K7836" i="1"/>
  <c r="L7836" i="1"/>
  <c r="K7837" i="1"/>
  <c r="L7837" i="1"/>
  <c r="K7838" i="1"/>
  <c r="L7838" i="1"/>
  <c r="K7839" i="1"/>
  <c r="L7839" i="1"/>
  <c r="K7840" i="1"/>
  <c r="L7840" i="1"/>
  <c r="K7841" i="1"/>
  <c r="L7841" i="1"/>
  <c r="K7842" i="1"/>
  <c r="L7842" i="1"/>
  <c r="K7843" i="1"/>
  <c r="L7843" i="1"/>
  <c r="K7844" i="1"/>
  <c r="L7844" i="1"/>
  <c r="K7845" i="1"/>
  <c r="L7845" i="1"/>
  <c r="K7846" i="1"/>
  <c r="L7846" i="1"/>
  <c r="K7847" i="1"/>
  <c r="L7847" i="1"/>
  <c r="K7848" i="1"/>
  <c r="L7848" i="1"/>
  <c r="K7849" i="1"/>
  <c r="L7849" i="1"/>
  <c r="K7850" i="1"/>
  <c r="L7850" i="1"/>
  <c r="K7851" i="1"/>
  <c r="L7851" i="1"/>
  <c r="K7852" i="1"/>
  <c r="L7852" i="1"/>
  <c r="K7853" i="1"/>
  <c r="L7853" i="1"/>
  <c r="K7854" i="1"/>
  <c r="L7854" i="1"/>
  <c r="K7855" i="1"/>
  <c r="L7855" i="1"/>
  <c r="K7856" i="1"/>
  <c r="L7856" i="1"/>
  <c r="K7857" i="1"/>
  <c r="L7857" i="1"/>
  <c r="K7858" i="1"/>
  <c r="L7858" i="1"/>
  <c r="K7859" i="1"/>
  <c r="L7859" i="1"/>
  <c r="K7860" i="1"/>
  <c r="L7860" i="1"/>
  <c r="K7861" i="1"/>
  <c r="L7861" i="1"/>
  <c r="K7862" i="1"/>
  <c r="L7862" i="1"/>
  <c r="K7863" i="1"/>
  <c r="L7863" i="1"/>
  <c r="K7864" i="1"/>
  <c r="L7864" i="1"/>
  <c r="K7865" i="1"/>
  <c r="L7865" i="1"/>
  <c r="K7866" i="1"/>
  <c r="L7866" i="1"/>
  <c r="K7867" i="1"/>
  <c r="L7867" i="1"/>
  <c r="K7868" i="1"/>
  <c r="L7868" i="1"/>
  <c r="K7869" i="1"/>
  <c r="L7869" i="1"/>
  <c r="K7870" i="1"/>
  <c r="L7870" i="1"/>
  <c r="K7871" i="1"/>
  <c r="L7871" i="1"/>
  <c r="K7872" i="1"/>
  <c r="L7872" i="1"/>
  <c r="K7873" i="1"/>
  <c r="L7873" i="1"/>
  <c r="K7874" i="1"/>
  <c r="L7874" i="1"/>
  <c r="K7875" i="1"/>
  <c r="L7875" i="1"/>
  <c r="K7876" i="1"/>
  <c r="L7876" i="1"/>
  <c r="K7877" i="1"/>
  <c r="L7877" i="1"/>
  <c r="K7878" i="1"/>
  <c r="L7878" i="1"/>
  <c r="K7879" i="1"/>
  <c r="L7879" i="1"/>
  <c r="K7880" i="1"/>
  <c r="L7880" i="1"/>
  <c r="K7881" i="1"/>
  <c r="L7881" i="1"/>
  <c r="K7882" i="1"/>
  <c r="L7882" i="1"/>
  <c r="K7883" i="1"/>
  <c r="L7883" i="1"/>
  <c r="K7884" i="1"/>
  <c r="L7884" i="1"/>
  <c r="K7885" i="1"/>
  <c r="L7885" i="1"/>
  <c r="K7886" i="1"/>
  <c r="L7886" i="1"/>
  <c r="K7887" i="1"/>
  <c r="L7887" i="1"/>
  <c r="K7888" i="1"/>
  <c r="L7888" i="1"/>
  <c r="K7889" i="1"/>
  <c r="L7889" i="1"/>
  <c r="K7890" i="1"/>
  <c r="L7890" i="1"/>
  <c r="K7891" i="1"/>
  <c r="L7891" i="1"/>
  <c r="K7892" i="1"/>
  <c r="L7892" i="1"/>
  <c r="K7893" i="1"/>
  <c r="L7893" i="1"/>
  <c r="K7894" i="1"/>
  <c r="L7894" i="1"/>
  <c r="K7895" i="1"/>
  <c r="L7895" i="1"/>
  <c r="K7896" i="1"/>
  <c r="L7896" i="1"/>
  <c r="K7897" i="1"/>
  <c r="L7897" i="1"/>
  <c r="K7898" i="1"/>
  <c r="L7898" i="1"/>
  <c r="K7899" i="1"/>
  <c r="L7899" i="1"/>
  <c r="K7900" i="1"/>
  <c r="L7900" i="1"/>
  <c r="K7901" i="1"/>
  <c r="L7901" i="1"/>
  <c r="K7902" i="1"/>
  <c r="L7902" i="1"/>
  <c r="K7903" i="1"/>
  <c r="L7903" i="1"/>
  <c r="K7904" i="1"/>
  <c r="L7904" i="1"/>
  <c r="K7905" i="1"/>
  <c r="L7905" i="1"/>
  <c r="K7906" i="1"/>
  <c r="L7906" i="1"/>
  <c r="K7907" i="1"/>
  <c r="L7907" i="1"/>
  <c r="K7908" i="1"/>
  <c r="L7908" i="1"/>
  <c r="K7909" i="1"/>
  <c r="L7909" i="1"/>
  <c r="K7910" i="1"/>
  <c r="L7910" i="1"/>
  <c r="K7911" i="1"/>
  <c r="L7911" i="1"/>
  <c r="K7912" i="1"/>
  <c r="L7912" i="1"/>
  <c r="K7913" i="1"/>
  <c r="L7913" i="1"/>
  <c r="K7914" i="1"/>
  <c r="L7914" i="1"/>
  <c r="K7915" i="1"/>
  <c r="L7915" i="1"/>
  <c r="K7916" i="1"/>
  <c r="L7916" i="1"/>
  <c r="K7917" i="1"/>
  <c r="L7917" i="1"/>
  <c r="K7918" i="1"/>
  <c r="L7918" i="1"/>
  <c r="K7919" i="1"/>
  <c r="L7919" i="1"/>
  <c r="K7920" i="1"/>
  <c r="L7920" i="1"/>
  <c r="K7921" i="1"/>
  <c r="L7921" i="1"/>
  <c r="K7922" i="1"/>
  <c r="L7922" i="1"/>
  <c r="K7923" i="1"/>
  <c r="L7923" i="1"/>
  <c r="K7924" i="1"/>
  <c r="L7924" i="1"/>
  <c r="K7925" i="1"/>
  <c r="L7925" i="1"/>
  <c r="K7926" i="1"/>
  <c r="L7926" i="1"/>
  <c r="K7927" i="1"/>
  <c r="L7927" i="1"/>
  <c r="K7928" i="1"/>
  <c r="L7928" i="1"/>
  <c r="K7929" i="1"/>
  <c r="L7929" i="1"/>
  <c r="K7930" i="1"/>
  <c r="L7930" i="1"/>
  <c r="K7931" i="1"/>
  <c r="L7931" i="1"/>
  <c r="K7932" i="1"/>
  <c r="L7932" i="1"/>
  <c r="K7933" i="1"/>
  <c r="L7933" i="1"/>
  <c r="K7934" i="1"/>
  <c r="L7934" i="1"/>
  <c r="K7935" i="1"/>
  <c r="L7935" i="1"/>
  <c r="K7936" i="1"/>
  <c r="L7936" i="1"/>
  <c r="K7937" i="1"/>
  <c r="L7937" i="1"/>
  <c r="K7938" i="1"/>
  <c r="L7938" i="1"/>
  <c r="K7939" i="1"/>
  <c r="L7939" i="1"/>
  <c r="K7940" i="1"/>
  <c r="L7940" i="1"/>
  <c r="K7941" i="1"/>
  <c r="L7941" i="1"/>
  <c r="K7942" i="1"/>
  <c r="L7942" i="1"/>
  <c r="K7943" i="1"/>
  <c r="L7943" i="1"/>
  <c r="K7944" i="1"/>
  <c r="L7944" i="1"/>
  <c r="K7945" i="1"/>
  <c r="L7945" i="1"/>
  <c r="K7946" i="1"/>
  <c r="L7946" i="1"/>
  <c r="K7947" i="1"/>
  <c r="L7947" i="1"/>
  <c r="K7948" i="1"/>
  <c r="L7948" i="1"/>
  <c r="K7949" i="1"/>
  <c r="L7949" i="1"/>
  <c r="K7950" i="1"/>
  <c r="L7950" i="1"/>
  <c r="K7951" i="1"/>
  <c r="L7951" i="1"/>
  <c r="K7952" i="1"/>
  <c r="L7952" i="1"/>
  <c r="K7953" i="1"/>
  <c r="L7953" i="1"/>
  <c r="K7954" i="1"/>
  <c r="L7954" i="1"/>
  <c r="K7955" i="1"/>
  <c r="L7955" i="1"/>
  <c r="K7956" i="1"/>
  <c r="L7956" i="1"/>
  <c r="K7957" i="1"/>
  <c r="L7957" i="1"/>
  <c r="K7958" i="1"/>
  <c r="L7958" i="1"/>
  <c r="K7959" i="1"/>
  <c r="L7959" i="1"/>
  <c r="K7960" i="1"/>
  <c r="L7960" i="1"/>
  <c r="K7961" i="1"/>
  <c r="L7961" i="1"/>
  <c r="K7962" i="1"/>
  <c r="L7962" i="1"/>
  <c r="K7963" i="1"/>
  <c r="L7963" i="1"/>
  <c r="K7964" i="1"/>
  <c r="L7964" i="1"/>
  <c r="K7965" i="1"/>
  <c r="L7965" i="1"/>
  <c r="K7966" i="1"/>
  <c r="L7966" i="1"/>
  <c r="K7967" i="1"/>
  <c r="L7967" i="1"/>
  <c r="K7968" i="1"/>
  <c r="L7968" i="1"/>
  <c r="K7969" i="1"/>
  <c r="L7969" i="1"/>
  <c r="K7970" i="1"/>
  <c r="L7970" i="1"/>
  <c r="K7971" i="1"/>
  <c r="L7971" i="1"/>
  <c r="K7972" i="1"/>
  <c r="L7972" i="1"/>
  <c r="K7973" i="1"/>
  <c r="L7973" i="1"/>
  <c r="K7974" i="1"/>
  <c r="L7974" i="1"/>
  <c r="K7975" i="1"/>
  <c r="L7975" i="1"/>
  <c r="K7976" i="1"/>
  <c r="L7976" i="1"/>
  <c r="K7977" i="1"/>
  <c r="L7977" i="1"/>
  <c r="K7978" i="1"/>
  <c r="L7978" i="1"/>
  <c r="K7979" i="1"/>
  <c r="L7979" i="1"/>
  <c r="K7980" i="1"/>
  <c r="L7980" i="1"/>
  <c r="K7981" i="1"/>
  <c r="L7981" i="1"/>
  <c r="K7982" i="1"/>
  <c r="L7982" i="1"/>
  <c r="K7983" i="1"/>
  <c r="L7983" i="1"/>
  <c r="K7984" i="1"/>
  <c r="L7984" i="1"/>
  <c r="K7985" i="1"/>
  <c r="L7985" i="1"/>
  <c r="K7986" i="1"/>
  <c r="L7986" i="1"/>
  <c r="K7987" i="1"/>
  <c r="L7987" i="1"/>
  <c r="K7988" i="1"/>
  <c r="L7988" i="1"/>
  <c r="K7989" i="1"/>
  <c r="L7989" i="1"/>
  <c r="K7990" i="1"/>
  <c r="L7990" i="1"/>
  <c r="K7991" i="1"/>
  <c r="L7991" i="1"/>
  <c r="K7992" i="1"/>
  <c r="L7992" i="1"/>
  <c r="K7993" i="1"/>
  <c r="L7993" i="1"/>
  <c r="K7994" i="1"/>
  <c r="L7994" i="1"/>
  <c r="K7995" i="1"/>
  <c r="L7995" i="1"/>
  <c r="K7996" i="1"/>
  <c r="L7996" i="1"/>
  <c r="K7997" i="1"/>
  <c r="L7997" i="1"/>
  <c r="K7998" i="1"/>
  <c r="L7998" i="1"/>
  <c r="K7999" i="1"/>
  <c r="L7999" i="1"/>
  <c r="K8000" i="1"/>
  <c r="L8000" i="1"/>
  <c r="K8001" i="1"/>
  <c r="L8001" i="1"/>
  <c r="K8002" i="1"/>
  <c r="L8002" i="1"/>
  <c r="K8003" i="1"/>
  <c r="L8003" i="1"/>
  <c r="K8004" i="1"/>
  <c r="L8004" i="1"/>
  <c r="K8005" i="1"/>
  <c r="L8005" i="1"/>
  <c r="K8006" i="1"/>
  <c r="L8006" i="1"/>
  <c r="K8007" i="1"/>
  <c r="L8007" i="1"/>
  <c r="K8008" i="1"/>
  <c r="L8008" i="1"/>
  <c r="K8009" i="1"/>
  <c r="L8009" i="1"/>
  <c r="K8010" i="1"/>
  <c r="L8010" i="1"/>
  <c r="K8011" i="1"/>
  <c r="L8011" i="1"/>
  <c r="K8012" i="1"/>
  <c r="L8012" i="1"/>
  <c r="K8013" i="1"/>
  <c r="L8013" i="1"/>
  <c r="K8014" i="1"/>
  <c r="L8014" i="1"/>
  <c r="K8015" i="1"/>
  <c r="L8015" i="1"/>
  <c r="K8016" i="1"/>
  <c r="L8016" i="1"/>
  <c r="K8017" i="1"/>
  <c r="L8017" i="1"/>
  <c r="K8018" i="1"/>
  <c r="L8018" i="1"/>
  <c r="K8019" i="1"/>
  <c r="L8019" i="1"/>
  <c r="K8020" i="1"/>
  <c r="L8020" i="1"/>
  <c r="K8021" i="1"/>
  <c r="L8021" i="1"/>
  <c r="K8022" i="1"/>
  <c r="L8022" i="1"/>
  <c r="K8023" i="1"/>
  <c r="L8023" i="1"/>
  <c r="K8024" i="1"/>
  <c r="L8024" i="1"/>
  <c r="K8025" i="1"/>
  <c r="L8025" i="1"/>
  <c r="K8026" i="1"/>
  <c r="L8026" i="1"/>
  <c r="K8027" i="1"/>
  <c r="L8027" i="1"/>
  <c r="K8028" i="1"/>
  <c r="L8028" i="1"/>
  <c r="K8029" i="1"/>
  <c r="L8029" i="1"/>
  <c r="K8030" i="1"/>
  <c r="L8030" i="1"/>
  <c r="K8031" i="1"/>
  <c r="L8031" i="1"/>
  <c r="K8032" i="1"/>
  <c r="L8032" i="1"/>
  <c r="K8033" i="1"/>
  <c r="L8033" i="1"/>
  <c r="K8034" i="1"/>
  <c r="L8034" i="1"/>
  <c r="K8035" i="1"/>
  <c r="L8035" i="1"/>
  <c r="K8036" i="1"/>
  <c r="L8036" i="1"/>
  <c r="K8037" i="1"/>
  <c r="L8037" i="1"/>
  <c r="K8038" i="1"/>
  <c r="L8038" i="1"/>
  <c r="K8039" i="1"/>
  <c r="L8039" i="1"/>
  <c r="K8040" i="1"/>
  <c r="L8040" i="1"/>
  <c r="K8041" i="1"/>
  <c r="L8041" i="1"/>
  <c r="K8042" i="1"/>
  <c r="L8042" i="1"/>
  <c r="K8043" i="1"/>
  <c r="L8043" i="1"/>
  <c r="K8044" i="1"/>
  <c r="L8044" i="1"/>
  <c r="K8045" i="1"/>
  <c r="L8045" i="1"/>
  <c r="K8046" i="1"/>
  <c r="L8046" i="1"/>
  <c r="K8047" i="1"/>
  <c r="L8047" i="1"/>
  <c r="K8048" i="1"/>
  <c r="L8048" i="1"/>
  <c r="K8049" i="1"/>
  <c r="L8049" i="1"/>
  <c r="K8050" i="1"/>
  <c r="L8050" i="1"/>
  <c r="K8051" i="1"/>
  <c r="L8051" i="1"/>
  <c r="K8052" i="1"/>
  <c r="L8052" i="1"/>
  <c r="K8053" i="1"/>
  <c r="L8053" i="1"/>
  <c r="K8054" i="1"/>
  <c r="L8054" i="1"/>
  <c r="K8055" i="1"/>
  <c r="L8055" i="1"/>
  <c r="K8056" i="1"/>
  <c r="L8056" i="1"/>
  <c r="K8057" i="1"/>
  <c r="L8057" i="1"/>
  <c r="K8058" i="1"/>
  <c r="L8058" i="1"/>
  <c r="K8059" i="1"/>
  <c r="L8059" i="1"/>
  <c r="K8060" i="1"/>
  <c r="L8060" i="1"/>
  <c r="K8061" i="1"/>
  <c r="L8061" i="1"/>
  <c r="K8062" i="1"/>
  <c r="L8062" i="1"/>
  <c r="K8063" i="1"/>
  <c r="L8063" i="1"/>
  <c r="K8064" i="1"/>
  <c r="L8064" i="1"/>
  <c r="K8065" i="1"/>
  <c r="L8065" i="1"/>
  <c r="K8066" i="1"/>
  <c r="L8066" i="1"/>
  <c r="K8067" i="1"/>
  <c r="L8067" i="1"/>
  <c r="K8068" i="1"/>
  <c r="L8068" i="1"/>
  <c r="K8069" i="1"/>
  <c r="L8069" i="1"/>
  <c r="K8070" i="1"/>
  <c r="L8070" i="1"/>
  <c r="K8071" i="1"/>
  <c r="L8071" i="1"/>
  <c r="K8072" i="1"/>
  <c r="L8072" i="1"/>
  <c r="K8073" i="1"/>
  <c r="L8073" i="1"/>
  <c r="K8074" i="1"/>
  <c r="L8074" i="1"/>
  <c r="K8075" i="1"/>
  <c r="L8075" i="1"/>
  <c r="K8076" i="1"/>
  <c r="L8076" i="1"/>
  <c r="K8077" i="1"/>
  <c r="L8077" i="1"/>
  <c r="K8078" i="1"/>
  <c r="L8078" i="1"/>
  <c r="K8079" i="1"/>
  <c r="L8079" i="1"/>
  <c r="K8080" i="1"/>
  <c r="L8080" i="1"/>
  <c r="K8081" i="1"/>
  <c r="L8081" i="1"/>
  <c r="K8082" i="1"/>
  <c r="L8082" i="1"/>
  <c r="K8083" i="1"/>
  <c r="L8083" i="1"/>
  <c r="K8084" i="1"/>
  <c r="L8084" i="1"/>
  <c r="K8085" i="1"/>
  <c r="L8085" i="1"/>
  <c r="K8086" i="1"/>
  <c r="L8086" i="1"/>
  <c r="K8087" i="1"/>
  <c r="L8087" i="1"/>
  <c r="K8088" i="1"/>
  <c r="L8088" i="1"/>
  <c r="K8089" i="1"/>
  <c r="L8089" i="1"/>
  <c r="K8090" i="1"/>
  <c r="L8090" i="1"/>
  <c r="K8091" i="1"/>
  <c r="L8091" i="1"/>
  <c r="K8092" i="1"/>
  <c r="L8092" i="1"/>
  <c r="K8093" i="1"/>
  <c r="L8093" i="1"/>
  <c r="K8094" i="1"/>
  <c r="L8094" i="1"/>
  <c r="K8095" i="1"/>
  <c r="L8095" i="1"/>
  <c r="K8096" i="1"/>
  <c r="L8096" i="1"/>
  <c r="K8097" i="1"/>
  <c r="L8097" i="1"/>
  <c r="K8098" i="1"/>
  <c r="L8098" i="1"/>
  <c r="K8099" i="1"/>
  <c r="L8099" i="1"/>
  <c r="K8100" i="1"/>
  <c r="L8100" i="1"/>
  <c r="K8101" i="1"/>
  <c r="L8101" i="1"/>
  <c r="K8102" i="1"/>
  <c r="L8102" i="1"/>
  <c r="K8103" i="1"/>
  <c r="L8103" i="1"/>
  <c r="K8104" i="1"/>
  <c r="L8104" i="1"/>
  <c r="K8105" i="1"/>
  <c r="L8105" i="1"/>
  <c r="K8106" i="1"/>
  <c r="L8106" i="1"/>
  <c r="K8107" i="1"/>
  <c r="L8107" i="1"/>
  <c r="K8108" i="1"/>
  <c r="L8108" i="1"/>
  <c r="K8109" i="1"/>
  <c r="L8109" i="1"/>
  <c r="K8110" i="1"/>
  <c r="L8110" i="1"/>
  <c r="K8111" i="1"/>
  <c r="L8111" i="1"/>
  <c r="K8112" i="1"/>
  <c r="L8112" i="1"/>
  <c r="K8113" i="1"/>
  <c r="L8113" i="1"/>
  <c r="K8114" i="1"/>
  <c r="L8114" i="1"/>
  <c r="K8115" i="1"/>
  <c r="L8115" i="1"/>
  <c r="K8116" i="1"/>
  <c r="L8116" i="1"/>
  <c r="K8117" i="1"/>
  <c r="L8117" i="1"/>
  <c r="K8118" i="1"/>
  <c r="L8118" i="1"/>
  <c r="K8119" i="1"/>
  <c r="L8119" i="1"/>
  <c r="K8120" i="1"/>
  <c r="L8120" i="1"/>
  <c r="K8121" i="1"/>
  <c r="L8121" i="1"/>
  <c r="K8122" i="1"/>
  <c r="L8122" i="1"/>
  <c r="K8123" i="1"/>
  <c r="L8123" i="1"/>
  <c r="K8124" i="1"/>
  <c r="L8124" i="1"/>
  <c r="K8125" i="1"/>
  <c r="L8125" i="1"/>
  <c r="K8126" i="1"/>
  <c r="L8126" i="1"/>
  <c r="K8127" i="1"/>
  <c r="L8127" i="1"/>
  <c r="K8128" i="1"/>
  <c r="L8128" i="1"/>
  <c r="K8129" i="1"/>
  <c r="L8129" i="1"/>
  <c r="K8130" i="1"/>
  <c r="L8130" i="1"/>
  <c r="K8131" i="1"/>
  <c r="L8131" i="1"/>
  <c r="K8132" i="1"/>
  <c r="L8132" i="1"/>
  <c r="K8133" i="1"/>
  <c r="L8133" i="1"/>
  <c r="K8134" i="1"/>
  <c r="L8134" i="1"/>
  <c r="K8135" i="1"/>
  <c r="L8135" i="1"/>
  <c r="K8136" i="1"/>
  <c r="L8136" i="1"/>
  <c r="K8137" i="1"/>
  <c r="L8137" i="1"/>
  <c r="K8138" i="1"/>
  <c r="L8138" i="1"/>
  <c r="K8139" i="1"/>
  <c r="L8139" i="1"/>
  <c r="K8140" i="1"/>
  <c r="L8140" i="1"/>
  <c r="K8141" i="1"/>
  <c r="L8141" i="1"/>
  <c r="K8142" i="1"/>
  <c r="L8142" i="1"/>
  <c r="K8143" i="1"/>
  <c r="L8143" i="1"/>
  <c r="K8144" i="1"/>
  <c r="L8144" i="1"/>
  <c r="K8145" i="1"/>
  <c r="L8145" i="1"/>
  <c r="K8146" i="1"/>
  <c r="L8146" i="1"/>
  <c r="K8147" i="1"/>
  <c r="L8147" i="1"/>
  <c r="K8148" i="1"/>
  <c r="L8148" i="1"/>
  <c r="K8149" i="1"/>
  <c r="L8149" i="1"/>
  <c r="K8150" i="1"/>
  <c r="L8150" i="1"/>
  <c r="K8151" i="1"/>
  <c r="L8151" i="1"/>
  <c r="K8152" i="1"/>
  <c r="L8152" i="1"/>
  <c r="K8153" i="1"/>
  <c r="L8153" i="1"/>
  <c r="K8154" i="1"/>
  <c r="L8154" i="1"/>
  <c r="K8155" i="1"/>
  <c r="L8155" i="1"/>
  <c r="K8156" i="1"/>
  <c r="L8156" i="1"/>
  <c r="K8157" i="1"/>
  <c r="L8157" i="1"/>
  <c r="K8158" i="1"/>
  <c r="L8158" i="1"/>
  <c r="K8159" i="1"/>
  <c r="L8159" i="1"/>
  <c r="K8160" i="1"/>
  <c r="L8160" i="1"/>
  <c r="K8161" i="1"/>
  <c r="L8161" i="1"/>
  <c r="K8162" i="1"/>
  <c r="L8162" i="1"/>
  <c r="K8163" i="1"/>
  <c r="L8163" i="1"/>
  <c r="K8164" i="1"/>
  <c r="L8164" i="1"/>
  <c r="K8165" i="1"/>
  <c r="L8165" i="1"/>
  <c r="K8166" i="1"/>
  <c r="L8166" i="1"/>
  <c r="K8167" i="1"/>
  <c r="L8167" i="1"/>
  <c r="K8168" i="1"/>
  <c r="L8168" i="1"/>
  <c r="K8169" i="1"/>
  <c r="L8169" i="1"/>
  <c r="K8170" i="1"/>
  <c r="L8170" i="1"/>
  <c r="K8171" i="1"/>
  <c r="L8171" i="1"/>
  <c r="K8172" i="1"/>
  <c r="L8172" i="1"/>
  <c r="K8173" i="1"/>
  <c r="L8173" i="1"/>
  <c r="K8174" i="1"/>
  <c r="L8174" i="1"/>
  <c r="K8175" i="1"/>
  <c r="L8175" i="1"/>
  <c r="K8176" i="1"/>
  <c r="L8176" i="1"/>
  <c r="K8177" i="1"/>
  <c r="L8177" i="1"/>
  <c r="K8178" i="1"/>
  <c r="L8178" i="1"/>
  <c r="K8179" i="1"/>
  <c r="L8179" i="1"/>
  <c r="K8180" i="1"/>
  <c r="L8180" i="1"/>
  <c r="K8181" i="1"/>
  <c r="L8181" i="1"/>
  <c r="K8182" i="1"/>
  <c r="L8182" i="1"/>
  <c r="K8183" i="1"/>
  <c r="L8183" i="1"/>
  <c r="K8184" i="1"/>
  <c r="L8184" i="1"/>
  <c r="K8185" i="1"/>
  <c r="L8185" i="1"/>
  <c r="K8186" i="1"/>
  <c r="L8186" i="1"/>
  <c r="K8187" i="1"/>
  <c r="L8187" i="1"/>
  <c r="K8188" i="1"/>
  <c r="L8188" i="1"/>
  <c r="K8189" i="1"/>
  <c r="L8189" i="1"/>
  <c r="K8190" i="1"/>
  <c r="L8190" i="1"/>
  <c r="K8191" i="1"/>
  <c r="L8191" i="1"/>
  <c r="K8192" i="1"/>
  <c r="L8192" i="1"/>
  <c r="K8193" i="1"/>
  <c r="L8193" i="1"/>
  <c r="K8194" i="1"/>
  <c r="L8194" i="1"/>
  <c r="K8195" i="1"/>
  <c r="L8195" i="1"/>
  <c r="K8196" i="1"/>
  <c r="L8196" i="1"/>
  <c r="K8197" i="1"/>
  <c r="L8197" i="1"/>
  <c r="K8198" i="1"/>
  <c r="L8198" i="1"/>
  <c r="K8199" i="1"/>
  <c r="L8199" i="1"/>
  <c r="K8200" i="1"/>
  <c r="L8200" i="1"/>
  <c r="K8201" i="1"/>
  <c r="L8201" i="1"/>
  <c r="K8202" i="1"/>
  <c r="L8202" i="1"/>
  <c r="K8203" i="1"/>
  <c r="L8203" i="1"/>
  <c r="K8204" i="1"/>
  <c r="L8204" i="1"/>
  <c r="K8205" i="1"/>
  <c r="L8205" i="1"/>
  <c r="K8206" i="1"/>
  <c r="L8206" i="1"/>
  <c r="K8207" i="1"/>
  <c r="L8207" i="1"/>
  <c r="K8208" i="1"/>
  <c r="L8208" i="1"/>
  <c r="K8209" i="1"/>
  <c r="L8209" i="1"/>
  <c r="K8210" i="1"/>
  <c r="L8210" i="1"/>
  <c r="K8211" i="1"/>
  <c r="L8211" i="1"/>
  <c r="K8212" i="1"/>
  <c r="L8212" i="1"/>
  <c r="K8213" i="1"/>
  <c r="L8213" i="1"/>
  <c r="K8214" i="1"/>
  <c r="L8214" i="1"/>
  <c r="K8215" i="1"/>
  <c r="L8215" i="1"/>
  <c r="K8216" i="1"/>
  <c r="L8216" i="1"/>
  <c r="K8217" i="1"/>
  <c r="L8217" i="1"/>
  <c r="K8218" i="1"/>
  <c r="L8218" i="1"/>
  <c r="K8219" i="1"/>
  <c r="L8219" i="1"/>
  <c r="K8220" i="1"/>
  <c r="L8220" i="1"/>
  <c r="K8221" i="1"/>
  <c r="L8221" i="1"/>
  <c r="K8222" i="1"/>
  <c r="L8222" i="1"/>
  <c r="K8223" i="1"/>
  <c r="L8223" i="1"/>
  <c r="K8224" i="1"/>
  <c r="L8224" i="1"/>
  <c r="K8225" i="1"/>
  <c r="L8225" i="1"/>
  <c r="K8226" i="1"/>
  <c r="L8226" i="1"/>
  <c r="K8227" i="1"/>
  <c r="L8227" i="1"/>
  <c r="K8228" i="1"/>
  <c r="L8228" i="1"/>
  <c r="K8229" i="1"/>
  <c r="L8229" i="1"/>
  <c r="K8230" i="1"/>
  <c r="L8230" i="1"/>
  <c r="K8231" i="1"/>
  <c r="L8231" i="1"/>
  <c r="K8232" i="1"/>
  <c r="L8232" i="1"/>
  <c r="K8233" i="1"/>
  <c r="L8233" i="1"/>
  <c r="K8234" i="1"/>
  <c r="L8234" i="1"/>
  <c r="K8235" i="1"/>
  <c r="L8235" i="1"/>
  <c r="K8236" i="1"/>
  <c r="L8236" i="1"/>
  <c r="K8237" i="1"/>
  <c r="L8237" i="1"/>
  <c r="K8238" i="1"/>
  <c r="L8238" i="1"/>
  <c r="K8239" i="1"/>
  <c r="L8239" i="1"/>
  <c r="K8240" i="1"/>
  <c r="L8240" i="1"/>
  <c r="K8241" i="1"/>
  <c r="L8241" i="1"/>
  <c r="K8242" i="1"/>
  <c r="L8242" i="1"/>
  <c r="K8243" i="1"/>
  <c r="L8243" i="1"/>
  <c r="K8244" i="1"/>
  <c r="L8244" i="1"/>
  <c r="K8245" i="1"/>
  <c r="L8245" i="1"/>
  <c r="K8246" i="1"/>
  <c r="L8246" i="1"/>
  <c r="K8247" i="1"/>
  <c r="L8247" i="1"/>
  <c r="K8248" i="1"/>
  <c r="L8248" i="1"/>
  <c r="K8249" i="1"/>
  <c r="L8249" i="1"/>
  <c r="K8250" i="1"/>
  <c r="L8250" i="1"/>
  <c r="K8251" i="1"/>
  <c r="L8251" i="1"/>
  <c r="K8252" i="1"/>
  <c r="L8252" i="1"/>
  <c r="K8253" i="1"/>
  <c r="L8253" i="1"/>
  <c r="K8254" i="1"/>
  <c r="L8254" i="1"/>
  <c r="K8255" i="1"/>
  <c r="L8255" i="1"/>
  <c r="K8256" i="1"/>
  <c r="L8256" i="1"/>
  <c r="K8257" i="1"/>
  <c r="L8257" i="1"/>
  <c r="K8258" i="1"/>
  <c r="L8258" i="1"/>
  <c r="K8259" i="1"/>
  <c r="L8259" i="1"/>
  <c r="K8260" i="1"/>
  <c r="L8260" i="1"/>
  <c r="K8261" i="1"/>
  <c r="L8261" i="1"/>
  <c r="K8262" i="1"/>
  <c r="L8262" i="1"/>
  <c r="K8263" i="1"/>
  <c r="L8263" i="1"/>
  <c r="K8264" i="1"/>
  <c r="L8264" i="1"/>
  <c r="K8265" i="1"/>
  <c r="L8265" i="1"/>
  <c r="K8266" i="1"/>
  <c r="L8266" i="1"/>
  <c r="K8267" i="1"/>
  <c r="L8267" i="1"/>
  <c r="K8268" i="1"/>
  <c r="L8268" i="1"/>
  <c r="K8269" i="1"/>
  <c r="L8269" i="1"/>
  <c r="K8270" i="1"/>
  <c r="L8270" i="1"/>
  <c r="K8271" i="1"/>
  <c r="L8271" i="1"/>
  <c r="K8272" i="1"/>
  <c r="L8272" i="1"/>
  <c r="K8273" i="1"/>
  <c r="L8273" i="1"/>
  <c r="K8274" i="1"/>
  <c r="L8274" i="1"/>
  <c r="K8275" i="1"/>
  <c r="L8275" i="1"/>
  <c r="K8276" i="1"/>
  <c r="L8276" i="1"/>
  <c r="K8277" i="1"/>
  <c r="L8277" i="1"/>
  <c r="K8278" i="1"/>
  <c r="L8278" i="1"/>
  <c r="K8279" i="1"/>
  <c r="L8279" i="1"/>
  <c r="K8280" i="1"/>
  <c r="L8280" i="1"/>
  <c r="K8281" i="1"/>
  <c r="L8281" i="1"/>
  <c r="K8282" i="1"/>
  <c r="L8282" i="1"/>
  <c r="K8283" i="1"/>
  <c r="L8283" i="1"/>
  <c r="K8284" i="1"/>
  <c r="L8284" i="1"/>
  <c r="K8285" i="1"/>
  <c r="L8285" i="1"/>
  <c r="K8286" i="1"/>
  <c r="L8286" i="1"/>
  <c r="K8287" i="1"/>
  <c r="L8287" i="1"/>
  <c r="K8288" i="1"/>
  <c r="L8288" i="1"/>
  <c r="K8289" i="1"/>
  <c r="L8289" i="1"/>
  <c r="K8290" i="1"/>
  <c r="L8290" i="1"/>
  <c r="K8291" i="1"/>
  <c r="L8291" i="1"/>
  <c r="K8292" i="1"/>
  <c r="L8292" i="1"/>
  <c r="K8293" i="1"/>
  <c r="L8293" i="1"/>
  <c r="K8294" i="1"/>
  <c r="L8294" i="1"/>
  <c r="K8295" i="1"/>
  <c r="L8295" i="1"/>
  <c r="K8296" i="1"/>
  <c r="L8296" i="1"/>
  <c r="K8297" i="1"/>
  <c r="L8297" i="1"/>
  <c r="K8298" i="1"/>
  <c r="L8298" i="1"/>
  <c r="K8299" i="1"/>
  <c r="L8299" i="1"/>
  <c r="K8300" i="1"/>
  <c r="L8300" i="1"/>
  <c r="K8301" i="1"/>
  <c r="L8301" i="1"/>
  <c r="K8302" i="1"/>
  <c r="L8302" i="1"/>
  <c r="K8303" i="1"/>
  <c r="L8303" i="1"/>
  <c r="K8304" i="1"/>
  <c r="L8304" i="1"/>
  <c r="K8305" i="1"/>
  <c r="L8305" i="1"/>
  <c r="K8306" i="1"/>
  <c r="L8306" i="1"/>
  <c r="K8307" i="1"/>
  <c r="L8307" i="1"/>
  <c r="K8308" i="1"/>
  <c r="L8308" i="1"/>
  <c r="K8309" i="1"/>
  <c r="L8309" i="1"/>
  <c r="K8310" i="1"/>
  <c r="L8310" i="1"/>
  <c r="K8311" i="1"/>
  <c r="L8311" i="1"/>
  <c r="K8312" i="1"/>
  <c r="L8312" i="1"/>
  <c r="K8313" i="1"/>
  <c r="L8313" i="1"/>
  <c r="K8314" i="1"/>
  <c r="L8314" i="1"/>
  <c r="K8315" i="1"/>
  <c r="L8315" i="1"/>
  <c r="K8316" i="1"/>
  <c r="L8316" i="1"/>
  <c r="K8317" i="1"/>
  <c r="L8317" i="1"/>
  <c r="K8318" i="1"/>
  <c r="L8318" i="1"/>
  <c r="K8319" i="1"/>
  <c r="L8319" i="1"/>
  <c r="K8320" i="1"/>
  <c r="L8320" i="1"/>
  <c r="K8321" i="1"/>
  <c r="L8321" i="1"/>
  <c r="K8322" i="1"/>
  <c r="L8322" i="1"/>
  <c r="K8323" i="1"/>
  <c r="L8323" i="1"/>
  <c r="K8324" i="1"/>
  <c r="L8324" i="1"/>
  <c r="K8325" i="1"/>
  <c r="L8325" i="1"/>
  <c r="K8326" i="1"/>
  <c r="L8326" i="1"/>
  <c r="K8327" i="1"/>
  <c r="L8327" i="1"/>
  <c r="K8328" i="1"/>
  <c r="L8328" i="1"/>
  <c r="K8329" i="1"/>
  <c r="L8329" i="1"/>
  <c r="K8330" i="1"/>
  <c r="L8330" i="1"/>
  <c r="K8331" i="1"/>
  <c r="L8331" i="1"/>
  <c r="K8332" i="1"/>
  <c r="L8332" i="1"/>
  <c r="K8333" i="1"/>
  <c r="L8333" i="1"/>
  <c r="K8334" i="1"/>
  <c r="L8334" i="1"/>
  <c r="K8335" i="1"/>
  <c r="L8335" i="1"/>
  <c r="K8336" i="1"/>
  <c r="L8336" i="1"/>
  <c r="K8337" i="1"/>
  <c r="L8337" i="1"/>
  <c r="K8338" i="1"/>
  <c r="L8338" i="1"/>
  <c r="K8339" i="1"/>
  <c r="L8339" i="1"/>
  <c r="K8340" i="1"/>
  <c r="L8340" i="1"/>
  <c r="K8341" i="1"/>
  <c r="L8341" i="1"/>
  <c r="K8342" i="1"/>
  <c r="L8342" i="1"/>
  <c r="K8343" i="1"/>
  <c r="L8343" i="1"/>
  <c r="K8344" i="1"/>
  <c r="L8344" i="1"/>
  <c r="K8345" i="1"/>
  <c r="L8345" i="1"/>
  <c r="K8346" i="1"/>
  <c r="L8346" i="1"/>
  <c r="K8347" i="1"/>
  <c r="L8347" i="1"/>
  <c r="K8348" i="1"/>
  <c r="L8348" i="1"/>
  <c r="K8349" i="1"/>
  <c r="L8349" i="1"/>
  <c r="K8350" i="1"/>
  <c r="L8350" i="1"/>
  <c r="K8351" i="1"/>
  <c r="L8351" i="1"/>
  <c r="K8352" i="1"/>
  <c r="L8352" i="1"/>
  <c r="K8353" i="1"/>
  <c r="L8353" i="1"/>
  <c r="K8354" i="1"/>
  <c r="L8354" i="1"/>
  <c r="K8355" i="1"/>
  <c r="L8355" i="1"/>
  <c r="K8356" i="1"/>
  <c r="L8356" i="1"/>
  <c r="K8357" i="1"/>
  <c r="L8357" i="1"/>
  <c r="K8358" i="1"/>
  <c r="L8358" i="1"/>
  <c r="K8359" i="1"/>
  <c r="L8359" i="1"/>
  <c r="K8360" i="1"/>
  <c r="L8360" i="1"/>
  <c r="K8361" i="1"/>
  <c r="L8361" i="1"/>
  <c r="K8362" i="1"/>
  <c r="L8362" i="1"/>
  <c r="K8363" i="1"/>
  <c r="L8363" i="1"/>
  <c r="K8364" i="1"/>
  <c r="L8364" i="1"/>
  <c r="K8365" i="1"/>
  <c r="L8365" i="1"/>
  <c r="K8366" i="1"/>
  <c r="L8366" i="1"/>
  <c r="K8367" i="1"/>
  <c r="L8367" i="1"/>
  <c r="K8368" i="1"/>
  <c r="L8368" i="1"/>
  <c r="K8369" i="1"/>
  <c r="L8369" i="1"/>
  <c r="K8370" i="1"/>
  <c r="L8370" i="1"/>
  <c r="K8371" i="1"/>
  <c r="L8371" i="1"/>
  <c r="K8372" i="1"/>
  <c r="L8372" i="1"/>
  <c r="K8373" i="1"/>
  <c r="L8373" i="1"/>
  <c r="K8374" i="1"/>
  <c r="L8374" i="1"/>
  <c r="K8375" i="1"/>
  <c r="L8375" i="1"/>
  <c r="K8376" i="1"/>
  <c r="L8376" i="1"/>
  <c r="K8377" i="1"/>
  <c r="L8377" i="1"/>
  <c r="K8378" i="1"/>
  <c r="L8378" i="1"/>
  <c r="K8379" i="1"/>
  <c r="L8379" i="1"/>
  <c r="K8380" i="1"/>
  <c r="L8380" i="1"/>
  <c r="K8381" i="1"/>
  <c r="L8381" i="1"/>
  <c r="K8382" i="1"/>
  <c r="L8382" i="1"/>
  <c r="K8383" i="1"/>
  <c r="L8383" i="1"/>
  <c r="K8384" i="1"/>
  <c r="L8384" i="1"/>
  <c r="K8385" i="1"/>
  <c r="L8385" i="1"/>
  <c r="K8386" i="1"/>
  <c r="L8386" i="1"/>
  <c r="K8387" i="1"/>
  <c r="L8387" i="1"/>
  <c r="K8388" i="1"/>
  <c r="L8388" i="1"/>
  <c r="K8389" i="1"/>
  <c r="L8389" i="1"/>
  <c r="K8390" i="1"/>
  <c r="L8390" i="1"/>
  <c r="K8391" i="1"/>
  <c r="L8391" i="1"/>
  <c r="K8392" i="1"/>
  <c r="L8392" i="1"/>
  <c r="K8393" i="1"/>
  <c r="L8393" i="1"/>
  <c r="K8394" i="1"/>
  <c r="L8394" i="1"/>
  <c r="K8395" i="1"/>
  <c r="L8395" i="1"/>
  <c r="K8396" i="1"/>
  <c r="L8396" i="1"/>
  <c r="K8397" i="1"/>
  <c r="L8397" i="1"/>
  <c r="K8398" i="1"/>
  <c r="L8398" i="1"/>
  <c r="K8399" i="1"/>
  <c r="L8399" i="1"/>
  <c r="K8400" i="1"/>
  <c r="L8400" i="1"/>
  <c r="K8401" i="1"/>
  <c r="L8401" i="1"/>
  <c r="K8402" i="1"/>
  <c r="L8402" i="1"/>
  <c r="K8403" i="1"/>
  <c r="L8403" i="1"/>
  <c r="K8404" i="1"/>
  <c r="L8404" i="1"/>
  <c r="K8405" i="1"/>
  <c r="L8405" i="1"/>
  <c r="K8406" i="1"/>
  <c r="L8406" i="1"/>
  <c r="K8407" i="1"/>
  <c r="L8407" i="1"/>
  <c r="K8408" i="1"/>
  <c r="L8408" i="1"/>
  <c r="K8409" i="1"/>
  <c r="L8409" i="1"/>
  <c r="K8410" i="1"/>
  <c r="L8410" i="1"/>
</calcChain>
</file>

<file path=xl/sharedStrings.xml><?xml version="1.0" encoding="utf-8"?>
<sst xmlns="http://schemas.openxmlformats.org/spreadsheetml/2006/main" count="84413" uniqueCount="5718">
  <si>
    <t>Nombre del Producto o Servicio</t>
  </si>
  <si>
    <t>Clasificación</t>
  </si>
  <si>
    <t>Tipo de Producto o Servicio</t>
  </si>
  <si>
    <t>¿Posible vender en cantidad decimal?</t>
  </si>
  <si>
    <t>¿controlarás el stock del producto?</t>
  </si>
  <si>
    <t>Estado Estado Producto/Servicio</t>
  </si>
  <si>
    <t>Impuestos</t>
  </si>
  <si>
    <t>Variante</t>
  </si>
  <si>
    <t>ELECTRONICA MENOR</t>
  </si>
  <si>
    <t>¿permitirás ventas sin stock?</t>
  </si>
  <si>
    <t>Código de Barras</t>
  </si>
  <si>
    <t>SKU</t>
  </si>
  <si>
    <t>Sucursales</t>
  </si>
  <si>
    <t>Fecha creación</t>
  </si>
  <si>
    <t>Estado Variante</t>
  </si>
  <si>
    <t>Producto</t>
  </si>
  <si>
    <t>AC TAPA EXCLUSIVA MOTOMO</t>
  </si>
  <si>
    <t>No</t>
  </si>
  <si>
    <t>Si</t>
  </si>
  <si>
    <t>Activo</t>
  </si>
  <si>
    <t>IVA</t>
  </si>
  <si>
    <t>ALAMO, Matriz Florida</t>
  </si>
  <si>
    <t>AC TAPA AGUA</t>
  </si>
  <si>
    <t>AC CABLE</t>
  </si>
  <si>
    <t>AC TAPA BRILLO</t>
  </si>
  <si>
    <t>AC VIDRIO TEMPLADO</t>
  </si>
  <si>
    <t>AC CARCASA BATERIA</t>
  </si>
  <si>
    <t>AC TAPA 2.0</t>
  </si>
  <si>
    <t>CELULAR</t>
  </si>
  <si>
    <t>AC BATERIA</t>
  </si>
  <si>
    <t>EM AUDIFONO BLUETOOTH</t>
  </si>
  <si>
    <t>EM CABLE</t>
  </si>
  <si>
    <t>AC TAPA GOMA DISEÑO</t>
  </si>
  <si>
    <t>Inactivo</t>
  </si>
  <si>
    <t>3 EN 1 CHARGER</t>
  </si>
  <si>
    <t>EM ADAPTADOR</t>
  </si>
  <si>
    <t>ACCESORIO GOPRO</t>
  </si>
  <si>
    <t>EM VARIOS</t>
  </si>
  <si>
    <t>ACCESORIO GOPRO $1000</t>
  </si>
  <si>
    <t>ACCESORIO GOPRO $1500</t>
  </si>
  <si>
    <t>ACCESORIO GOPRO $2000</t>
  </si>
  <si>
    <t>ACCESORIO GOPRO $2500</t>
  </si>
  <si>
    <t>ACCESORIO GOPRO $3500</t>
  </si>
  <si>
    <t>ACCESORIO GOPRO $4000</t>
  </si>
  <si>
    <t>ACCESORIO GOPRO $5000</t>
  </si>
  <si>
    <t>ADAPTADOR 1 JACK A AUDIFONO Y MICROFONO</t>
  </si>
  <si>
    <t>ADAPTADOR 220V 2 AMP 2 USB</t>
  </si>
  <si>
    <t>ADAPTADOR 220V A 1USB</t>
  </si>
  <si>
    <t>ADAPTADOR 220V DE 2 USB</t>
  </si>
  <si>
    <t>ADAPTADOR 220V MI 781</t>
  </si>
  <si>
    <t>ADAPTADOR 3 EN 1 PARA CAMARAS O SOPORTE DE CELULAR IRM-07560</t>
  </si>
  <si>
    <t>ADAPTADOR 3 EN 1 PARA CELULARES IRM-07559</t>
  </si>
  <si>
    <t>ADAPTADOR 7.1 AUDIO A USB COD 100374</t>
  </si>
  <si>
    <t>ADAPTADOR ARG-CHI COD 1310</t>
  </si>
  <si>
    <t>ADAPTADOR ARG-CHI SXC-00451</t>
  </si>
  <si>
    <t>AC ADAPTADOR</t>
  </si>
  <si>
    <t>ADAPTADOR AUDIFONO Y MICROFONO A UN PLUG IRM-07855</t>
  </si>
  <si>
    <t>ADAPTADOR AUDIO HEMBRA 6.3 A MACHO 3.5 MONO COD 12</t>
  </si>
  <si>
    <t>ADAPTADOR AUDIO IPHONE ORIG</t>
  </si>
  <si>
    <t>ADAPTADOR AUDIO PLUG-AUDIFONOS+MICROFONO</t>
  </si>
  <si>
    <t>ADAPTADOR AUDIO Y CARGA TIPO C COD 1180</t>
  </si>
  <si>
    <t>ADAPTADOR AUDIO Y CARGA TIPO IPHONE COD 2924</t>
  </si>
  <si>
    <t>ADAPTADOR AV2 A HDMI IRM-06028</t>
  </si>
  <si>
    <t>ADAPTADOR BLUETOOTH USB</t>
  </si>
  <si>
    <t>EM PERIFERICO PC</t>
  </si>
  <si>
    <t>ADAPTADOR C A AUDIO 3.5 HUAWEI ORIGINAL CM20</t>
  </si>
  <si>
    <t>ADAPTADOR C A HDMI</t>
  </si>
  <si>
    <t>ADAPTADOR C A HDMI PHILCO 29ASBHD500</t>
  </si>
  <si>
    <t>ADAPTADOR C A HDMI TC5745</t>
  </si>
  <si>
    <t>ADAPTADOR C A JACK</t>
  </si>
  <si>
    <t>ADAPTADOR C A JACK COD 113816</t>
  </si>
  <si>
    <t>ADAPTADOR C A USB MACHO</t>
  </si>
  <si>
    <t>ADAPTADOR C A USB MACHO COD 119613</t>
  </si>
  <si>
    <t>ADAPTADOR C A V8 IRM-08254</t>
  </si>
  <si>
    <t>ADAPTADOR CARGADOR H21 220V A 2 USB 2100 AMP</t>
  </si>
  <si>
    <t>ALAMO, Matriz Florida, CRISTAL</t>
  </si>
  <si>
    <t>ADAPTADOR CERTIFICADO IPHONE</t>
  </si>
  <si>
    <t>ADAPTADOR CHI-ARG</t>
  </si>
  <si>
    <t>ADAPTADOR CHI-ARG 1310</t>
  </si>
  <si>
    <t>ADAPTADOR CHI-ARG IRM-05027</t>
  </si>
  <si>
    <t>ADAPTADOR CHI-ARG IRM-815</t>
  </si>
  <si>
    <t>ADAPTADOR DE ENCHUFE</t>
  </si>
  <si>
    <t>ADAPTADOR DISPLAY PORT A HDMI HEMBRA XTC-358</t>
  </si>
  <si>
    <t>ADAPTADOR DVI A VGA COD 91009</t>
  </si>
  <si>
    <t>ALAMO, CRISTAL, Matriz Florida</t>
  </si>
  <si>
    <t>ADAPTADOR ENCHUFE AMERICANO</t>
  </si>
  <si>
    <t>ADAPTADOR ENCHUFE INTERNACIONAL</t>
  </si>
  <si>
    <t>ADAPTADOR ENCHUFE INTERNACIONAL COD 3169</t>
  </si>
  <si>
    <t>ADAPTADOR ENCHUFE INTERNACIONAL COD 7852</t>
  </si>
  <si>
    <t>ADAPTADOR GOPRO BASTON SELFIE</t>
  </si>
  <si>
    <t>ADAPTADOR HDMI A AV2 IRM-06027</t>
  </si>
  <si>
    <t>ADAPTADOR HDMI A RCA IMPE-17660-19</t>
  </si>
  <si>
    <t>ADAPTADOR HDMI A VGA HDVG2</t>
  </si>
  <si>
    <t>ADAPTADOR HDMI A VGA IRM-00197</t>
  </si>
  <si>
    <t>ADAPTADOR HDMI A VGA PHILCO HD525</t>
  </si>
  <si>
    <t>ADAPTADOR HDMI CURVO COD 3300</t>
  </si>
  <si>
    <t>ADAPTADOR HDMI HEMBRA A HDMI HEMBRA</t>
  </si>
  <si>
    <t>ADAPTADOR HDMI-HDMI COD 106721</t>
  </si>
  <si>
    <t>ADAPTADOR HDMI-LIGHTING ET-W5</t>
  </si>
  <si>
    <t>ADAPTADOR HDMI-MINI HDMI COD 108910</t>
  </si>
  <si>
    <t>ADAPTADOR HUAWEI 2.4 GHZ</t>
  </si>
  <si>
    <t>ADAPTADOR HUB TIPO C ADATA</t>
  </si>
  <si>
    <t>ADAPTADOR INTERNACIONAL COD 321</t>
  </si>
  <si>
    <t>ADAPTADOR INTERNACIONAL IMPE-98328</t>
  </si>
  <si>
    <t>ADAPTADOR INTERNACIONAL IRM-03217</t>
  </si>
  <si>
    <t>ADAPTADOR IPHONE 220V A USB</t>
  </si>
  <si>
    <t>ADAPTADOR IPHONE 5</t>
  </si>
  <si>
    <t>ADAPTADOR IPHONE CASA</t>
  </si>
  <si>
    <t>ADAPTADOR IPHONE PLUG Y JACK</t>
  </si>
  <si>
    <t>ADAPTADOR LIGHTNING A AUX-LIGHTNING S-M403</t>
  </si>
  <si>
    <t>ADAPTADOR LIGHTNING A JACK</t>
  </si>
  <si>
    <t>ADAPTADOR LIGHTNING A JACK JOYROOM S-Y104</t>
  </si>
  <si>
    <t>ADAPTADOR LIGHTNING A JACK MODEL GL032</t>
  </si>
  <si>
    <t>ADAPTADOR LIGHTNING A JACK Y LIGHTNING KY-178 IRM-05756</t>
  </si>
  <si>
    <t>ADAPTADOR LIGHTNING A V8 COD 5111</t>
  </si>
  <si>
    <t>ADAPTADOR MHL MIRASCREEN LD6M-3M</t>
  </si>
  <si>
    <t>ADAPTADOR MICRO A TIPO C</t>
  </si>
  <si>
    <t>ADAPTADOR MICROFONO-JACK A PLUG 3.5 COD 14474</t>
  </si>
  <si>
    <t>ADAPTADOR MINI DISPLAY PORT A HDMI</t>
  </si>
  <si>
    <t>ADAPTADOR MINI DISPLAY PORT A HDMI FASTLINK</t>
  </si>
  <si>
    <t>ADAPTADOR MINI DISPLAY PORT A VGA</t>
  </si>
  <si>
    <t>ADAPTADOR OTG C</t>
  </si>
  <si>
    <t>ADAPTADOR OTG C COD 1483</t>
  </si>
  <si>
    <t>ADAPTADOR OTG C IRM-04394</t>
  </si>
  <si>
    <t>ADAPTADOR OTG C KY-167</t>
  </si>
  <si>
    <t>ADAPTADOR OTG V8 COD 180</t>
  </si>
  <si>
    <t>ADAPTADOR OTG V8 IRM-04397</t>
  </si>
  <si>
    <t>ADAPTADOR OTG V8 IRM-05787</t>
  </si>
  <si>
    <t>ADAPTADOR OTG V8 IRM-06049</t>
  </si>
  <si>
    <t>ADAPTADOR OTG V8 KY-168</t>
  </si>
  <si>
    <t>ADAPTADOR OTG V8/C CON LECTOR MICRO SD IRM-05391</t>
  </si>
  <si>
    <t>ADAPTADOR PARA AUDIO IPHONE 7</t>
  </si>
  <si>
    <t>ADAPTADOR PLUG 3.5 HEMBRA A AUDIFONO Y MICROFONO COD 118847</t>
  </si>
  <si>
    <t>ADAPTADOR PLUG 6.3 A 3.5</t>
  </si>
  <si>
    <t>ADAPTADOR PLUG AUDIFONOS-MICROFONO IRM-04816</t>
  </si>
  <si>
    <t>ADAPTADOR PLUG AUDIO LIGHTNING IRM 05786</t>
  </si>
  <si>
    <t>ADAPTADOR PLUG HEMBRA 3.5 A MACHO 6.3</t>
  </si>
  <si>
    <t>ADAPTADOR PLUG HEMBRA 6.3 A MACHO 3.5</t>
  </si>
  <si>
    <t>ADAPTADOR PLUG TIPO C IRM-05375</t>
  </si>
  <si>
    <t>ADAPTADOR PLUG-IPHONE</t>
  </si>
  <si>
    <t>ADAPTADOR POLOLO</t>
  </si>
  <si>
    <t>ADAPTADOR POLOLO COD 4</t>
  </si>
  <si>
    <t>ADAPTADOR PS3 DUALSCHOCK PARA SMARTPHONE 3261</t>
  </si>
  <si>
    <t>ADAPTADOR PS4 DUALSHOCK PARA CELU</t>
  </si>
  <si>
    <t>ADAPTADOR RCA A HDMI IMPE-17660-18</t>
  </si>
  <si>
    <t>ADAPTADOR TESTER CARGADOR AUTO</t>
  </si>
  <si>
    <t>ADAPTADOR TIPO C A AUDIFONOS</t>
  </si>
  <si>
    <t>ADAPTADOR TIPO C A JACK IRM-05862</t>
  </si>
  <si>
    <t>ADAPTADOR TIPO C A JACK IRM-08515</t>
  </si>
  <si>
    <t>ADAPTADOR TIPO C A JACK MODEL MH20</t>
  </si>
  <si>
    <t>ADAPTADOR TIPO IPHONE A JACK Y CARGADOR IRM-08245</t>
  </si>
  <si>
    <t xml:space="preserve">ADAPTADOR TYPE C A PLUG </t>
  </si>
  <si>
    <t>ADAPTADOR UINTERNACIONAL ENCHUFE COD 321</t>
  </si>
  <si>
    <t>ADAPTADOR USB A HDMI COD 93354</t>
  </si>
  <si>
    <t>ADAPTADOR USB-WIFI TP-LINK TL-WN727N 150 MBPS</t>
  </si>
  <si>
    <t>ADAPTADOR USB-WIFI TP-LINK TL-WN821N 300 MBPS</t>
  </si>
  <si>
    <t>ADAPTADOR V8/C/IPHONE A HDMI TC6076</t>
  </si>
  <si>
    <t>ADAPTADOR VGA A HDMI</t>
  </si>
  <si>
    <t>ADAPTADOR VGA A HDMI DINON</t>
  </si>
  <si>
    <t>ADAPTADOR VGA A HDMI PHILCO 29VGA08118</t>
  </si>
  <si>
    <t>ADAPTADOR VGA A VGA COD 91013</t>
  </si>
  <si>
    <t>ADAPTADOR VGA-DVI XTECH XTC-362</t>
  </si>
  <si>
    <t>ADAPTADOR VGA-HDMI XTC-361</t>
  </si>
  <si>
    <t>AEROSOL HIGIENIZANTE PARA MANOS ALCOHOL 70%</t>
  </si>
  <si>
    <t>CV HIGIENE Y ASEO</t>
  </si>
  <si>
    <t>ALARGADOR DE CORRIENTE 1.8 MTS PHILCO</t>
  </si>
  <si>
    <t>ALARGADOR DE CORRIENTE PHILCO 1.5MTS COD 861</t>
  </si>
  <si>
    <t>ALARGADOR DE CORRIENTE PHILCO PROTECTOR VOLTAJE COD 1998</t>
  </si>
  <si>
    <t>ALARGADOR ELECTRICO 5 MTS PHILCO</t>
  </si>
  <si>
    <t>ALARGADOR ET-E6713</t>
  </si>
  <si>
    <t>ALARMA AUTO ANTI CLON</t>
  </si>
  <si>
    <t>EM VEHICULO</t>
  </si>
  <si>
    <t>ALCOHOL GEL 237 ML</t>
  </si>
  <si>
    <t>AMONIO DE CUATERNARIO 1000ML</t>
  </si>
  <si>
    <t>AMONIO DE CUATERNARIO CONCENTRADO 1000ML</t>
  </si>
  <si>
    <t>AMONIO DE CUATERNARIO IGENIX 900 ML</t>
  </si>
  <si>
    <t>AMPLIFICADOR DE PANTALLA CON PARLANTE BLUETOOTH IRM-07970</t>
  </si>
  <si>
    <t>AMPLIFICADOR DE PANTALLA IRM-07900</t>
  </si>
  <si>
    <t>AMPOLLETA LED ET-L0025-30W</t>
  </si>
  <si>
    <t>AMPOLLETA LED-F112 CUADRADA</t>
  </si>
  <si>
    <t>AMPOLLETA LED-F113 CUADRADA</t>
  </si>
  <si>
    <t>AMPOLLETA LED-F114 CUADRADA</t>
  </si>
  <si>
    <t>ANDROID TV BOX TC5100</t>
  </si>
  <si>
    <t>ANILLO DE LUZ SELFIE COD 965</t>
  </si>
  <si>
    <t>ANTENA DIGITAL COD 6829 PLANA</t>
  </si>
  <si>
    <t>ANTENA DIGITAL CON USB HOTV-3011</t>
  </si>
  <si>
    <t>ANTENA DIGITAL DVB-T IMPE-4155</t>
  </si>
  <si>
    <t>ANTENA DIGITAL GENERAL ELECTRIC 24807</t>
  </si>
  <si>
    <t>ANTENA DIGITAL IRM-7537</t>
  </si>
  <si>
    <t>ANTENA DIGTAL DVB-T IMPE-4155</t>
  </si>
  <si>
    <t>ANTENA DOBLE ARO COAXIAL TC5793</t>
  </si>
  <si>
    <t>ANTENA MILITAR COD 3775</t>
  </si>
  <si>
    <t>ANTENA NACIONAL COD 96</t>
  </si>
  <si>
    <t>ANTENA TV BASICA IRM-00279</t>
  </si>
  <si>
    <t>ANTENA TV BASICA TC2776</t>
  </si>
  <si>
    <t>ANTENA TV DIGITAL COD 4140</t>
  </si>
  <si>
    <t>ANTENA TV DIGITAL COD 959</t>
  </si>
  <si>
    <t>ANTENA TV DIGITAL COD 970</t>
  </si>
  <si>
    <t>ANTENA TV DIGITAL DVB-TW30-T2</t>
  </si>
  <si>
    <t>ANTENA TV DIGITAL PLANA</t>
  </si>
  <si>
    <t>ANTENA TV DIGITAL TC5728</t>
  </si>
  <si>
    <t>ANTENA TV MILITAR IRM-00280</t>
  </si>
  <si>
    <t>ANTENA TV TIPO NACIONAL</t>
  </si>
  <si>
    <t>ANTENA WIFI COD 1781</t>
  </si>
  <si>
    <t>ANTENA WIFI USB 5 GHZ</t>
  </si>
  <si>
    <t>ANTENA WIFI USB COD 1781</t>
  </si>
  <si>
    <t>ANTENA WIFI USB CON ANTENA</t>
  </si>
  <si>
    <t>ANTENA WIFI USB DBLUE DBTW26</t>
  </si>
  <si>
    <t>ANTENA WIFI USB OT-WUA600NM</t>
  </si>
  <si>
    <t>APOYA MUÑECAS GENIUS G-WP 100</t>
  </si>
  <si>
    <t>APPLE JACK LIGHTINING TO HEADPHONE 3.5 MM MMX62AM</t>
  </si>
  <si>
    <t>ARO DE LUZ 26 CMS CON TRIPODE</t>
  </si>
  <si>
    <t>ARO DE LUZ 26 CMS CON TRIPODE QX-260</t>
  </si>
  <si>
    <t>ARO DE LUZ 26 CMS IRM-06133</t>
  </si>
  <si>
    <t>ARO DE LUZ 33 CMS CON TRIPODE</t>
  </si>
  <si>
    <t>ARO DE LUZ IRM--03827</t>
  </si>
  <si>
    <t>ARO LUZ SELFIE COD 111726</t>
  </si>
  <si>
    <t>AC VARIOS</t>
  </si>
  <si>
    <t>ATRIL PARA MICROFONO COD 35</t>
  </si>
  <si>
    <t>EM MICROFONO</t>
  </si>
  <si>
    <t>AUDFONOS MANOS LIBRES COBY</t>
  </si>
  <si>
    <t>EM AUDIFONO MANOS LIBRE</t>
  </si>
  <si>
    <t>AUDIFONO BLUETOOTH COD 118513</t>
  </si>
  <si>
    <t>AUDIFONO BLUETOOTH COD 1307 MANOS LIBRES</t>
  </si>
  <si>
    <t>AUDIFONO EZRA EP08</t>
  </si>
  <si>
    <t>EM AUDIFONO</t>
  </si>
  <si>
    <t>AUDIFONO GAMER IRM-01423</t>
  </si>
  <si>
    <t>AUDIFONO MANOS LIBRES BLUETOOTH IRM-05830</t>
  </si>
  <si>
    <t>AUDIFONO MANOS LIBRES BLUETOOTH IRM-08838</t>
  </si>
  <si>
    <t>AUDIFONO MANOS LIBRES BLUETOOTH TARGET TT-HB200BT</t>
  </si>
  <si>
    <t>AUDIFONO MULTIMEDIA SONIA SN-288MV</t>
  </si>
  <si>
    <t>AUDIFONOS 72 NEGRO</t>
  </si>
  <si>
    <t>AUDIFONOS AIWA AWB-60</t>
  </si>
  <si>
    <t>AUDIFONOS AIWA I-10</t>
  </si>
  <si>
    <t>AUDIFONOS ARCO TM-13</t>
  </si>
  <si>
    <t>AUDIFONOS BAT MUSIC 5800</t>
  </si>
  <si>
    <t>AUDIFONOS BEATS IRM-1131</t>
  </si>
  <si>
    <t>AUDIFONOS BLUETOOH AUDIO PRO AP02019W TIPO EARPODS</t>
  </si>
  <si>
    <t>AUDIFONOS BLUETOOH BT1602</t>
  </si>
  <si>
    <t>AUDIFONOS BLUETOOH ET-A4328B</t>
  </si>
  <si>
    <t>AUDIFONOS BLUETOOH ET-A4655B</t>
  </si>
  <si>
    <t>AUDIFONOS BLUETOOTH</t>
  </si>
  <si>
    <t>AUDIFONOS BLUETOOTH 1446</t>
  </si>
  <si>
    <t>AUDIFONOS BLUETOOTH 4.1 COD 995</t>
  </si>
  <si>
    <t>AUDIFONOS BLUETOOTH 450BT COD 1439</t>
  </si>
  <si>
    <t>AUDIFONOS BLUETOOTH A500</t>
  </si>
  <si>
    <t>AUDIFONOS BLUETOOTH AIR-PRO2 MACRON</t>
  </si>
  <si>
    <t>AUDIFONOS BLUETOOTH AIWA AW-7-TWS</t>
  </si>
  <si>
    <t>AUDIFONOS BLUETOOTH AIWA AW-770S DEPORTIVO</t>
  </si>
  <si>
    <t>AUDIFONOS BLUETOOTH AIWA AW-980 DEPORTIVO</t>
  </si>
  <si>
    <t>AUDIFONOS BLUETOOTH AIWA AW-BT207 ARCO</t>
  </si>
  <si>
    <t>AUDIFONOS BLUETOOTH AIWA AW-D4</t>
  </si>
  <si>
    <t>AUDIFONOS BLUETOOTH AIWA AW3</t>
  </si>
  <si>
    <t>AUDIFONOS BLUETOOTH AIWA AW680BT</t>
  </si>
  <si>
    <t>AUDIFONOS BLUETOOTH AIWA AW8</t>
  </si>
  <si>
    <t>AUDIFONOS BLUETOOTH AIWA DEPORTIVO</t>
  </si>
  <si>
    <t>AUDIFONOS BLUETOOTH ARCO 1409</t>
  </si>
  <si>
    <t>AUDIFONOS BLUETOOTH ARCO TM-003</t>
  </si>
  <si>
    <t>AUDIFONOS BLUETOOTH ARCO TM-019S</t>
  </si>
  <si>
    <t>AUDIFONOS BLUETOOTH AW-660BT AIWA</t>
  </si>
  <si>
    <t>AUDIFONOS BLUETOOTH BEATS 01446</t>
  </si>
  <si>
    <t>AUDIFONOS BLUETOOTH BEATS 1446</t>
  </si>
  <si>
    <t>AUDIFONOS BLUETOOTH COD 1081 TIPO AIRPODS</t>
  </si>
  <si>
    <t>AUDIFONOS BLUETOOTH COD 110 TIPO AIRPODS</t>
  </si>
  <si>
    <t>AUDIFONOS BLUETOOTH COD 112463 ARCO</t>
  </si>
  <si>
    <t>AUDIFONOS BLUETOOTH COD 112694 TIPO AIRPODS</t>
  </si>
  <si>
    <t>AUDIFONOS BLUETOOTH COD 118</t>
  </si>
  <si>
    <t>AUDIFONOS BLUETOOTH COD 1181</t>
  </si>
  <si>
    <t>AUDIFONOS BLUETOOTH COD 120460 KL02</t>
  </si>
  <si>
    <t>AUDIFONOS BLUETOOTH COD 122627 T-14</t>
  </si>
  <si>
    <t>AUDIFONOS BLUETOOTH COD 13638</t>
  </si>
  <si>
    <t>AUDIFONOS BLUETOOTH COD 14100</t>
  </si>
  <si>
    <t>AUDIFONOS BLUETOOTH COD 15750 MOD ZW-02</t>
  </si>
  <si>
    <t>AUDIFONOS BLUETOOTH COD 15772 MS-T9</t>
  </si>
  <si>
    <t>AUDIFONOS BLUETOOTH COD 2214 DEPORTIVO</t>
  </si>
  <si>
    <t>AUDIFONOS BLUETOOTH COD 2825</t>
  </si>
  <si>
    <t>AUDIFONOS BLUETOOTH COD 2843</t>
  </si>
  <si>
    <t>AUDIFONOS BLUETOOTH COD 3080</t>
  </si>
  <si>
    <t>AUDIFONOS BLUETOOTH COD 3679</t>
  </si>
  <si>
    <t>AUDIFONOS BLUETOOTH COD 483</t>
  </si>
  <si>
    <t>AUDIFONOS BLUETOOTH COD 6433</t>
  </si>
  <si>
    <t>AUDIFONOS BLUETOOTH DISNEY</t>
  </si>
  <si>
    <t>AUDIFONOS BLUETOOTH ESCAPE NEGRO</t>
  </si>
  <si>
    <t>AUDIFONOS BLUETOOTH ET-4707B OREJA GATO</t>
  </si>
  <si>
    <t>AUDIFONOS BLUETOOTH ET-A4075B</t>
  </si>
  <si>
    <t>AUDIFONOS BLUETOOTH ET-A4125B</t>
  </si>
  <si>
    <t>AUDIFONOS BLUETOOTH ET-A4141B</t>
  </si>
  <si>
    <t>AUDIFONOS BLUETOOTH ET-A4144B</t>
  </si>
  <si>
    <t>AUDIFONOS BLUETOOTH ET-A4169B</t>
  </si>
  <si>
    <t>AUDIFONOS BLUETOOTH ET-A4207B</t>
  </si>
  <si>
    <t>AUDIFONOS BLUETOOTH ET-A4216A</t>
  </si>
  <si>
    <t>AUDIFONOS BLUETOOTH ET-A4261B</t>
  </si>
  <si>
    <t>AUDIFONOS BLUETOOTH ET-A4293B ARCO</t>
  </si>
  <si>
    <t>AUDIFONOS BLUETOOTH ET-A4326B</t>
  </si>
  <si>
    <t>AUDIFONOS BLUETOOTH ET-A4349B</t>
  </si>
  <si>
    <t>AUDIFONOS BLUETOOTH ET-A4353B</t>
  </si>
  <si>
    <t>AUDIFONOS BLUETOOTH ET-A4358B</t>
  </si>
  <si>
    <t>AUDIFONOS BLUETOOTH ET-A4371BW</t>
  </si>
  <si>
    <t>AUDIFONOS BLUETOOTH ET-A4657B</t>
  </si>
  <si>
    <t>AUDIFONOS BLUETOOTH ET-A4658B</t>
  </si>
  <si>
    <t>AUDIFONOS BLUETOOTH ET-A4688B</t>
  </si>
  <si>
    <t>AUDIFONOS BLUETOOTH ET-A4695B</t>
  </si>
  <si>
    <t>AUDIFONOS BLUETOOTH ET-A4698B</t>
  </si>
  <si>
    <t>AUDIFONOS BLUETOOTH ET-A4708B</t>
  </si>
  <si>
    <t>AUDIFONOS BLUETOOTH ET-A4711BW</t>
  </si>
  <si>
    <t>AUDIFONOS BLUETOOTH ET-A4712BW</t>
  </si>
  <si>
    <t>AUDIFONOS BLUETOOTH ET-A4713BW</t>
  </si>
  <si>
    <t>AUDIFONOS BLUETOOTH ET-A4714BW</t>
  </si>
  <si>
    <t>AUDIFONOS BLUETOOTH ET-A4715B OREJA GATO</t>
  </si>
  <si>
    <t>AUDIFONOS BLUETOOTH ET-A4806B</t>
  </si>
  <si>
    <t>AUDIFONOS BLUETOOTH ET-A4826B</t>
  </si>
  <si>
    <t>AUDIFONOS BLUETOOTH ET-A4833B</t>
  </si>
  <si>
    <t>AUDIFONOS BLUETOOTH EZRA TWS04</t>
  </si>
  <si>
    <t>AUDIFONOS BLUETOOTH FIDDLER FD-B68B</t>
  </si>
  <si>
    <t>AUDIFONOS BLUETOOTH FREE TWINS MICROLAB COD 07753</t>
  </si>
  <si>
    <t>AUDIFONOS BLUETOOTH HYC-300 TIPO AIRPODS PRO</t>
  </si>
  <si>
    <t>AUDIFONOS BLUETOOTH IRM-00995 P47</t>
  </si>
  <si>
    <t>AUDIFONOS BLUETOOTH IRM-04528 I7S</t>
  </si>
  <si>
    <t>AUDIFONOS BLUETOOTH IRM-05331</t>
  </si>
  <si>
    <t>AUDIFONOS BLUETOOTH IRM-06685 950BT</t>
  </si>
  <si>
    <t>AUDIFONOS BLUETOOTH IRM-07219 INPODS 12 MACARON</t>
  </si>
  <si>
    <t>AUDIFONOS BLUETOOTH IRM-07741 B39</t>
  </si>
  <si>
    <t>AUDIFONOS BLUETOOTH IRM-0785 OREJAS</t>
  </si>
  <si>
    <t>AUDIFONOS BLUETOOTH IRM-07850 OREJAS</t>
  </si>
  <si>
    <t>AUDIFONOS BLUETOOTH IRM-08260 INPODS 12</t>
  </si>
  <si>
    <t>AUDIFONOS BLUETOOTH IRM-08302 PRO4</t>
  </si>
  <si>
    <t>AUDIFONOS BLUETOOTH IRM-08381 PRO4</t>
  </si>
  <si>
    <t>AUDIFONOS BLUETOOTH IRM-08382 PRO4 BLACK</t>
  </si>
  <si>
    <t>AUDIFONOS BLUETOOTH IRM-08383 PROB</t>
  </si>
  <si>
    <t>AUDIFONOS BLUETOOTH IRM-08523 PRO18</t>
  </si>
  <si>
    <t>AUDIFONOS BLUETOOTH IRM-08893 T47</t>
  </si>
  <si>
    <t>AUDIFONOS BLUETOOTH IRM-5332</t>
  </si>
  <si>
    <t>AUDIFONOS BLUETOOTH IRM-8380 PRO4 WHITE</t>
  </si>
  <si>
    <t>AUDIFONOS BLUETOOTH JBL TUNE 115BT</t>
  </si>
  <si>
    <t>AUDIFONOS BLUETOOTH JBL TUNE 510BT BLACK</t>
  </si>
  <si>
    <t>AUDIFONOS BLUETOOTH JBL TUNE500BT</t>
  </si>
  <si>
    <t>AUDIFONOS BLUETOOTH KOSS BT115igry</t>
  </si>
  <si>
    <t>AUDIFONOS BLUETOOTH LB 160</t>
  </si>
  <si>
    <t>AUDIFONOS BLUETOOTH LB 180</t>
  </si>
  <si>
    <t>AUDIFONOS BLUETOOTH LG STN 110 SPORT</t>
  </si>
  <si>
    <t>AUDIFONOS BLUETOOTH M-015</t>
  </si>
  <si>
    <t>AUDIFONOS BLUETOOTH MAGNAVOX MBH522</t>
  </si>
  <si>
    <t>AUDIFONOS BLUETOOTH MANOS LIBRES ESTEREO ET-A4316A</t>
  </si>
  <si>
    <t>AC BLUETOOTH</t>
  </si>
  <si>
    <t>AUDIFONOS BLUETOOTH MAXELL EB-BT600 BLK</t>
  </si>
  <si>
    <t>AUDIFONOS BLUETOOTH MAXELL EB-BT600 BLUE</t>
  </si>
  <si>
    <t>AUDIFONOS BLUETOOTH MAXELL EB-BT600 MINT</t>
  </si>
  <si>
    <t>AUDIFONOS BLUETOOTH MAXELL EB-BT600 PINK</t>
  </si>
  <si>
    <t>AUDIFONOS BLUETOOTH MAXELL EB-BT95 BLK</t>
  </si>
  <si>
    <t>AUDIFONOS BLUETOOTH MAXELL EB-BT95 RED</t>
  </si>
  <si>
    <t>AUDIFONOS BLUETOOTH MAXELL EB-BT95 WHT</t>
  </si>
  <si>
    <t>AUDIFONOS BLUETOOTH MAXELL HP-BT400 BLK</t>
  </si>
  <si>
    <t>AUDIFONOS BLUETOOTH MAXELL MXH-BT800 NAVY</t>
  </si>
  <si>
    <t>AUDIFONOS BLUETOOTH MAXELL MXH-BT800 PURPLE</t>
  </si>
  <si>
    <t>AUDIFONOS BLUETOOTH MONO 3258</t>
  </si>
  <si>
    <t>AUDIFONOS BLUETOOTH MONSTER MX800</t>
  </si>
  <si>
    <t>AUDIFONOS BLUETOOTH MONSTER TRUE WIRELESS MTW9 BLACK</t>
  </si>
  <si>
    <t>AUDIFONOS BLUETOOTH MOTOMO EV-13</t>
  </si>
  <si>
    <t>AUDIFONOS BLUETOOTH MOTOMO S460</t>
  </si>
  <si>
    <t>AUDIFONOS BLUETOOTH MOTOMO W6</t>
  </si>
  <si>
    <t>AUDIFONOS BLUETOOTH MOTOMO YDB15</t>
  </si>
  <si>
    <t>AUDIFONOS BLUETOOTH MOTOMO YDB2</t>
  </si>
  <si>
    <t>AUDIFONOS BLUETOOTH P35</t>
  </si>
  <si>
    <t>AUDIFONOS BLUETOOTH P47</t>
  </si>
  <si>
    <t>AUDIFONOS BLUETOOTH P47 COD 3812</t>
  </si>
  <si>
    <t>AUDIFONOS BLUETOOTH PARA CASCO COD 3371</t>
  </si>
  <si>
    <t>AUDIFONOS BLUETOOTH PARA CASCO MOTO M3</t>
  </si>
  <si>
    <t>AUDIFONOS BLUETOOTH PHILIPS SHB-5250</t>
  </si>
  <si>
    <t>AUDIFONOS BLUETOOTH PHILIPS SHB1613</t>
  </si>
  <si>
    <t>AUDIFONOS BLUETOOTH PHILIPS SHB3075</t>
  </si>
  <si>
    <t>AUDIFONOS BLUETOOTH PHILIPS SHB3175</t>
  </si>
  <si>
    <t>AUDIFONOS BLUETOOTH RETROILUMINADO COD 2992</t>
  </si>
  <si>
    <t>AUDIFONOS BLUETOOTH SANSUI</t>
  </si>
  <si>
    <t>AUDIFONOS BLUETOOTH SH16</t>
  </si>
  <si>
    <t>AUDIFONOS BLUETOOTH SONY BT 22</t>
  </si>
  <si>
    <t>AUDIFONOS BLUETOOTH SPORT AMW-22S</t>
  </si>
  <si>
    <t>AUDIFONOS BLUETOOTH SPORT AMW-50</t>
  </si>
  <si>
    <t>AUDIFONOS BLUETOOTH SPORT AMW-50S</t>
  </si>
  <si>
    <t>AUDIFONOS BLUETOOTH SPORT BT-21 COD 2233</t>
  </si>
  <si>
    <t>AUDIFONOS BLUETOOTH SPORT LG 115O</t>
  </si>
  <si>
    <t>AUDIFONOS BLUETOOTH SPORT NUCA</t>
  </si>
  <si>
    <t>AUDIFONOS BLUETOOTH SPORT STN 555</t>
  </si>
  <si>
    <t>AUDIFONOS BLUETOOTH STER 4930</t>
  </si>
  <si>
    <t>AUDIFONOS BLUETOOTH STN-019 COD 162</t>
  </si>
  <si>
    <t>AUDIFONOS BLUETOOTH STN-28 OREJA GATO</t>
  </si>
  <si>
    <t>AUDIFONOS BLUETOOTH SY-BT1603</t>
  </si>
  <si>
    <t>AUDIFONOS BLUETOOTH T524</t>
  </si>
  <si>
    <t>AUDIFONOS BLUETOOTH TARGET TT-HB7050 BK</t>
  </si>
  <si>
    <t>AUDIFONOS BLUETOOTH TARGET TTHB4175 BK BL</t>
  </si>
  <si>
    <t>AUDIFONOS BLUETOOTH TG901</t>
  </si>
  <si>
    <t>AUDIFONOS BLUETOOTH TG903</t>
  </si>
  <si>
    <t>AUDIFONOS BLUETOOTH TIPO AIRPODS CELEBRAT TWS-W10 BLANCO</t>
  </si>
  <si>
    <t>AUDIFONOS BLUETOOTH TIPO AIRPODS CELEBRAT TWS-W10 CELESTE</t>
  </si>
  <si>
    <t>AUDIFONOS BLUETOOTH TIPO AIRPODS CELEBRAT TWS-W10 NEGRO</t>
  </si>
  <si>
    <t>AUDIFONOS BLUETOOTH TIPO AIRPODS I11</t>
  </si>
  <si>
    <t>AUDIFONOS BLUETOOTH TIPO AIRPODS I12</t>
  </si>
  <si>
    <t>AUDIFONOS BLUETOOTH TIPO AIRPODS I12 BLANCOS</t>
  </si>
  <si>
    <t>AUDIFONOS BLUETOOTH TIPO AIRPODS I12 COLORES</t>
  </si>
  <si>
    <t>AUDIFONOS BLUETOOTH TIPO AIRPODS I13 BLANCOS</t>
  </si>
  <si>
    <t>AUDIFONOS BLUETOOTH TIPO AIRPODS I18</t>
  </si>
  <si>
    <t>AUDIFONOS BLUETOOTH TIPO AIRPODS I20</t>
  </si>
  <si>
    <t>AUDIFONOS BLUETOOTH TIPO AIRPODS I9S BLANCOS</t>
  </si>
  <si>
    <t>AUDIFONOS BLUETOOTH TIPO AIRPODS PRO</t>
  </si>
  <si>
    <t>AUDIFONOS BLUETOOTH TIPO AIRPODS R300 ROSADO</t>
  </si>
  <si>
    <t>AUDIFONOS BLUETOOTH TIPO EARPOD X1 COD 1510</t>
  </si>
  <si>
    <t>AUDIFONOS BLUETOOTH TIPO EARPODS COD 1649</t>
  </si>
  <si>
    <t>AUDIFONOS BLUETOOTH TIPO EARPODS COD 261</t>
  </si>
  <si>
    <t>AUDIFONOS BLUETOOTH TIPO EARPODS ET-A4209B</t>
  </si>
  <si>
    <t>AUDIFONOS BLUETOOTH TIPO EARPODS TC5400</t>
  </si>
  <si>
    <t>AUDIFONOS BLUETOOTH TV OTROS</t>
  </si>
  <si>
    <t>AUDIFONOS BLUETOOTH TWS4</t>
  </si>
  <si>
    <t>AUDIFONOS BLUETOOTH WIRELESS P47 COD 163</t>
  </si>
  <si>
    <t>AUDIFONOS BLUETOOTH XT6 POWER BASS</t>
  </si>
  <si>
    <t>AUDIFONOS BLUETOOTH. CONTESTA TELEF</t>
  </si>
  <si>
    <t>AUDIFONOS CABLE PLANO</t>
  </si>
  <si>
    <t>AUDIFONOS COBY</t>
  </si>
  <si>
    <t>AUDIFONOS COBY CV 135</t>
  </si>
  <si>
    <t>AUDIFONOS COBY CVE 131</t>
  </si>
  <si>
    <t>AUDIFONOS CON CONTROL DE VOLUMEN</t>
  </si>
  <si>
    <t>AUDIFONOS CON MICROFONO PARA PC</t>
  </si>
  <si>
    <t>AUDIFONOS CORDON 3283 CAJA</t>
  </si>
  <si>
    <t>AUDIFONOS DBLUE AC007BK</t>
  </si>
  <si>
    <t>AUDIFONOS DBLUE AC007R</t>
  </si>
  <si>
    <t>AUDIFONOS DBLUE AC007W</t>
  </si>
  <si>
    <t>AUDIFONOS DEPORTIVO PHILIPS SHQ1200 ROSADO</t>
  </si>
  <si>
    <t>AUDIFONOS DIGILIFE DGL 0203</t>
  </si>
  <si>
    <t>AUDIFONOS DIGILIFE DOT DGL-0093 NEGRO</t>
  </si>
  <si>
    <t>AUDIFONOS DIGILIFE DOT DGL-0094 BLANCO</t>
  </si>
  <si>
    <t>AUDIFONOS DIGILIFE DOT DGL-0095 ROJO</t>
  </si>
  <si>
    <t>AUDIFONOS DIGILIFE DOT DGL-0096 AZUL</t>
  </si>
  <si>
    <t>AUDIFONOS DIGILIFE DOT DGL-0097 AMARILLO</t>
  </si>
  <si>
    <t>AUDIFONOS DIGILIFE DOT DGL-0098 MORADO</t>
  </si>
  <si>
    <t>AUDIFONOS DISNEY CON ESTUCHE</t>
  </si>
  <si>
    <t>AUDIFONOS DISPLAY COLORES ECONOMICO</t>
  </si>
  <si>
    <t>AUDIFONOS EARPODS IPHONE</t>
  </si>
  <si>
    <t>AUDIFONOS ECONOMICO DBG30</t>
  </si>
  <si>
    <t>AUDIFONOS ESTEREO DIYINPAO</t>
  </si>
  <si>
    <t>AUDIFONOS ET-1337</t>
  </si>
  <si>
    <t>AUDIFONOS ET-A1107</t>
  </si>
  <si>
    <t>AUDIFONOS ET-A1109</t>
  </si>
  <si>
    <t>AUDIFONOS ET-A2123</t>
  </si>
  <si>
    <t>AUDIFONOS ET-A2659M</t>
  </si>
  <si>
    <t>AUDIFONOS ET-A2922</t>
  </si>
  <si>
    <t>AUDIFONOS ET-A3125 PANEL LED</t>
  </si>
  <si>
    <t>AUDIFONOS EXTRA BASS COD L208</t>
  </si>
  <si>
    <t>AUDIFONOS EZRA EP20</t>
  </si>
  <si>
    <t>AUDIFONOS FERRARI</t>
  </si>
  <si>
    <t>AUDIFONOS FM SD</t>
  </si>
  <si>
    <t>AUDIFONOS FOLD J-03 COD 496</t>
  </si>
  <si>
    <t>AUDIFONOS GAMER 1 PLUG STEREO CON MICROFONO</t>
  </si>
  <si>
    <t>AUDIFONOS GAMER B3506</t>
  </si>
  <si>
    <t>AUDIFONOS GAMER BYSOUL BS-750 COD 112881</t>
  </si>
  <si>
    <t>AUDIFONOS GAMER ET-A6801M</t>
  </si>
  <si>
    <t>AUDIFONOS GAMER ET-A6806M</t>
  </si>
  <si>
    <t>AUDIFONOS GAMER ET-A6809M</t>
  </si>
  <si>
    <t>AUDIFONOS GAMER ET-A6822M</t>
  </si>
  <si>
    <t>AUDIFONOS GAMER ET-A6824M</t>
  </si>
  <si>
    <t>AUDIFONOS GAMER ET-A6826M</t>
  </si>
  <si>
    <t>AUDIFONOS GAMER G10</t>
  </si>
  <si>
    <t>AUDIFONOS GAMER G2000</t>
  </si>
  <si>
    <t>AUDIFONOS GAMER G8</t>
  </si>
  <si>
    <t>AUDIFONOS GAMER GENIUS HS-G500V</t>
  </si>
  <si>
    <t>AUDIFONOS GAMER GM-D2</t>
  </si>
  <si>
    <t>AUDIFONOS GAMER HP H200S</t>
  </si>
  <si>
    <t>AUDIFONOS GAMER IRM-05312</t>
  </si>
  <si>
    <t>AUDIFONOS GAMER IRM-05630</t>
  </si>
  <si>
    <t>AUDIFONOS GAMER IRM-05841 PHOINKAS H-1</t>
  </si>
  <si>
    <t>AUDIFONOS GAMER KD75</t>
  </si>
  <si>
    <t>AUDIFONOS GAMER KOMC G313</t>
  </si>
  <si>
    <t>AUDIFONOS GAMER KOMC S66</t>
  </si>
  <si>
    <t>AUDIFONOS GAMER KOMC S90 COD 120064</t>
  </si>
  <si>
    <t>AUDIFONOS GAMER KOMG K90 COD 2209</t>
  </si>
  <si>
    <t>AUDIFONOS GAMER ONIKUMA K19</t>
  </si>
  <si>
    <t>AUDIFONOS GAMER ONIKUMA K1B PRO</t>
  </si>
  <si>
    <t>AUDIFONOS GAMER ONIKUMA K20</t>
  </si>
  <si>
    <t>AUDIFONOS GAMER ONIKUMA K9</t>
  </si>
  <si>
    <t>AUDIFONOS GAMER PS4 DBAGM41</t>
  </si>
  <si>
    <t>AUDIFONOS GAMER TRUST RAVU GXT 307</t>
  </si>
  <si>
    <t>AUDIFONOS GAMER TRUST RAVU GXT 307B</t>
  </si>
  <si>
    <t>AUDIFONOS GAMER TRUST RUPTOR 7.1 GXT 4376</t>
  </si>
  <si>
    <t>AUDIFONOS GAMER TRUST ZIVA 21953</t>
  </si>
  <si>
    <t>AUDIFONOS GAMER ULTRA BLASTER II</t>
  </si>
  <si>
    <t>AUDIFONOS GENIUS HS-200C MICROFONO INCORPORADO</t>
  </si>
  <si>
    <t>AUDIFONOS HANIZU HZ 460 MICROFONO</t>
  </si>
  <si>
    <t>AUDIFONOS HD EW-6202</t>
  </si>
  <si>
    <t>AUDIFONOS HE 7000</t>
  </si>
  <si>
    <t>AUDIFONOS HP DHH-1111</t>
  </si>
  <si>
    <t>AUDIFONOS INALAMBRICO 5 EN 1 COD 2941</t>
  </si>
  <si>
    <t>AUDIFONOS INALAMBRICO HASTA 8 MT TV. PCS</t>
  </si>
  <si>
    <t>AUDIFONOS INFANTIL MAXELL KZ-13 MORADO</t>
  </si>
  <si>
    <t>AUDIFONOS INFANTIL MAXELL KZ-13 TURQUESA</t>
  </si>
  <si>
    <t>AUDIFONOS IRM-04880</t>
  </si>
  <si>
    <t>AUDIFONOS IRM-07389</t>
  </si>
  <si>
    <t>AUDIFONOS IRM-07582 AK-450I</t>
  </si>
  <si>
    <t>AUDIFONOS IRM-07947</t>
  </si>
  <si>
    <t>AUDIFONOS JBL C300SI ON-EAR</t>
  </si>
  <si>
    <t>AUDIFONOS KOSS KE5k</t>
  </si>
  <si>
    <t>AUDIFONOS KOSS KPH25k BLACK</t>
  </si>
  <si>
    <t>AUDIFONOS KOSS KPH7 AZUL</t>
  </si>
  <si>
    <t>AUDIFONOS KOSS KPH7 BLANCO</t>
  </si>
  <si>
    <t>AUDIFONOS KOSS KPH7 NEGRO</t>
  </si>
  <si>
    <t>AUDIFONOS KOSS KPH7 ROJO</t>
  </si>
  <si>
    <t>AUDIFONOS KOSS KPH7 VERDE</t>
  </si>
  <si>
    <t>AUDIFONOS KOSS KPH8</t>
  </si>
  <si>
    <t>AUDIFONOS KOSS KPH8 LILA</t>
  </si>
  <si>
    <t>AUDIFONOS KOSS PORTA PRO KTC</t>
  </si>
  <si>
    <t>AUDIFONOS KOSS UR10</t>
  </si>
  <si>
    <t>AUDIFONOS KOSS UR40</t>
  </si>
  <si>
    <t>AUDIFONOS KTP-23A COD 2615</t>
  </si>
  <si>
    <t>AUDIFONOS LG ORIGINAL</t>
  </si>
  <si>
    <t>AUDIFONOS MANOS LIBRE ACQUA PARA IPHONE</t>
  </si>
  <si>
    <t>AUDIFONOS MANOS LIBRE COD 1303</t>
  </si>
  <si>
    <t>AUDIFONOS MANOS LIBRE ET-A1468M</t>
  </si>
  <si>
    <t>AUDIFONOS MANOS LIBRE MOXIN COD 4032</t>
  </si>
  <si>
    <t>Audifonos Manos Libre Moxin M-068</t>
  </si>
  <si>
    <t>AUDIFONOS MANOS LIBRE S-100</t>
  </si>
  <si>
    <t>AUDIFONOS MANOS LIBRE SONY COD. 1523</t>
  </si>
  <si>
    <t>AUDIFONOS MANOS LIBRES AIWA ALTA DEFINICION AW-7</t>
  </si>
  <si>
    <t>AUDIFONOS MANOS LIBRES AIWA I-100</t>
  </si>
  <si>
    <t>AUDIFONOS MANOS LIBRES AIWA I-50</t>
  </si>
  <si>
    <t>AUDIFONOS MANOS LIBRES AIWA I-90</t>
  </si>
  <si>
    <t>AUDIFONOS MANOS LIBRES AKG IRM-08766</t>
  </si>
  <si>
    <t>AUDIFONOS MANOS LIBRES AKG S8</t>
  </si>
  <si>
    <t>AUDIFONOS MANOS LIBRES ALTERNATIVO IPHONE</t>
  </si>
  <si>
    <t>AUDIFONOS MANOS LIBRES APPLE ORIGINAL MD827ZM</t>
  </si>
  <si>
    <t>AUDIFONOS MANOS LIBRES BLANCO IPHONE</t>
  </si>
  <si>
    <t>AUDIFONOS MANOS LIBRES BLUETOOTH</t>
  </si>
  <si>
    <t>AUDIFONOS MANOS LIBRES COD 109647 TIPO SAMSUNG</t>
  </si>
  <si>
    <t>AUDIFONOS MANOS LIBRES COD 111858 KR-605</t>
  </si>
  <si>
    <t>AUDIFONOS MANOS LIBRES COD 112067 TIPO C</t>
  </si>
  <si>
    <t>AUDIFONOS MANOS LIBRES COD 1127</t>
  </si>
  <si>
    <t>AUDIFONOS MANOS LIBRES COD 113585</t>
  </si>
  <si>
    <t>AUDIFONOS MANOS LIBRES COD 1237 CON ESTUCHE</t>
  </si>
  <si>
    <t>AUDIFONOS MANOS LIBRES COD 2480</t>
  </si>
  <si>
    <t>AUDIFONOS MANOS LIBRES COD 2977 INFANTIL</t>
  </si>
  <si>
    <t>AUDIFONOS MANOS LIBRES COD 3383 TIPO SAMSUNG</t>
  </si>
  <si>
    <t>AUDIFONOS MANOS LIBRES COD 4013 NW-349</t>
  </si>
  <si>
    <t>AUDIFONOS MANOS LIBRES COD 4032</t>
  </si>
  <si>
    <t>AUDIFONOS MANOS LIBRES COD 608 TIPO SAMSUNG</t>
  </si>
  <si>
    <t>AUDIFONOS MANOS LIBRES COD 9766 U2 METAL</t>
  </si>
  <si>
    <t>AUDIFONOS MANOS LIBRES CON DISEÑO INFANTIL COD 2211</t>
  </si>
  <si>
    <t>AUDIFONOS MANOS LIBRES DEFUNC BASIC TALK BLACK</t>
  </si>
  <si>
    <t>AUDIFONOS MANOS LIBRES DISEÑO INFANTIL COD 113981</t>
  </si>
  <si>
    <t>AUDIFONOS MANOS LIBRES DISEÑO IRONMAN</t>
  </si>
  <si>
    <t>AUDIFONOS MANOS LIBRES DISEÑOS COD 10477</t>
  </si>
  <si>
    <t>AUDIFONOS MANOS LIBRES ECONOMICOS</t>
  </si>
  <si>
    <t>AUDIFONOS MANOS LIBRES ET-A1022M</t>
  </si>
  <si>
    <t>AUDIFONOS MANOS LIBRES ET-A1030M</t>
  </si>
  <si>
    <t>AUDIFONOS MANOS LIBRES ET-A1031M</t>
  </si>
  <si>
    <t>AUDIFONOS MANOS LIBRES ET-A1038M</t>
  </si>
  <si>
    <t>AUDIFONOS MANOS LIBRES ET-A1105M</t>
  </si>
  <si>
    <t>AUDIFONOS MANOS LIBRES ET-A1118</t>
  </si>
  <si>
    <t>AUDIFONOS MANOS LIBRES ET-A1137M</t>
  </si>
  <si>
    <t>AUDIFONOS MANOS LIBRES ET-A1166M</t>
  </si>
  <si>
    <t>AUDIFONOS MANOS LIBRES ET-A1247M</t>
  </si>
  <si>
    <t>AUDIFONOS MANOS LIBRES ET-A1281M</t>
  </si>
  <si>
    <t>AUDIFONOS MANOS LIBRES ET-A1288M</t>
  </si>
  <si>
    <t>AUDIFONOS MANOS LIBRES ET-A1329M</t>
  </si>
  <si>
    <t>AUDIFONOS MANOS LIBRES ET-A1335M</t>
  </si>
  <si>
    <t>AUDIFONOS MANOS LIBRES ET-A1346M</t>
  </si>
  <si>
    <t>AUDIFONOS MANOS LIBRES ET-A1409M</t>
  </si>
  <si>
    <t>AUDIFONOS MANOS LIBRES ET-A1432M</t>
  </si>
  <si>
    <t>AUDIFONOS MANOS LIBRES ET-A1595M</t>
  </si>
  <si>
    <t>AUDIFONOS MANOS LIBRES ET-A1616M</t>
  </si>
  <si>
    <t>AUDIFONOS MANOS LIBRES ET-A1733M</t>
  </si>
  <si>
    <t>AUDIFONOS MANOS LIBRES ET-A2100M</t>
  </si>
  <si>
    <t>AUDIFONOS MANOS LIBRES ET-A2140M</t>
  </si>
  <si>
    <t>AUDIFONOS MANOS LIBRES ET-A2310M</t>
  </si>
  <si>
    <t>AUDIFONOS MANOS LIBRES ET-A2319M</t>
  </si>
  <si>
    <t>AUDIFONOS MANOS LIBRES ET-A2350M</t>
  </si>
  <si>
    <t>AUDIFONOS MANOS LIBRES ET-A2450M</t>
  </si>
  <si>
    <t>AUDIFONOS MANOS LIBRES ET-A2450M EWTTO</t>
  </si>
  <si>
    <t>AUDIFONOS MANOS LIBRES ET-A2492M</t>
  </si>
  <si>
    <t>AUDIFONOS MANOS LIBRES ET-A2650M</t>
  </si>
  <si>
    <t>AUDIFONOS MANOS LIBRES ET-A2700M</t>
  </si>
  <si>
    <t>AUDIFONOS MANOS LIBRES ET-A2911M</t>
  </si>
  <si>
    <t>AUDIFONOS MANOS LIBRES ET-A2921M</t>
  </si>
  <si>
    <t>AUDIFONOS MANOS LIBRES EV117 ELMCOEI COD 2001</t>
  </si>
  <si>
    <t>AUDIFONOS MANOS LIBRES EV130 ELMCOEI COD 1745</t>
  </si>
  <si>
    <t>AUDIFONOS MANOS LIBRES EZRA EZ38</t>
  </si>
  <si>
    <t>AUDIFONOS MANOS LIBRES HAOMAI-06053 INFANTIL</t>
  </si>
  <si>
    <t>AUDIFONOS MANOS LIBRES HUAWEI ORIGINAL</t>
  </si>
  <si>
    <t>AUDIFONOS MANOS LIBRES IPHONE</t>
  </si>
  <si>
    <t>AUDIFONOS MANOS LIBRES IPHONE 5 DISEÑO 2639</t>
  </si>
  <si>
    <t>AUDIFONOS MANOS LIBRES IPHONE 5 Y 6</t>
  </si>
  <si>
    <t>AUDIFONOS MANOS LIBRES IPHONE 6</t>
  </si>
  <si>
    <t>AUDIFONOS MANOS LIBRES IPHONE 7</t>
  </si>
  <si>
    <t>AUDIFONOS MANOS LIBRES IPHONE 7 COD 733</t>
  </si>
  <si>
    <t>AUDIFONOS MANOS LIBRES IPHONE 7 L-P7000</t>
  </si>
  <si>
    <t>AUDIFONOS MANOS LIBRES IPHONE 8 COD 1084</t>
  </si>
  <si>
    <t>AUDIFONOS MANOS LIBRES IPHONE COD 107865</t>
  </si>
  <si>
    <t>AUDIFONOS MANOS LIBRES IPHONE COD 17865</t>
  </si>
  <si>
    <t>AUDIFONOS MANOS LIBRES IPHONE COD 6774</t>
  </si>
  <si>
    <t>AUDIFONOS MANOS LIBRES IPHONE LIGHTNING JH-7A</t>
  </si>
  <si>
    <t>AUDIFONOS MANOS LIBRES IPHONE ORIGINAL A1472</t>
  </si>
  <si>
    <t>AUDIFONOS MANOS LIBRES IRM-05957 ANDOWI QY-9027</t>
  </si>
  <si>
    <t>AUDIFONOS MANOS LIBRES IRM-06371 JY-370</t>
  </si>
  <si>
    <t>AUDIFONOS MANOS LIBRES IRM-07392 SAM S10</t>
  </si>
  <si>
    <t>AUDIFONOS MANOS LIBRES IRM-07651</t>
  </si>
  <si>
    <t>AUDIFONOS MANOS LIBRES IRM-07730 VIDVIE</t>
  </si>
  <si>
    <t>AUDIFONOS MANOS LIBRES IRM-07909 GAMER</t>
  </si>
  <si>
    <t>AUDIFONOS MANOS LIBRES IRM-2300833</t>
  </si>
  <si>
    <t>AUDIFONOS MANOS LIBRES IRM-2301142</t>
  </si>
  <si>
    <t>AUDIFONOS MANOS LIBRES IRM-2301143</t>
  </si>
  <si>
    <t>AUDIFONOS MANOS LIBRES IRM-2601433</t>
  </si>
  <si>
    <t>AUDIFONOS MANOS LIBRES IVON E36</t>
  </si>
  <si>
    <t>AUDIFONOS MANOS LIBRES JBL C50HI BLACK</t>
  </si>
  <si>
    <t>AUDIFONOS MANOS LIBRES JBL C50HI BLUE</t>
  </si>
  <si>
    <t>AUDIFONOS MANOS LIBRES JBL C50HI WHITE</t>
  </si>
  <si>
    <t xml:space="preserve">AUDIFONOS MANOS LIBRES JBL T110 IN EAR </t>
  </si>
  <si>
    <t>AUDIFONOS MANOS LIBRES JBL T110 IN EAR BLACK</t>
  </si>
  <si>
    <t>AUDIFONOS MANOS LIBRES JBL T110 IN EAR BLUE</t>
  </si>
  <si>
    <t>AUDIFONOS MANOS LIBRES JBL T110 IN EAR WHITE</t>
  </si>
  <si>
    <t>AUDIFONOS MANOS LIBRES JBL TUNE500 ON-EAR</t>
  </si>
  <si>
    <t>AUDIFONOS MANOS LIBRES KOSS KEB9ik BLACK</t>
  </si>
  <si>
    <t>AUDIFONOS MANOS LIBRES KOSS KEB9ik GRAY</t>
  </si>
  <si>
    <t>AUDIFONOS MANOS LIBRES KOSS UR23</t>
  </si>
  <si>
    <t>AUDIFONOS MANOS LIBRES KOSS UR23iw</t>
  </si>
  <si>
    <t>AUDIFONOS MANOS LIBRES L-006 COD 7720</t>
  </si>
  <si>
    <t>AUDIFONOS MANOS LIBRES MAGNAVOX MBH5026M BLACK</t>
  </si>
  <si>
    <t>AUDIFONOS MANOS LIBRES MAGNAVOX MBH5026M WHITE</t>
  </si>
  <si>
    <t>AUDIFONOS MANOS LIBRES MASTER-G MGIE155GP</t>
  </si>
  <si>
    <t>AUDIFONOS MANOS LIBRES MASTER-G MGOE-180</t>
  </si>
  <si>
    <t>AUDIFONOS MANOS LIBRES MAXELL EB-MIC</t>
  </si>
  <si>
    <t>AUDIFONOS MANOS LIBRES MAXELL HP-360</t>
  </si>
  <si>
    <t>AUDIFONOS MANOS LIBRES MAXELL HP-360 WH</t>
  </si>
  <si>
    <t>AUDIFONOS MANOS LIBRES MAXELL IN-BAX</t>
  </si>
  <si>
    <t>AUDIFONOS MANOS LIBRES MAXELL IN-BAX RD</t>
  </si>
  <si>
    <t>AUDIFONOS MANOS LIBRES MAXELL IN-BAX WH</t>
  </si>
  <si>
    <t>AUDIFONOS MANOS LIBRES MAXELL IN-MIC BLK</t>
  </si>
  <si>
    <t>AUDIFONOS MANOS LIBRES MAXELL IN-TIPS BLK</t>
  </si>
  <si>
    <t>AUDIFONOS MANOS LIBRES MAXELL IN-TIPS BLU</t>
  </si>
  <si>
    <t>AUDIFONOS MANOS LIBRES MAXELL IN-TIPS RED</t>
  </si>
  <si>
    <t>AUDIFONOS MANOS LIBRES MAXELL IN-TIPS WHT</t>
  </si>
  <si>
    <t>AUDIFONOS MANOS LIBRES MAXELL SMS-10 BLK</t>
  </si>
  <si>
    <t>AUDIFONOS MANOS LIBRES METALIZADOS</t>
  </si>
  <si>
    <t>AUDIFONOS MANOS LIBRES MO-A06</t>
  </si>
  <si>
    <t>AUDIFONOS MANOS LIBRES MOTOMO MO W-IOS</t>
  </si>
  <si>
    <t>AUDIFONOS MANOS LIBRES MOTOROLA 2 EARBUDS BLACK</t>
  </si>
  <si>
    <t>AUDIFONOS MANOS LIBRES MOTOROLA EARDUBS 2 COD 1687</t>
  </si>
  <si>
    <t>AUDIFONOS MANOS LIBRES MOTOROLA EARDUBS METAL COD 1716</t>
  </si>
  <si>
    <t>AUDIFONOS MANOS LIBRES MOTOROLA PULSE 2 BLUE</t>
  </si>
  <si>
    <t>AUDIFONOS MANOS LIBRES MOTOROLA PULSE MAX OVER NEGRO</t>
  </si>
  <si>
    <t>AUDIFONOS MANOS LIBRES MOTOROLA PULSE MAX WHITE</t>
  </si>
  <si>
    <t>AUDIFONOS MANOS LIBRES MOTOROLA SQUADS 200 BLUE</t>
  </si>
  <si>
    <t>AUDIFONOS MANOS LIBRES MOTOROLA SQUADS 200 PINK</t>
  </si>
  <si>
    <t>AUDIFONOS MANOS LIBRES NEGRO/AZUL NORGE</t>
  </si>
  <si>
    <t>AUDIFONOS MANOS LIBRES NORGE IE-70 NEGRO</t>
  </si>
  <si>
    <t>AUDIFONOS MANOS LIBRES NORGE IE-70 VERDE</t>
  </si>
  <si>
    <t>AUDIFONOS MANOS LIBRES NORGE IE-92</t>
  </si>
  <si>
    <t>AUDÍFONOS MANOS LIBRES ORIGINAL HUAWEI</t>
  </si>
  <si>
    <t>AUDÍFONOS MANOS LIBRES ORIGINAL HUAWEI TIPO C</t>
  </si>
  <si>
    <t>AUDIFONOS MANOS LIBRES ORIGINAL IPHONE</t>
  </si>
  <si>
    <t>AUDIFONOS MANOS LIBRES OV 9008</t>
  </si>
  <si>
    <t>AUDIFONOS MANOS LIBRES PANASONIC MOD RP-TCM115 BLACK</t>
  </si>
  <si>
    <t>AUDIFONOS MANOS LIBRES PANASONIC MOD RP-TCM115 WHITE</t>
  </si>
  <si>
    <t>AUDIFONOS MANOS LIBRES PANASONIC MOD RP-TCM115E BLUE</t>
  </si>
  <si>
    <t>AUDIFONOS MANOS LIBRES PANASONIC MOD RP-TCM125PPA BLUE</t>
  </si>
  <si>
    <t>AUDIFONOS MANOS LIBRES PANASONIC MOD RP-TCM130 BLACK</t>
  </si>
  <si>
    <t>AUDIFONOS MANOS LIBRES PANASONIC RP-TCM105EBL</t>
  </si>
  <si>
    <t>AUDIFONOS MANOS LIBRES PANASONIC RP-TCM55</t>
  </si>
  <si>
    <t>AUDIFONOS MANOS LIBRES PANASONIC RP-TCM55 BLACK</t>
  </si>
  <si>
    <t>AUDIFONOS MANOS LIBRES PANASONIC TCM50</t>
  </si>
  <si>
    <t>AUDIFONOS MANOS LIBRES PHILCO 90WHT</t>
  </si>
  <si>
    <t>AUDIFONOS MANOS LIBRES PHILIPS DEPORTIVOS SHQ 1205</t>
  </si>
  <si>
    <t>AUDIFONOS MANOS LIBRES PHILIPS DEPORTIVOS SHQ 2305</t>
  </si>
  <si>
    <t>AUDIFONOS MANOS LIBRES PHILIPS SHE-1405</t>
  </si>
  <si>
    <t>AUDIFONOS MANOS LIBRES PHILIPS SHE-1405 BK</t>
  </si>
  <si>
    <t>AUDIFONOS MANOS LIBRES PHILIPS SHE-1405 PK</t>
  </si>
  <si>
    <t>AUDIFONOS MANOS LIBRES PHILIPS SHE-1405 WT</t>
  </si>
  <si>
    <t>AUDIFONOS MANOS LIBRES PHILIPS SHE-2500</t>
  </si>
  <si>
    <t>AUDIFONOS MANOS LIBRES PHILIPS SHE-3555 BL</t>
  </si>
  <si>
    <t>AUDIFONOS MANOS LIBRES PHILIPS SHE-3555 NG</t>
  </si>
  <si>
    <t>AUDIFONOS MANOS LIBRES PHILIPS SHE-3555 RD</t>
  </si>
  <si>
    <t>AUDIFONOS MANOS LIBRES PHILIPS SHE-3555 TB</t>
  </si>
  <si>
    <t>AUDIFONOS MANOS LIBRES PHILIPS SHE-3555 WT</t>
  </si>
  <si>
    <t>AUDIFONOS MANOS LIBRES PHILIPS SHE-4205</t>
  </si>
  <si>
    <t>AUDIFONOS MANOS LIBRES PHILIPS SHE-7055PP</t>
  </si>
  <si>
    <t>AUDIFONOS MANOS LIBRES PHILIPS SHE-9105</t>
  </si>
  <si>
    <t>AUDIFONOS MANOS LIBRES PHILIPS SHE3555WT</t>
  </si>
  <si>
    <t>AUDIFONOS MANOS LIBRES PHILIPS SHQ1305BK</t>
  </si>
  <si>
    <t>AUDIFONOS MANOS LIBRES PHILIPS TAUE101</t>
  </si>
  <si>
    <t>AUDIFONOS MANOS LIBRES PHILIPS TAUE101 WHITE</t>
  </si>
  <si>
    <t>AUDIFONOS MANOS LIBRES PIONEER SE-CL502-K</t>
  </si>
  <si>
    <t>AUDIFONOS MANOS LIBRES PIONEER SE-CL502-L</t>
  </si>
  <si>
    <t>AUDIFONOS MANOS LIBRES PIONEER SEC1T/L AZUL</t>
  </si>
  <si>
    <t>AUDIFONOS MANOS LIBRES PIONEER SEC1T/L BLANCO</t>
  </si>
  <si>
    <t>AUDIFONOS MANOS LIBRES PIONEER SEC1T/L NEGRO</t>
  </si>
  <si>
    <t>AUDIFONOS MANOS LIBRES SAM</t>
  </si>
  <si>
    <t>AUDIFONOS MANOS LIBRES SAM BLANCO</t>
  </si>
  <si>
    <t>AUDIFONOS MANOS LIBRES SAM IRM-4184</t>
  </si>
  <si>
    <t>AUDIFONOS MANOS LIBRES SAMSUNG ORIGINAL</t>
  </si>
  <si>
    <t>AUDIFONOS MANOS LIBRES SAMSUNG ORIGINAL HS1303 BLK</t>
  </si>
  <si>
    <t>AUDIFONOS MANOS LIBRES SAMSUNG ORIGINAL HS1303 WHT</t>
  </si>
  <si>
    <t>AUDIFONOS MANOS LIBRES SAMSUNG RFTFB</t>
  </si>
  <si>
    <t>AUDIFONOS MANOS LIBRES SAMSUNG S8 AKG TELA</t>
  </si>
  <si>
    <t>AUDIFONOS MANOS LIBRES SONY MDR-EX15AP BLACK</t>
  </si>
  <si>
    <t>AUDIFONOS MANOS LIBRES SONY MDR-EX15AP BLUE</t>
  </si>
  <si>
    <t>AUDIFONOS MANOS LIBRES SONY MDR-EX15AP PP</t>
  </si>
  <si>
    <t>AUDIFONOS MANOS LIBRES SONY MDR-EX750NA</t>
  </si>
  <si>
    <t>AUDIFONOS MANOS LIBRES SONY MDR-ZX110AP BLACK</t>
  </si>
  <si>
    <t>AUDIFONOS MANOS LIBRES SONY MDR-ZX110AP PINK</t>
  </si>
  <si>
    <t>AUDIFONOS MANOS LIBRES SONY MDR-ZX310AP BK</t>
  </si>
  <si>
    <t>AUDIFONOS MANOS LIBRES SONY MDR-ZX310AP RED</t>
  </si>
  <si>
    <t>AUDIFONOS MANOS LIBRES STEREO</t>
  </si>
  <si>
    <t>AUDIFONOS MANOS LIBRES TARGET TT-EM1570 BK/BL/RD</t>
  </si>
  <si>
    <t>AUDIFONOS MANOS LIBRES TARGET TTEM150/TTEM200 BK/WH</t>
  </si>
  <si>
    <t>AUDIFONOS MANOS LIBRES TARGET TWISTMIC TT-EM175RD</t>
  </si>
  <si>
    <t>AUDIFONOS MANOS LIBRES TIPO C</t>
  </si>
  <si>
    <t>AUDIFONOS MANOS LIBRES TIPO C ET-A1100M</t>
  </si>
  <si>
    <t>AUDIFONOS MANOS LIBRES TIPO C HUAWEI ORIGINAL</t>
  </si>
  <si>
    <t>AUDIFONOS MANOS LIBRES TIPO IPHONE</t>
  </si>
  <si>
    <t>AUDIFONOS MANOS LIBRES TIPO IPHONE ACQUA</t>
  </si>
  <si>
    <t>AUDIFONOS MANOS LIBRES TIPO IPHONE COD 1197</t>
  </si>
  <si>
    <t>AUDIFONOS MANOS LIBRES TIPO IPHONE CONECTOR LIGHTNING</t>
  </si>
  <si>
    <t>AUDIFONOS MANOS LIBRES TIPO IPHONE ECONOMICO</t>
  </si>
  <si>
    <t>AUDIFONOS MANOS LIBRES TIPO IPHONE IRM-02264</t>
  </si>
  <si>
    <t>AUDIFONOS MANOS LIBRES TIPO IPHONE PRO CONECTOR LIGHTNING NZ7M</t>
  </si>
  <si>
    <t>AUDIFONOS MANOS LIBRES TIPO S6</t>
  </si>
  <si>
    <t>AUDIFONOS MANOS LIBRES TIPO SAMSUNG AKG</t>
  </si>
  <si>
    <t>AUDIFONOS MANOS LIBRES TIPO SAMSUNG BLANCOS</t>
  </si>
  <si>
    <t>AUDIFONOS MANOS LIBRES TIPO SAMSUNG S10</t>
  </si>
  <si>
    <t>AUDIFONOS MANOS LIBRES TV08</t>
  </si>
  <si>
    <t>AUDIFONOS MANOS LIBRES VIDVIE HS604 IRM-04103</t>
  </si>
  <si>
    <t>AUDIFONOS MANOS LIBROS TIPO SAMSUNG COD 14859</t>
  </si>
  <si>
    <t>AUDIFONOS MASTER-G MGIE-120</t>
  </si>
  <si>
    <t>AUDIFONOS MASTER-G MGOE-180 CINTILLO NEGRO</t>
  </si>
  <si>
    <t>AUDIFONOS MAXELL C/MIC</t>
  </si>
  <si>
    <t>AUDIFONOS MAXELL EB-95BK/BL</t>
  </si>
  <si>
    <t>AUDIFONOS MAXELL EB-95BK/OR</t>
  </si>
  <si>
    <t>AUDIFONOS MAXELL EB-95BL</t>
  </si>
  <si>
    <t>AUDIFONOS MAXELL EB-95BL/PNK</t>
  </si>
  <si>
    <t>AUDIFONOS MAXELL EB-95OR</t>
  </si>
  <si>
    <t>AUDIFONOS MAXELL EB-95WH</t>
  </si>
  <si>
    <t>AUDIFONOS MAXELL EBBB T 100</t>
  </si>
  <si>
    <t>AUDIFONOS MAXELL IN-225 BLK</t>
  </si>
  <si>
    <t>AUDIFONOS MAXELL IN-225 NAV</t>
  </si>
  <si>
    <t>AUDIFONOS MAXELL IN-225 RED</t>
  </si>
  <si>
    <t>AUDIFONOS MAXELL IN-225 WHT</t>
  </si>
  <si>
    <t>AUDIFONOS MAXELL ST-2000</t>
  </si>
  <si>
    <t>AUDIFONOS MDR-EX760NA</t>
  </si>
  <si>
    <t>AUDIFONOS MODELO CIERRE COD 1612</t>
  </si>
  <si>
    <t>AUDIFONOS MONSTER MXX-120 AZUL</t>
  </si>
  <si>
    <t>AUDIFONOS MONSTER MXX-120 BLANCO</t>
  </si>
  <si>
    <t>AUDIFONOS MONSTER MXX-120 NEGRO</t>
  </si>
  <si>
    <t>AUDIFONOS MONSTER MXX-120 ROJO</t>
  </si>
  <si>
    <t>AUDIFONOS MOTOMO IPHONE 6 SMART</t>
  </si>
  <si>
    <t>AUDIFONOS MOTOMO MDR-XB450</t>
  </si>
  <si>
    <t>AUDIFONOS MOTOMO QC 10 DEPORTIVO</t>
  </si>
  <si>
    <t>AUDIFONOS MOTOROLA ESCAPE BLANCO</t>
  </si>
  <si>
    <t>AUDIFONOS MOTOROLA PULSE MAX</t>
  </si>
  <si>
    <t>AUDIFONOS MOTOROLA PULSE MAX COD 2032</t>
  </si>
  <si>
    <t>AUDIFONOS MS-881A</t>
  </si>
  <si>
    <t>AUDIFONOS MULTIMEDIA COD 119701</t>
  </si>
  <si>
    <t>AUDIFONOS MULTIMEDIA COD 16751</t>
  </si>
  <si>
    <t>AUDIFONOS MULTIMEDIA GENIUS HS-400A</t>
  </si>
  <si>
    <t>AUDIFONOS MULTIMEDIA GENIUS HS-M505X</t>
  </si>
  <si>
    <t>AUDIFONOS MULTIMEDIA HS-200C GENIUS</t>
  </si>
  <si>
    <t>AUDIFONOS MULTIMEDIA IRM-08228</t>
  </si>
  <si>
    <t>AUDIFONOS MULTIMEDIA KOMC KM-520</t>
  </si>
  <si>
    <t>AUDIFONOS MULTIMEDIA XTECH XTS-220</t>
  </si>
  <si>
    <t>AUDIFONOS NORGE PC. C.ADAPT.SILICONA</t>
  </si>
  <si>
    <t>AUDIFONOS ORIGINAL IPHONE</t>
  </si>
  <si>
    <t>AUDIFONOS P.C. + MICROFF</t>
  </si>
  <si>
    <t>AUDIFONOS PANASONIC DEPORTIVOS</t>
  </si>
  <si>
    <t>AUDIFONOS PANASONIC DJS 150</t>
  </si>
  <si>
    <t>AUDIFONOS PANASONIC HJE 125</t>
  </si>
  <si>
    <t>CD</t>
  </si>
  <si>
    <t>AUDIFONOS PANASONIC HJE 125 BL</t>
  </si>
  <si>
    <t>AUDIFONOS PANASONIC HJE 125 BLK</t>
  </si>
  <si>
    <t>AUDIFONOS PANASONIC HJE 125 COD 112232</t>
  </si>
  <si>
    <t>AUDIFONOS PANASONIC HJE 125 PK</t>
  </si>
  <si>
    <t>AUDIFONOS PANASONIC HJE 125 PP</t>
  </si>
  <si>
    <t>AUDIFONOS PANASONIC HJE 125 WH</t>
  </si>
  <si>
    <t>AUDIFONOS PANASONIC HJE 140</t>
  </si>
  <si>
    <t>AUDIFONOS PANASONIC HS 34</t>
  </si>
  <si>
    <t>AUDIFONOS PANASONIC HS 46 PP</t>
  </si>
  <si>
    <t>AUDIFONOS PANASONIC HT 21</t>
  </si>
  <si>
    <t>AUDIFONOS PANASONIC RP-HF100</t>
  </si>
  <si>
    <t>AUDIFONOS PANASONIC RP-HT161</t>
  </si>
  <si>
    <t>AUDIFONOS PANASONIC RP-HT21</t>
  </si>
  <si>
    <t>AUDIFONOS PANASONIC RP-HV096</t>
  </si>
  <si>
    <t>AUDIFONOS PANASONIC RP-HV096 COD 112210</t>
  </si>
  <si>
    <t>AUDIFONOS PANASONIC RP-HV41 BLACK</t>
  </si>
  <si>
    <t>AUDIFONOS PANASONIC RP-HV41 GREEN</t>
  </si>
  <si>
    <t>AUDIFONOS PANASONIC RP-HV41 PINK</t>
  </si>
  <si>
    <t>AUDIFONOS PARA PC BYSOUL C/MICROFONO COD 7819</t>
  </si>
  <si>
    <t>AUDIFONOS PARA PC COD 3733 USB</t>
  </si>
  <si>
    <t>AUDIFONOS PARA PC MOD JT-1688 COD 74</t>
  </si>
  <si>
    <t>AUDIFONOS PARA PC SALAR KX-101 SHARK GAMER COD 46</t>
  </si>
  <si>
    <t>AUDIFONOS PARA PC/PS4 ULTRA P550</t>
  </si>
  <si>
    <t>AUDIFONOS PARA PS4</t>
  </si>
  <si>
    <t>AUDIFONOS PARA PS4 COD 3104</t>
  </si>
  <si>
    <t>Audifonos PC VIKON ME777 Cod 2229</t>
  </si>
  <si>
    <t>AUDIFONOS PHILCO 25BLK</t>
  </si>
  <si>
    <t>AUDIFONOS PHILCO 27PLC18WHT</t>
  </si>
  <si>
    <t>AUDIFONOS PHILCO 80BLK</t>
  </si>
  <si>
    <t>AUDIFONOS PHILCO TRUE WIRELESS TWD2B TOUCH BLANCO</t>
  </si>
  <si>
    <t>AUDIFONOS PHILIP HB 4100</t>
  </si>
  <si>
    <t>AUDIFONOS PHILIP HQ 4200</t>
  </si>
  <si>
    <t>AUDIFONOS PHILIPS</t>
  </si>
  <si>
    <t>AUDIFONOS PHILIPS HE 1360</t>
  </si>
  <si>
    <t>AUDIFONOS PHILIPS HE 3590 BK</t>
  </si>
  <si>
    <t>AUDIFONOS PHILIPS HE 3590 BL</t>
  </si>
  <si>
    <t>AUDIFONOS PHILIPS HE 3590 PK</t>
  </si>
  <si>
    <t>AUDIFONOS PHILIPS HE 3590 PP</t>
  </si>
  <si>
    <t>AUDIFONOS PHILIPS HE 3590 WT</t>
  </si>
  <si>
    <t>AUDIFONOS PHILIPS HE 7000</t>
  </si>
  <si>
    <t>AUDIFONOS PHILIPS HE3595</t>
  </si>
  <si>
    <t>AUDIFONOS PHILIPS HP 1900</t>
  </si>
  <si>
    <t>AUDIFONOS PHILIPS HS 4700</t>
  </si>
  <si>
    <t>AUDIFONOS PHILIPS HS 8100</t>
  </si>
  <si>
    <t>AUDIFONOS PHILIPS KIDS</t>
  </si>
  <si>
    <t>AUDIFONOS PHILIPS KIDS SHK1000BK</t>
  </si>
  <si>
    <t>AUDIFONOS PHILIPS KIDS SHK1000PK</t>
  </si>
  <si>
    <t>AUDIFONOS PHILIPS RP-HS34</t>
  </si>
  <si>
    <t>AUDIFONOS PHILIPS SH1-3300 DEPORTIVO MANOS LIBRES NARANJO</t>
  </si>
  <si>
    <t>AUDIFONOS PHILIPS SH1-3300 DEPORTIVO MANOS LIBRES VERDE</t>
  </si>
  <si>
    <t>AUDIFONOS PHILIPS SHE 2005</t>
  </si>
  <si>
    <t>Audifonos Philips she 3700 RD</t>
  </si>
  <si>
    <t>AUDIFONOS PHILIPS SHE 3900 BL</t>
  </si>
  <si>
    <t>AUDIFONOS PHILIPS SHE 3900 GR</t>
  </si>
  <si>
    <t>AUDIFONOS PHILIPS SHE 3900 gris</t>
  </si>
  <si>
    <t>AUDIFONOS PHILIPS SHE-1350</t>
  </si>
  <si>
    <t>AUDIFONOS PHILIPS SHE-3010 AZUL</t>
  </si>
  <si>
    <t>AUDIFONOS PHILIPS SHE-3010 BLANCO</t>
  </si>
  <si>
    <t>AUDIFONOS PHILIPS SHE-3010 ROSADO</t>
  </si>
  <si>
    <t>AUDIFONOS PHILIPS SHE-3550BK</t>
  </si>
  <si>
    <t>AUDIFONOS PHILIPS SHE-3550BL</t>
  </si>
  <si>
    <t>AUDIFONOS PHILIPS SHE-3550WH</t>
  </si>
  <si>
    <t>AUDIFONOS PHILIPS SHE-3590 AZUL</t>
  </si>
  <si>
    <t>AUDIFONOS PHILIPS SHE-3590 BLANCO</t>
  </si>
  <si>
    <t>AUDIFONOS PHILIPS SHE-3590 VERDE</t>
  </si>
  <si>
    <t>AUDIFONOS PHILIPS SHE-3700 AZUL</t>
  </si>
  <si>
    <t>AUDIFONOS PHILIPS SHE-3700 BLANCO</t>
  </si>
  <si>
    <t>AUDIFONOS PHILIPS SHE-3700 NEGRO</t>
  </si>
  <si>
    <t>AUDIFONOS PHILIPS SHE-3700 ROSADO</t>
  </si>
  <si>
    <t>AUDIFONOS PHILIPS SHE-3705RD</t>
  </si>
  <si>
    <t>AUDIFONOS PHILIPS SHE-3900</t>
  </si>
  <si>
    <t>AUDIFONOS PHILIPS SHE-5000 BLACK</t>
  </si>
  <si>
    <t>AUDIFONOS PHILIPS SHE3900 PP</t>
  </si>
  <si>
    <t>AUDIFONOS PHILIPS SHL3000</t>
  </si>
  <si>
    <t>AUDIFONOS PHILIPS SHL3000 COD 1747</t>
  </si>
  <si>
    <t>AUDIFONOS PHILIPS SHL3070 COD 112177</t>
  </si>
  <si>
    <t>AUDIFONOS PHILIPS SHL5000</t>
  </si>
  <si>
    <t>AUDIFONOS PHILIPS SHQ-1250TBK DEPORTIVOS</t>
  </si>
  <si>
    <t>AUDIFONOS PHILIPS SHQ-4200 DEPORTIVO</t>
  </si>
  <si>
    <t>AUDIFONOS PHILIPS SHS-8100</t>
  </si>
  <si>
    <t>AUDIFONOS PHILIPS TAUE100</t>
  </si>
  <si>
    <t>AUDIFONOS PHILLIPS SHL 5300</t>
  </si>
  <si>
    <t>AUDIFONOS PIONEER SE-E3M BLACK IRONMAN</t>
  </si>
  <si>
    <t>AUDIFONOS PREMIUM AZ-88</t>
  </si>
  <si>
    <t>AUDIFONOS PROSOUND INALAMBRICO</t>
  </si>
  <si>
    <t>AUDIFONOS SONY</t>
  </si>
  <si>
    <t>AUDIFONOS SONY 110</t>
  </si>
  <si>
    <t>AUDIFONOS SONY 15</t>
  </si>
  <si>
    <t>AUDIFONOS SONY AS 200</t>
  </si>
  <si>
    <t>AUDIFONOS SONY E9LP</t>
  </si>
  <si>
    <t>AUDIFONOS SONY E9LP AZUL</t>
  </si>
  <si>
    <t>AUDIFONOS SONY E9LP BLACK</t>
  </si>
  <si>
    <t>AUDIFONOS SONY E9LP BLANCO</t>
  </si>
  <si>
    <t>AUDIFONOS SONY E9LP GREY</t>
  </si>
  <si>
    <t>AUDIFONOS SONY E9LP NEGRO</t>
  </si>
  <si>
    <t>AUDIFONOS SONY E9LP PINK</t>
  </si>
  <si>
    <t>AUDIFONOS SONY E9LP ROSADO</t>
  </si>
  <si>
    <t>AUDIFONOS SONY MDR-EX15LP BL</t>
  </si>
  <si>
    <t>AUDIFONOS SONY MDR-EX15LP BLK</t>
  </si>
  <si>
    <t>AUDIFONOS SONY MDR-EX15LP PI</t>
  </si>
  <si>
    <t>AUDIFONOS SONY MDR-EX15LP PP</t>
  </si>
  <si>
    <t>AUDIFONOS SONY MDR-EX15LP WH</t>
  </si>
  <si>
    <t>AUDIFONOS SONY MDR-ZX110 BLACK</t>
  </si>
  <si>
    <t>AUDIFONOS SONY MDR-ZX110 BLANCO</t>
  </si>
  <si>
    <t>AUDIFONOS SONY MDR-ZX110BK PC</t>
  </si>
  <si>
    <t>AUDIFONOS SONY MDREX15</t>
  </si>
  <si>
    <t>AUDIFONOS SONY ZX 110</t>
  </si>
  <si>
    <t>AUDIFONOS SONY ZX110</t>
  </si>
  <si>
    <t>AUDIFONOS SPORT NUCA BLUETOOTH</t>
  </si>
  <si>
    <t>AUDIFONOS STER M-808</t>
  </si>
  <si>
    <t>AUDIFONOS STEREO PANASONIC HT 21</t>
  </si>
  <si>
    <t>AUDIFONOS STEREO XB 450</t>
  </si>
  <si>
    <t>AUDIFONOS STEREO ZX300</t>
  </si>
  <si>
    <t>AUDIFONOS TARGET TT-E1460BK</t>
  </si>
  <si>
    <t>AUDIFONOS TARGET TT-E1460BL</t>
  </si>
  <si>
    <t>AUDIFONOS TARGET TT-E1460RD</t>
  </si>
  <si>
    <t>AUDIFONOS TARGET TT-E1460WH</t>
  </si>
  <si>
    <t>AUDIFONOS TARGET TWIST TT-E170BK</t>
  </si>
  <si>
    <t>AUDIFONOS TARGET TWIST TT-E170RD</t>
  </si>
  <si>
    <t>AUDIFONOS TARGET TWIST TT-E170WH</t>
  </si>
  <si>
    <t>AUDIFONOS TECH BLUETOOTH</t>
  </si>
  <si>
    <t>AUDIFONOS TIPO ARCO ET-A2103</t>
  </si>
  <si>
    <t>AUDIFONOS TIPO C IRM-06892</t>
  </si>
  <si>
    <t>AUDIFONOS VYKON ME888</t>
  </si>
  <si>
    <t>AUDUFONO BLUETOOTH TM 010</t>
  </si>
  <si>
    <t>AURICULAR STEREO C. MICROFONO RCA HM 450</t>
  </si>
  <si>
    <t>ADAPTADO USB SAMSUNG</t>
  </si>
  <si>
    <t>ADAPTADOR  IPHONE 220V  USB</t>
  </si>
  <si>
    <t>ADAPTADOR 1 ENTRADA 2 SALIDAS PLUG 3.5 MM</t>
  </si>
  <si>
    <t>ADAPTADOR 12 V  COD 3546</t>
  </si>
  <si>
    <t>ADAPTADOR 12 V A 2 USB 2.1 AMP</t>
  </si>
  <si>
    <t>BALANZA DIGITAL COD 3002</t>
  </si>
  <si>
    <t>BANANO PORTA CELULAR COD 2720</t>
  </si>
  <si>
    <t>AC ESTUCHE CELULAR</t>
  </si>
  <si>
    <t>BASE PARA CARGAR CELULAR TIPO C</t>
  </si>
  <si>
    <t>BASE PARA CARGAR CELULAR TIPO IPHONE</t>
  </si>
  <si>
    <t>BASTON GO PRO GPR22</t>
  </si>
  <si>
    <t>AC BASTON SELFIE</t>
  </si>
  <si>
    <t>BASTON SELFIE BLUETOOTH 80 CM COD 3432</t>
  </si>
  <si>
    <t>BASTON SELFIE BLUETOOTH YT-1288</t>
  </si>
  <si>
    <t>BASTON SELFIE C/ CABLE BAVIN</t>
  </si>
  <si>
    <t>BASTON SELFIE COD 3046</t>
  </si>
  <si>
    <t>BASTON SELFIE COD 335 CON DISPARADOR</t>
  </si>
  <si>
    <t>BASTON SELFIE CON CABLE IRM-01666</t>
  </si>
  <si>
    <t>BASTON SELFIE CON DISPARADOR IRM-03827</t>
  </si>
  <si>
    <t>BASTON SELFIE CON DISPARADOR IRM-06876</t>
  </si>
  <si>
    <t>BASTON SELFIE CON DISPARADOR Y TRIPODE IRM-07721 K20</t>
  </si>
  <si>
    <t>BASTON SELFIE CON DISPARADOR Y TRIPODE IRM-7720 K07</t>
  </si>
  <si>
    <t>BASTON SELFIE ET N0325B</t>
  </si>
  <si>
    <t>BASTON SELFIE ET-N0469</t>
  </si>
  <si>
    <t>BASTON SELFIE GO PRO 50 CM</t>
  </si>
  <si>
    <t>BASTON SELFIE IRM-06300 TRIPODE. DISPARADOR Y LUZ</t>
  </si>
  <si>
    <t>BASTON SELFIE IRM-06877 BLUETOOTH</t>
  </si>
  <si>
    <t>BASTON SELFIE MOTOMO MOD S9</t>
  </si>
  <si>
    <t>BASTON SELFIE PARA GO PRO</t>
  </si>
  <si>
    <t>BASTON SELFIE PARA GO PRO TC5200</t>
  </si>
  <si>
    <t>BASTON SELFIE Y9 IRM-07924</t>
  </si>
  <si>
    <t>BASTON SELFIE Z 07-5 BLUETOOTH INCORP</t>
  </si>
  <si>
    <t>BASTON SELFIE Z-07 C BLUETOOTH</t>
  </si>
  <si>
    <t>BASTON SELFIE Z-75 COD 843</t>
  </si>
  <si>
    <t>BASTON SELFIE Z07-5</t>
  </si>
  <si>
    <t>BATERIA 3.7 VOLT MOD BL-5C COD 1049</t>
  </si>
  <si>
    <t>BATERIA IPHONE 5G</t>
  </si>
  <si>
    <t>BATERIA PARA PARLANTE 3000 MAH EW-18650P</t>
  </si>
  <si>
    <t>EM PILA</t>
  </si>
  <si>
    <t>BATERIA PARA PARLANTE 3500 MAH EW-18650_H</t>
  </si>
  <si>
    <t>BATTERY CASE IPHONE 6/7/8/X Y 6P/7P/8P</t>
  </si>
  <si>
    <t>AC POWER BANK</t>
  </si>
  <si>
    <t>BAZOOCA EWTTO 1471. MP3. FM. CARD.CELULAR.LUCES</t>
  </si>
  <si>
    <t>EM PARLANTES</t>
  </si>
  <si>
    <t>BAZOOKA BLUETOOTH CON MICROFONO ET-P255MB</t>
  </si>
  <si>
    <t>BAZOOKA CUADRADA B 083 bk</t>
  </si>
  <si>
    <t>BAZOOKA DBLUE DBSB080</t>
  </si>
  <si>
    <t>EM RADIO PORTATIL</t>
  </si>
  <si>
    <t>Bazooka ET-1471</t>
  </si>
  <si>
    <t>BAZOOKA ET-P1472B</t>
  </si>
  <si>
    <t>Bazooka ET-P1758</t>
  </si>
  <si>
    <t>BAZOOKA ET-P1846B</t>
  </si>
  <si>
    <t>BAZOOKA ET-P2452BR WOONDEN</t>
  </si>
  <si>
    <t>BAZOOKA ET-P2455B</t>
  </si>
  <si>
    <t>BAZOOKA ET-P2562MB</t>
  </si>
  <si>
    <t>BAZOOKA ET-R2737B CON LINTERNA</t>
  </si>
  <si>
    <t>BAZOOKA LED BLUETOOTH PHILCO</t>
  </si>
  <si>
    <t>BAZOOKA MINI BT PX37A PHILCO</t>
  </si>
  <si>
    <t>BAZOOKA MINI BT PX37N PHILCO</t>
  </si>
  <si>
    <t>BAZOOKA MINI BT PX37R PHILCO</t>
  </si>
  <si>
    <t>Bazooka Mini Radio Fm</t>
  </si>
  <si>
    <t>BAZUKA CON BLUETOOTH</t>
  </si>
  <si>
    <t>BLUETOOH AUDIO RECEPTOR COD 8017</t>
  </si>
  <si>
    <t>BLUETOOTH 213</t>
  </si>
  <si>
    <t>BLUETOOTH 663 LARGO</t>
  </si>
  <si>
    <t>BLUETOOTH AUDIO RECEPTOR COD 201</t>
  </si>
  <si>
    <t>BLUETOOTH AUDIO RECEPTOR USB COD 2829</t>
  </si>
  <si>
    <t>BLUETOOTH CELU X RADIO AUTO + MEMORIA</t>
  </si>
  <si>
    <t>BLUETOOTH CELULAR A RADIO C. BRAZO LCD+TF+USB</t>
  </si>
  <si>
    <t>BLUETOOTH CELULAR ET-A4243B</t>
  </si>
  <si>
    <t>BLUETOOTH CON PARLATE RECEPTOR COD 2039</t>
  </si>
  <si>
    <t>AC VEHICULO</t>
  </si>
  <si>
    <t>BLUETOOTH GOTA COD 3379</t>
  </si>
  <si>
    <t>BLUETOOTH GOTA STEREO -3379</t>
  </si>
  <si>
    <t>BLUETOOTH MOTOROLA HK 115</t>
  </si>
  <si>
    <t>BLUETOOTH NORGE USB 3.0 510 R</t>
  </si>
  <si>
    <t>BLUETOOTH PARA CELULAR COD 2855</t>
  </si>
  <si>
    <t>BLUETOOTH PERA - TELEFONO Y MUSICA</t>
  </si>
  <si>
    <t>BLUETOOTH STEREO LARGO 3363</t>
  </si>
  <si>
    <t>BLUETOOTH T-120</t>
  </si>
  <si>
    <t>BLUETOOTH TELEF</t>
  </si>
  <si>
    <t>BLUETOOTTH MY VOICE 306M</t>
  </si>
  <si>
    <t>BOLSAS PARA DVDS</t>
  </si>
  <si>
    <t>BOTON L Y R COD 13165</t>
  </si>
  <si>
    <t>BOTON L Y R IRM-05270</t>
  </si>
  <si>
    <t>BOTON L Y R IRM-05271</t>
  </si>
  <si>
    <t>BOTON L Y R PARA SMARTPHONE COD 11790</t>
  </si>
  <si>
    <t>BOTON L Y R TC5334</t>
  </si>
  <si>
    <t>BOTON L Y R TC5335</t>
  </si>
  <si>
    <t>BOTON L Y R TC5336</t>
  </si>
  <si>
    <t>BOTON L Y R TC5337</t>
  </si>
  <si>
    <t>BOTON L Y R TC5359</t>
  </si>
  <si>
    <t>BOTONES L Y R COD 9898 METAL</t>
  </si>
  <si>
    <t>EM JOYSTICK</t>
  </si>
  <si>
    <t>CABLE 2 RCA X PLUG STEREO. 1.5 MT</t>
  </si>
  <si>
    <t>CABLE 2X1 1.8 MTS ULTRA</t>
  </si>
  <si>
    <t>CABLE 2X1 COD 462 1.5 MTS</t>
  </si>
  <si>
    <t>CABLE 2X1 PLUG-RCA 1.0 MT PHILCO</t>
  </si>
  <si>
    <t>CABLE 2X1 RCA 1.5 MTS</t>
  </si>
  <si>
    <t>CABLE 2X1 RCA AVI-2</t>
  </si>
  <si>
    <t>CABLE 2X1 RCA ST 33568 GE COD 1657</t>
  </si>
  <si>
    <t>CABLE 3X1 21090</t>
  </si>
  <si>
    <t>CABLE 3X3 RCA 2.5 MTS</t>
  </si>
  <si>
    <t>CABLE AUDIO 2X1 IRM-05994</t>
  </si>
  <si>
    <t>CABLE AUDIO VIDEO 3 POR 1 AV1-3</t>
  </si>
  <si>
    <t>CABLE AUXILIAR 3.5 MM A RCA AUDIO 1.5 METROS</t>
  </si>
  <si>
    <t>CABLE AUXILIAR COD 2052 1.5 MTS</t>
  </si>
  <si>
    <t>Cable Auxiliar Motomo 1200 mm</t>
  </si>
  <si>
    <t>CABLE AVANTREE IPHONE APPLE CERTIFIED</t>
  </si>
  <si>
    <t>CABLE C MACHO-C MACHO XTECH XTC-530</t>
  </si>
  <si>
    <t>CABLE C-C 1 MT</t>
  </si>
  <si>
    <t>CABLE C-C GYRUX 1 MT</t>
  </si>
  <si>
    <t>CABLE C-C IRM-07551</t>
  </si>
  <si>
    <t xml:space="preserve">CABLE C-IPHONE </t>
  </si>
  <si>
    <t>CABLE C-IPHONE 1 MT</t>
  </si>
  <si>
    <t>CABLE CARGA RAPIDA V8</t>
  </si>
  <si>
    <t>CABLE CARGADOR PARLANTE COD 375</t>
  </si>
  <si>
    <t>CABLE CORRIENTE IRM 00033</t>
  </si>
  <si>
    <t>CABLE DATA CA 101 CAJA</t>
  </si>
  <si>
    <t>CABLE DATA IPH 5 PLANO</t>
  </si>
  <si>
    <t>CABLE DATA IPHONE</t>
  </si>
  <si>
    <t>CABLE DATA IPHONE 5</t>
  </si>
  <si>
    <t>CABLE DATA IPHONE 5 Y 6 ECONOMICO</t>
  </si>
  <si>
    <t>CABLE DATA IPHONE 5. 6 ORIGINAL</t>
  </si>
  <si>
    <t>CABLE DATA LED USB IPHONE/SAM</t>
  </si>
  <si>
    <t>CABLE DATA TABLET SAMSUNG GALAXIE 107788 - FE</t>
  </si>
  <si>
    <t>CABLE DATA USB MICRO 5 PIN GRUESO 1.5 MT</t>
  </si>
  <si>
    <t>CABLE DATO IPHONE 5 BLANCO</t>
  </si>
  <si>
    <t>CABLE DATO IPHONE 5 COD 1205</t>
  </si>
  <si>
    <t>CABLE DATO IPHONE 5 NEGRO</t>
  </si>
  <si>
    <t>CABLE DE PODER 1.5 MTS PARA COMPUTADOR AOWEIXUN</t>
  </si>
  <si>
    <t>CABLE DE PODER 1.5 MTS TIPO 8 1221-8</t>
  </si>
  <si>
    <t>CABLE DE PODER 1.5 MTS TREBOL 0920-7</t>
  </si>
  <si>
    <t>CABLE DE PODER PARA COMPUTADOR COD 132</t>
  </si>
  <si>
    <t>CABLE DE PODER PARA COMPUTADOR IRM-06013</t>
  </si>
  <si>
    <t>CABLE DE PODER PC CHILENO COD 93013</t>
  </si>
  <si>
    <t>CABLE DE PODER TIPO 8 2 PIN COD 141</t>
  </si>
  <si>
    <t>CABLE DE PODER TIPO 8 2 PIN COD 93083</t>
  </si>
  <si>
    <t>CABLE DE PODER TIPO OCHO</t>
  </si>
  <si>
    <t>CABLE DE PODER TIPO TREBOL</t>
  </si>
  <si>
    <t>CABLE DE PODER TIPO TREBOL COD 3752</t>
  </si>
  <si>
    <t>CABLE DE PODER TIPO TREBOL IRM-06012</t>
  </si>
  <si>
    <t>CABLE DE RED 1 MTS CAT 5</t>
  </si>
  <si>
    <t>CABLE DE RED 10 MTS CAT 5 0920-2</t>
  </si>
  <si>
    <t>CABLE DE RED 10 MTS CAT 5 COD 4243</t>
  </si>
  <si>
    <t>CABLE DE RED 10 MTS CAT 6 0410-3</t>
  </si>
  <si>
    <t>CABLE DE RED 10.5 MTS CAT 5</t>
  </si>
  <si>
    <t>CABLE DE RED 15 MTS CAT 5 1221-3</t>
  </si>
  <si>
    <t>CABLE DE RED 15 MTS CAT 5 COD 4244</t>
  </si>
  <si>
    <t>CABLE DE RED 15 MTS CAT 6 0410-4</t>
  </si>
  <si>
    <t>CABLE DE RED 2 MTS CAT 5</t>
  </si>
  <si>
    <t>CABLE DE RED 2 MTS CAT 6</t>
  </si>
  <si>
    <t>CABLE DE RED 20 MTS CAT 5 1221-4</t>
  </si>
  <si>
    <t>CABLE DE RED 20 MTS CAT 5 COD 4245</t>
  </si>
  <si>
    <t>CABLE DE RED 20 MTS CAT 6 0410-5</t>
  </si>
  <si>
    <t>CABLE DE RED 3 MTS CAT 5</t>
  </si>
  <si>
    <t>CABLE DE RED 3 MTS CAT 5 17660-5</t>
  </si>
  <si>
    <t>CABLE DE RED 3 MTS CAT 5 COD 3704</t>
  </si>
  <si>
    <t>CABLE DE RED 5 MTS CAT 5 1221-1</t>
  </si>
  <si>
    <t>CABLE DE RED 5 MTS CAT 5 COD 3703</t>
  </si>
  <si>
    <t>CABLE DE RED 5 MTS CAT 6 0410-2</t>
  </si>
  <si>
    <t>CABLE DE RED 7.5 MTS CAT 5</t>
  </si>
  <si>
    <t>CABLE DE TELEFONO 10 MTS COD 53</t>
  </si>
  <si>
    <t>CABLE DISPLAY PORT A DISPLAY PORT</t>
  </si>
  <si>
    <t>CABLE DISPLAY PORT A HDMI</t>
  </si>
  <si>
    <t>CABLE DISPLAY PORT-HDMI 2 MTS</t>
  </si>
  <si>
    <t>CABLE DUO USB A V8. IPH5 - 317</t>
  </si>
  <si>
    <t>CABLE EXTENSION PLUG 1.5 MTS 1212-29</t>
  </si>
  <si>
    <t>CABLE EXTENSION PLUG 20 CMS</t>
  </si>
  <si>
    <t>CABLE EXTENSION PLUG 3 MTS</t>
  </si>
  <si>
    <t>CABLE EXTENSION PLUG 3 MTS COD 3250</t>
  </si>
  <si>
    <t>CABLE EXTENSION PLUG 5 MTS COD 7500</t>
  </si>
  <si>
    <t>CABLE EXTENSION USB 1.8 MTS</t>
  </si>
  <si>
    <t>CABLE EXTENSION USB 2.0</t>
  </si>
  <si>
    <t>CABLE EXTENSION USB 2.0 1 MT IRM-08481</t>
  </si>
  <si>
    <t>CABLE EXTENSION USB 2.0 3 MTS IRM-08482</t>
  </si>
  <si>
    <t>CABLE EXTENSION USB 3.0 MTS</t>
  </si>
  <si>
    <t>CABLE EXTENSION USB 4.5 MTS</t>
  </si>
  <si>
    <t>CABLE FIBRA OPTICA 2 MT</t>
  </si>
  <si>
    <t>CABLE FIBRA OPTICA GRUESO COD 2860 1.5 MTS</t>
  </si>
  <si>
    <t>CABLE FONEMAX IPHONE 5 CERTIFICADO</t>
  </si>
  <si>
    <t>Cable Griffin Iphone V8</t>
  </si>
  <si>
    <t>CABLE GRUESO 5 PIN C. FILTRO 1.5 M</t>
  </si>
  <si>
    <t>CABLE GRUESO CON FILTRO V8</t>
  </si>
  <si>
    <t>CABLE HDMI 1 MACHO X 2 HEMBRAS COD 3354</t>
  </si>
  <si>
    <t>CABLE HDMI 10MTS SHD10</t>
  </si>
  <si>
    <t>CABLE HDMI 5MTS SHD5</t>
  </si>
  <si>
    <t>CABLE HDMI A DVI-D</t>
  </si>
  <si>
    <t>CABLE HDMI A HDMI</t>
  </si>
  <si>
    <t>CABLE HDMI A VGA C.FILTRO 1.5 M C FILTRO</t>
  </si>
  <si>
    <t>CABLE HDMI HDMI EN BLISTER 1.8 MT</t>
  </si>
  <si>
    <t>CABLE HDMI IPAD IPHONE 1.8M</t>
  </si>
  <si>
    <t>CABLE HDMI X 3 RCA 1.5 MT</t>
  </si>
  <si>
    <t>CABLE HDMI-DISPLAYPORT 1 MT</t>
  </si>
  <si>
    <t>CABLE HDMI-HDMI 1 MT COD 11526</t>
  </si>
  <si>
    <t>CABLE HDMI-HDMI 1.2 MTS COD 1722</t>
  </si>
  <si>
    <t>CABLE HDMI-HDMI 1.5 M PLANO</t>
  </si>
  <si>
    <t>CABLE HDMI-HDMI 1.5 MT COD 3972 DOBLE FILTRO</t>
  </si>
  <si>
    <t>CABLE HDMI-HDMI 1.5 MTS 4K ULTRA HD PHILCO</t>
  </si>
  <si>
    <t>CABLE HDMI-HDMI 1.5 MTS PHILCO</t>
  </si>
  <si>
    <t>CABLE HDMI-HDMI 1.5 MTS ROHS</t>
  </si>
  <si>
    <t>CABLE HDMI-HDMI 1.5 MTS TC4536</t>
  </si>
  <si>
    <t>CABLE HDMI-HDMI 1.5 MTS ULTRA</t>
  </si>
  <si>
    <t>CABLE HDMI-HDMI 1.8 MTS</t>
  </si>
  <si>
    <t>CABLE HDMI-HDMI 1.8 MTS 4K GENERAL ELECTRIC</t>
  </si>
  <si>
    <t>CABLE HDMI-HDMI 1.8 MTS BARKAN HD18E1</t>
  </si>
  <si>
    <t>CABLE HDMI-HDMI 1.8 MTS COD 2007 ULTRA 4K</t>
  </si>
  <si>
    <t>CABLE HDMI-HDMI 1.8 MTS FIDDLER FD-2330PRO</t>
  </si>
  <si>
    <t>CABLE HDMI-HDMI 1.5 MTS MALLA</t>
  </si>
  <si>
    <t>CABLE HDMI-HDMI 10 MTS</t>
  </si>
  <si>
    <t>CABLE HDMI-HDMI 10 MTS COD 12802</t>
  </si>
  <si>
    <t>CABLE HDMI-HDMI 10 MTS MALLA</t>
  </si>
  <si>
    <t>CABLE HDMI-HDMI 20 MTS MALLA</t>
  </si>
  <si>
    <t>CABLE HDMI-HDMI 20 MTS PLANO 4K</t>
  </si>
  <si>
    <t>CABLE HDMI-HDMI 3 MTS MALLA</t>
  </si>
  <si>
    <t>CABLE HDMI-HDMI 3.0 MTS</t>
  </si>
  <si>
    <t>CABLE HDMI-HDMI 3.0 MTS COD 9997</t>
  </si>
  <si>
    <t>CABLE HDMI-HDMI 3.0 MTS ULTRA</t>
  </si>
  <si>
    <t>CABLE HDMI-HDMI 5 MTS MALLA</t>
  </si>
  <si>
    <t>CABLE HDMI-HDMI 5.0 MTS</t>
  </si>
  <si>
    <t>CABLE HDMI-HDMI 5.0 MTS COD 10008</t>
  </si>
  <si>
    <t>CABLE HDMI-HDMI 5.0 MTS DINON</t>
  </si>
  <si>
    <t>CABLE HDMI-HDMI 5.0 MTS ROHS</t>
  </si>
  <si>
    <t>CABLE HDMI-HDMI 5.0 MTS ULTRA</t>
  </si>
  <si>
    <t>CABLE HDMI-HDMI COD 2418 PLANO</t>
  </si>
  <si>
    <t>CABLE HDMI-HDMI GIRATORIO XTC-606</t>
  </si>
  <si>
    <t>CABLE HDMI-HDMI MICRO</t>
  </si>
  <si>
    <t>CABLE HDMI-HDMI MICRO-MINI 3 EN 1 COD 2519</t>
  </si>
  <si>
    <t>CABLE HDMI-RCA 1.5 MTS SXC-00040</t>
  </si>
  <si>
    <t>CABLE HDMI-RCA 1.8 MTS IRM-01100</t>
  </si>
  <si>
    <t>CABLE HDMI-RCA IRM-05990</t>
  </si>
  <si>
    <t>CABLE HDTV ADAPTER</t>
  </si>
  <si>
    <t>CABLE IPH 5 AA SUELTO</t>
  </si>
  <si>
    <t>CABLE IPHONE 1MT</t>
  </si>
  <si>
    <t>CABLE IPHONE 4 1.5 MTS COD 1221</t>
  </si>
  <si>
    <t>CABLE IPHONE 4 COD 93055</t>
  </si>
  <si>
    <t>CABLE IPHONE 4 ESPIRAL COD 147</t>
  </si>
  <si>
    <t>CABLE IPHONE 4 SUELTO 1 M -661 - FE</t>
  </si>
  <si>
    <t>CABLE IPHONE 4. 30 PINES</t>
  </si>
  <si>
    <t>CABLE IPHONE 5</t>
  </si>
  <si>
    <t>CABLE IPHONE 5 CERTIFICADO POR APPLE. CARGA 2.4 AM</t>
  </si>
  <si>
    <t>Cable Iphone 5 y 6 Cert</t>
  </si>
  <si>
    <t>CABLE IPHONE 5 Y 6 COD 4198</t>
  </si>
  <si>
    <t>CABLE IPHONE 5 Y 6 VITU</t>
  </si>
  <si>
    <t>CABLE IPHONE 5 Y 6. CERTIF. EN CABLE</t>
  </si>
  <si>
    <t>CABLE IPHONE 5. 6 C.FILTRO GRUESO. 1.5 M</t>
  </si>
  <si>
    <t>CABLE IPHONE 5. 6 ORIGINAL LIGHTNING</t>
  </si>
  <si>
    <t>CABLE IPHONE 5.6 A USB MALLA</t>
  </si>
  <si>
    <t>CABLE IPHONE 5.6 LIGHTNING CERTIFICADO</t>
  </si>
  <si>
    <t>CABLE IPHONE 5/6 DURACELL CERTIFICADO</t>
  </si>
  <si>
    <t>CABLE IPHONE 6 ANKER</t>
  </si>
  <si>
    <t>CABLE IPHONE 6 ORIGINAL MD 818 Z</t>
  </si>
  <si>
    <t>CABLE IPHONE 6 Sinoe</t>
  </si>
  <si>
    <t>CABLE IPHONE IRM-259</t>
  </si>
  <si>
    <t>CABLE IPHONE ORIGINAL</t>
  </si>
  <si>
    <t>CABLE IPHONE TIPO ORIGINAL</t>
  </si>
  <si>
    <t>CABLE JACK HEMBRA A MACHO AUDIFONO Y MICROFONO</t>
  </si>
  <si>
    <t>CABLE LIGHTNING 2 MTS CARGA RAPIDA AA103</t>
  </si>
  <si>
    <t>CABLE LIGHTNING IPHONE 5.6&amp;7 CERTIFICADO</t>
  </si>
  <si>
    <t>CABLE LIGHTNING IPHONE ORIGINAL</t>
  </si>
  <si>
    <t>CABLE LIGHTNING-PLUG MACHO IRM-06687</t>
  </si>
  <si>
    <t>Cable Magnetico Andrioid</t>
  </si>
  <si>
    <t>Cable Magnetico Iphone</t>
  </si>
  <si>
    <t>CABLE MAGNETICO V8/IPHONE</t>
  </si>
  <si>
    <t>CABLE MHL IRM-1633</t>
  </si>
  <si>
    <t>CABLE MICRO HDMI A HDMI PHILIPS SWV2462W</t>
  </si>
  <si>
    <t>CABLE MICRO USB</t>
  </si>
  <si>
    <t>CABLE MICRO USB A HDMI PARA CELU CMHL21</t>
  </si>
  <si>
    <t>CABLE MICROFONO 1.5 MT IRM-05211</t>
  </si>
  <si>
    <t>CABLE MINI HDMI A HDMI PHILIPS SWV-2472W</t>
  </si>
  <si>
    <t>CABLE MINI USB 2.0 5 PIN COD 93177</t>
  </si>
  <si>
    <t>CABLE OPTICO 1.5 MTS</t>
  </si>
  <si>
    <t>CABLE OPTICO 3.0 MTS 1212-28</t>
  </si>
  <si>
    <t>CABLE OPTICO COD 575 1.5 MTS 2MM</t>
  </si>
  <si>
    <t>CABLE OPTICO IRM-06011</t>
  </si>
  <si>
    <t>CABLE OPTICO IRM-4473</t>
  </si>
  <si>
    <t>CABLE OPTICO TOSLINK 1.8 MTS</t>
  </si>
  <si>
    <t>CABLE ORIGINAL IPHONE LIGHTNING MD818Z GSM</t>
  </si>
  <si>
    <t>CABLE OTG NOTE 3</t>
  </si>
  <si>
    <t>CABLE OTG PARA SAM CR 128</t>
  </si>
  <si>
    <t>CABLE PARA CARGAR BLUETOOTH COD 1121</t>
  </si>
  <si>
    <t>CABLE PARA CARGAR TABLET PUNTA FINA COD 93061</t>
  </si>
  <si>
    <t>CABLE PARA IMPRESORA 1.5 MTS</t>
  </si>
  <si>
    <t>CABLE PARA IMPRESORA 1.8 MTS</t>
  </si>
  <si>
    <t>CABLE PARA IMPRESORA 1.8 MTS XTECH XTC-307</t>
  </si>
  <si>
    <t>CABLE PARA IMPRESORA 3 MTS XTECH XTC-303</t>
  </si>
  <si>
    <t>CABLE PARA IMPRESORA 3.0 MTS</t>
  </si>
  <si>
    <t>CABLE PARA IMPRESORA COD 6565</t>
  </si>
  <si>
    <t>CABLE PARLANTE IRM-01491</t>
  </si>
  <si>
    <t>CABLE PARLANTE USB-V8-PLUG COD 2775</t>
  </si>
  <si>
    <t>CABLE PLANO C.LUZ IPHONE 4. IPAD A USB 110142 -FE</t>
  </si>
  <si>
    <t>CABLE PLANO COLOR USB A IPHONE 5.6 + IPOD + IPAD</t>
  </si>
  <si>
    <t>CABLE PLANO HDMI 1.5 MTS COD 2520</t>
  </si>
  <si>
    <t>CABLE PLANO HDMI 5 MTS COD 2149</t>
  </si>
  <si>
    <t>CABLE PLANO IPHONE 5 259 - FE</t>
  </si>
  <si>
    <t>CABLE PLANO IPHONE 5 Y V 8 - FE</t>
  </si>
  <si>
    <t>CABLE PLANO T/MILITAR IPH 5/ A USB COD 3429 CAJA</t>
  </si>
  <si>
    <t>CABLE PLUG 1 X 1 FASHION COD 4014 -FE</t>
  </si>
  <si>
    <t>CABLE PLUG 1 X 1 PTA. ROJA</t>
  </si>
  <si>
    <t>CABLE PLUG-AUDIFONO Y MICROFONO</t>
  </si>
  <si>
    <t>CABLE PLUG-PLUG 0.7 MTS ULTRA</t>
  </si>
  <si>
    <t>CABLE PLUG-PLUG 0.9 MT ULTRA</t>
  </si>
  <si>
    <t>CABLE PLUG-PLUG 1 MT</t>
  </si>
  <si>
    <t>CABLE PLUG-PLUG 1 MT ET-E4042</t>
  </si>
  <si>
    <t>CABLE PLUG-PLUG 1 MT IRM-04115</t>
  </si>
  <si>
    <t>CABLE PLUG-PLUG 1 MT IRM-05322</t>
  </si>
  <si>
    <t>CABLE PLUG-PLUG 1 MT IRM-08519</t>
  </si>
  <si>
    <t>CABLE PLUG-PLUG 1 MT XTECH</t>
  </si>
  <si>
    <t>CABLE PLUG-PLUG 1.5 MTS EXTENSION</t>
  </si>
  <si>
    <t>CABLE PLUG-PLUG 1.5 MTS IRM-08518</t>
  </si>
  <si>
    <t>CABLE PLUG-PLUG 1.5M COD 142</t>
  </si>
  <si>
    <t>CABLE PLUG-PLUG 1.8 MTS FIDDLER FD-3110PRO</t>
  </si>
  <si>
    <t>CABLE PLUG-PLUG 1.0 MTS TRENZADO PHILCO</t>
  </si>
  <si>
    <t>CABLE PLUG-PLUG 1.5 MT ET-E4049-150</t>
  </si>
  <si>
    <t>CABLE PLUG-PLUG 1.8 MTS</t>
  </si>
  <si>
    <t>CABLE PLUG-PLUG 1.8 MTS ESPIRAL AZUL PHILCO</t>
  </si>
  <si>
    <t>CABLE PLUG-PLUG 1.8 MTS ESPIRAL BLANCO PHILCO</t>
  </si>
  <si>
    <t>CABLE PLUG-PLUG 1.8 MTS ESPIRAL NEGRO PHILCO</t>
  </si>
  <si>
    <t>CABLE PLUG-PLUG 1.8 MTS GEAR</t>
  </si>
  <si>
    <t>CABLE PLUG-PLUG 1.8 MTS GENERAL ELECTRIC</t>
  </si>
  <si>
    <t>CABLE PLUG-PLUG 1.8 MTS ULTRA</t>
  </si>
  <si>
    <t>CABLE PLUG-PLUG 1.8MTS ESPIRAL CURVO</t>
  </si>
  <si>
    <t>CABLE PLUG-PLUG 2 MTS IRM-08520</t>
  </si>
  <si>
    <t>CABLE PLUG-PLUG 3.5 ESPIRAL 2MTS COD 3576</t>
  </si>
  <si>
    <t>CABLE PLUG-PLUG 3.5MM 1.5MTS COD 142</t>
  </si>
  <si>
    <t>CABLE PLUG-PLUG 3.5MM EXTRA GRUESO</t>
  </si>
  <si>
    <t>CABLE PLUG-PLUG 3.5MM PLANO METALICO COD 598</t>
  </si>
  <si>
    <t>CABLE PLUG-PLUG 3.5 ESPIRAL COD 1357</t>
  </si>
  <si>
    <t>CABLE PLUG-PLUG BOCCINI TC6036</t>
  </si>
  <si>
    <t>CABLE PLUG-PLUG BOCCINI TC6037 2 MTS</t>
  </si>
  <si>
    <t>CABLE PLUG-PLUG BOCCINI TC6111 1.5 MTS</t>
  </si>
  <si>
    <t>CABLE PLUG-PLUG BOCCINI TC6112 2 MTS</t>
  </si>
  <si>
    <t>CABLE PLUG-PLUG BOCCINI TC6113 1 MT</t>
  </si>
  <si>
    <t>CABLE PLUG-PLUG BOCCINI TC6115 1 MT</t>
  </si>
  <si>
    <t>CABLE PLUG-PLUG BOCCINI TC6116 1.5 MTS</t>
  </si>
  <si>
    <t>CABLE PLUG-PLUG BOCCINI TC6117 1.5 MTS</t>
  </si>
  <si>
    <t>CABLE PLUG-PLUG BOCCINI TC6118 1 MT</t>
  </si>
  <si>
    <t>CABLE PLUG-PLUG BOCCINI TC6119 1 MT</t>
  </si>
  <si>
    <t>CABLE PLUG-PLUG BOCCINI TG6114 2 MTS</t>
  </si>
  <si>
    <t>CABLE PLUG-PLUG COD 1109</t>
  </si>
  <si>
    <t>CABLE PLUG-PLUG COD 111660 ARTICULADO</t>
  </si>
  <si>
    <t>CABLE PLUG-PLUG COD 1562</t>
  </si>
  <si>
    <t>CABLE PLUG-PLUG COD 1661 TEXTIL GRUESO</t>
  </si>
  <si>
    <t>CABLE PLUG-PLUG COD 1701</t>
  </si>
  <si>
    <t>CABLE PLUG-PLUG COD 1710 GENERAL ELECTRIC</t>
  </si>
  <si>
    <t>CABLE PLUG-PLUG COD 2335</t>
  </si>
  <si>
    <t>CABLE PLUG-PLUG COD 2591 SOGA GRUESO</t>
  </si>
  <si>
    <t>CABLE PLUG-PLUG COD 2688</t>
  </si>
  <si>
    <t>CABLE PLUG-PLUG COD 3689</t>
  </si>
  <si>
    <t>CABLE PLUG-PLUG CON MICROFONO EZRA LA01</t>
  </si>
  <si>
    <t>CABLE PLUG-PLUG DE 3MTS COD 3966</t>
  </si>
  <si>
    <t>CABLE PLUG-PLUG DURACELL COD 1694</t>
  </si>
  <si>
    <t>CABLE PLUG-PLUG ECONOMICO</t>
  </si>
  <si>
    <t>CABLE PLUG-PLUG IRM-02120</t>
  </si>
  <si>
    <t>CABLE PLUG-PLUG IRM-04807</t>
  </si>
  <si>
    <t>CABLE PLUG-PLUG IRM-05427</t>
  </si>
  <si>
    <t>CABLE PLUG-PLUG IRM-06525</t>
  </si>
  <si>
    <t>CABLE PLUG-PLUG IRM-07802 VIDVIE</t>
  </si>
  <si>
    <t>CABLE PLUG-PLUG P.ROJA DORADA 3M</t>
  </si>
  <si>
    <t>CABLE PLUG-PLUG PHILIPS</t>
  </si>
  <si>
    <t>CABLE PLUG-PLUG PLANO COD 6807</t>
  </si>
  <si>
    <t>CABLE PLUG-PLUG PLANO FIBRA 1M MOD 2020</t>
  </si>
  <si>
    <t>CABLE PLUG-PLUG Q117</t>
  </si>
  <si>
    <t>CABLE PLUG-PLUG Q135</t>
  </si>
  <si>
    <t>CABLE PLUG-PLUG ROJO 1.2M</t>
  </si>
  <si>
    <t>CABLE PLUG-PLUG SOGA COD 1591</t>
  </si>
  <si>
    <t>CABLE PLUG-PLUG ZLC-05189</t>
  </si>
  <si>
    <t>CABLE POLOLO COD 113178</t>
  </si>
  <si>
    <t>CABLE P`LANO IPHONE 4 COD 661</t>
  </si>
  <si>
    <t>CABLE RAPIDO 2.0 IPH 5 Y 6 IRM-1738</t>
  </si>
  <si>
    <t>CABLE RAPIDO TIPO C 2.0 1 M. COD 1739</t>
  </si>
  <si>
    <t>CABLE RAPIDO V8 . 3 MT</t>
  </si>
  <si>
    <t>CABLE RAPIDO V8 3.0 MT COD 1014</t>
  </si>
  <si>
    <t>CABLE RCA 2X1 1.5 MTS COD-12241</t>
  </si>
  <si>
    <t>CABLE RCA 2X1 1.5 MTS PUNTA ROJA</t>
  </si>
  <si>
    <t>CABLE RCA 2X1 3 MTS 1212-35</t>
  </si>
  <si>
    <t>CABLE RCA 2X1 PLUG AZUL 3 MTS COD 12252</t>
  </si>
  <si>
    <t>CABLE RCA 3X1 1.5 MTS COD 1170</t>
  </si>
  <si>
    <t>CABLE RCA 3X3 1.5 MT</t>
  </si>
  <si>
    <t>CABLE RCA 3X3 3 MTS 1212-37</t>
  </si>
  <si>
    <t>CABLE RCA 3X3 AZUL 1.5 M COD 102167</t>
  </si>
  <si>
    <t>CABLE RCA 3X3 COD 8281</t>
  </si>
  <si>
    <t>CABLE RCA 3X3 IRM-01096</t>
  </si>
  <si>
    <t>CABLE REMATE</t>
  </si>
  <si>
    <t>CABLE RETRACTIL MINI MICRO USB</t>
  </si>
  <si>
    <t>CABLE SATA DATOS</t>
  </si>
  <si>
    <t>CABLE SPIDER RCA BF-501</t>
  </si>
  <si>
    <t>CABLE TIPO C</t>
  </si>
  <si>
    <t>CABLE TIPO C 2 MTS CARGA RAPIDA B2521</t>
  </si>
  <si>
    <t>CABLE TIPO C 3.1 BLCO</t>
  </si>
  <si>
    <t>CABLE TIPO C IRM-06638</t>
  </si>
  <si>
    <t>CABLE US-V3 IRM-01627</t>
  </si>
  <si>
    <t>CABLE USB 2.0 EXTENSION 1.5 MT</t>
  </si>
  <si>
    <t>CABLE USB 2.0-COFRE PLUG A MINI USB</t>
  </si>
  <si>
    <t>CABLE USB 20 CM</t>
  </si>
  <si>
    <t>CABLE USB 3.0</t>
  </si>
  <si>
    <t>CABLE USB 3.0 DISCO DURO EXTERNO</t>
  </si>
  <si>
    <t>CABLE USB 3.0 PARA DISCO DURO COD 1017 50 CMS</t>
  </si>
  <si>
    <t>CABLE USB 3.0 PARA DISCO DURO COD 1165 1 MT</t>
  </si>
  <si>
    <t>CABLE USB 3.0 PARA DISCO DURO COD 1592</t>
  </si>
  <si>
    <t>CABLE USB 3.0A 2 MTS</t>
  </si>
  <si>
    <t>CABLE USB 5 PIN SOGA COD 955</t>
  </si>
  <si>
    <t>CABLE USB A 3 RCA 8365 1.5 M</t>
  </si>
  <si>
    <t>CABLE USB A MICRO</t>
  </si>
  <si>
    <t>CABLE USB A MICRO 5 PIN 1 M</t>
  </si>
  <si>
    <t>CABLE USB A MICRO 5 PIN 1 M 659 -FE</t>
  </si>
  <si>
    <t>CABLE USB A MINI USB 1 MT</t>
  </si>
  <si>
    <t>CABLE USB A V8 1.5 MTS</t>
  </si>
  <si>
    <t>CABLE USB CON 4 SALIDAS USB - 13440</t>
  </si>
  <si>
    <t>CABLE USB CON LED</t>
  </si>
  <si>
    <t>CABLE USB HEMBRA-HEMBRA 2.0 2 MT</t>
  </si>
  <si>
    <t>CABLE USB HEMBRA-PLUG MACHO IRM-05799</t>
  </si>
  <si>
    <t>CABLE USB IPHONE</t>
  </si>
  <si>
    <t>CABLE USB IPHONE 5. 6. IPAD REMAX</t>
  </si>
  <si>
    <t>CABLE USB IPHONE PLANO COLOR COD 4453</t>
  </si>
  <si>
    <t>CABLE USB MACHO MACHO 2.0</t>
  </si>
  <si>
    <t>CABLE USB MACHO-HEMBRA 1.5 MTS 0920-24</t>
  </si>
  <si>
    <t>CABLE USB MACHO-HEMBRA 3 MTS 0920-25</t>
  </si>
  <si>
    <t>CABLE USB MACHO-HEMBRA COD 101078</t>
  </si>
  <si>
    <t>CABLE USB MACHO-HEMBRA XTECH XTC-301 EXTENSION</t>
  </si>
  <si>
    <t>CABLE USB MACHO-MACHO</t>
  </si>
  <si>
    <t>CABLE USB MACHO-MACHO 1.5 MTS 0920-26</t>
  </si>
  <si>
    <t>CABLE USB MACHO-MACHO 1.8 MTS</t>
  </si>
  <si>
    <t>CABLE USB MACHO-MACHO 3 MTS</t>
  </si>
  <si>
    <t>CABLE USB MACHO-MACHO IRM 04833</t>
  </si>
  <si>
    <t>CABLE USB MACHO-MACHO IRM-02136</t>
  </si>
  <si>
    <t>CABLE USB MACHO-MACHO IRM-06005</t>
  </si>
  <si>
    <t>CABLE USB MAGNETICO V8/IPHONE</t>
  </si>
  <si>
    <t>CABLE USB MICRO 5 PIN COD 4079 GRUESO 3 MTS</t>
  </si>
  <si>
    <t>CABLE USB MICRO 5 PINES CABLE GRUESO</t>
  </si>
  <si>
    <t>CABLE USB TIPO C BLACK</t>
  </si>
  <si>
    <t>CABLE USB TIPO C BLUE</t>
  </si>
  <si>
    <t>CABLE USB TIPO C CARGA RÁPIDA P5214 BL</t>
  </si>
  <si>
    <t>CABLE USB TIPO C GREEN</t>
  </si>
  <si>
    <t>CABLE USB TIPO C PINK</t>
  </si>
  <si>
    <t>CABLE USB TIPO C WHITE</t>
  </si>
  <si>
    <t>CABLE USB V8 ET-E4204</t>
  </si>
  <si>
    <t>CABLE USB V8 ET-E4242</t>
  </si>
  <si>
    <t>Cable USB V8 sinoe</t>
  </si>
  <si>
    <t>Cable USB V8 VITU</t>
  </si>
  <si>
    <t>CABLE USB-C 1 MT 5A BUDIX</t>
  </si>
  <si>
    <t>CABLE USB-C 1 MT ASPOR</t>
  </si>
  <si>
    <t>CABLE USB-C 1 MT ET-4345C</t>
  </si>
  <si>
    <t>CABLE USB-C 1 MT ET-E4340C</t>
  </si>
  <si>
    <t>CABLE USB-C 1 MT ET-E4364C</t>
  </si>
  <si>
    <t>CABLE USB-C 1 MT ET-E4368C</t>
  </si>
  <si>
    <t>CABLE USB-C 1 MT IRM-04108 VIDVIE</t>
  </si>
  <si>
    <t>CABLE USB-C 1 MT IRM-07819</t>
  </si>
  <si>
    <t>CABLE USB-C 1 MT IRM-08397</t>
  </si>
  <si>
    <t>CABLE USB-C 1 MT JOYROOM JR-S118</t>
  </si>
  <si>
    <t>CABLE USB-C 1 MT REMAX BLANCO</t>
  </si>
  <si>
    <t>CABLE USB-C 1 MT REMAX NEGRO</t>
  </si>
  <si>
    <t>CABLE USB-C 1 MT REMAX PLANO</t>
  </si>
  <si>
    <t>CABLE USB-C 1.5 MTS MOTOMO</t>
  </si>
  <si>
    <t>CABLE USB-C 3 MTS 5V</t>
  </si>
  <si>
    <t>CABLE USB-C A USB-C ILUV iCB57BLK</t>
  </si>
  <si>
    <t>CABLE USB-C BOCCINI TC5716</t>
  </si>
  <si>
    <t>CABLE USB-C BOCCINI TC6040</t>
  </si>
  <si>
    <t>CABLE USB-C BOCCINI TC6107</t>
  </si>
  <si>
    <t>CABLE USB-C CARGA RÁPIDA P5214 NG</t>
  </si>
  <si>
    <t>CABLE USB-C COD 111825 2 MTS PLANO</t>
  </si>
  <si>
    <t>CABLE USB-C COD 111847 5AMP</t>
  </si>
  <si>
    <t>CABLE USB-C COD 11713</t>
  </si>
  <si>
    <t>CABLE USB-C COD 12868</t>
  </si>
  <si>
    <t>CABLE USB-C COD 13132 ESPIRAL</t>
  </si>
  <si>
    <t>CABLE USB-C COD 14298 3 MTS PLANO</t>
  </si>
  <si>
    <t>CABLE USB-C COD 14826</t>
  </si>
  <si>
    <t>CABLE USB-C COD 1531 1.5 MTS</t>
  </si>
  <si>
    <t>CABLE USB-C COD 2867 PUNTA REFORZADA CON RESORTE</t>
  </si>
  <si>
    <t>CABLE USB-C COD 3150 CAJA METALICA</t>
  </si>
  <si>
    <t>CABLE USB-C COD 4530</t>
  </si>
  <si>
    <t>CABLE USB-C COD 9194 CURVO</t>
  </si>
  <si>
    <t>CABLE USB-C COD 9414 CURVO</t>
  </si>
  <si>
    <t>CABLE USB-C DURACELL</t>
  </si>
  <si>
    <t>CABLE USB-C ET-E4237C</t>
  </si>
  <si>
    <t>CABLE USB-C ET-E4344C</t>
  </si>
  <si>
    <t>CABLE USB-C ET-E4362C</t>
  </si>
  <si>
    <t>CABLE USB-C ET-R4925-M</t>
  </si>
  <si>
    <t>CABLE USB-C GYRUX 1.5 MTS</t>
  </si>
  <si>
    <t>CABLE USB-C HUAWEI ORIGINAL</t>
  </si>
  <si>
    <t>CABLE USB-C IRM-02101951</t>
  </si>
  <si>
    <t>CABLE USB-C IRM-02129</t>
  </si>
  <si>
    <t>CABLE USB-C IRM-06527</t>
  </si>
  <si>
    <t>CABLE USB-C IRM-07813</t>
  </si>
  <si>
    <t>CABLE USB-C IRM-2100372</t>
  </si>
  <si>
    <t>CABLE USB-C IRM-2101982 ONEPLUS</t>
  </si>
  <si>
    <t>CABLE USB-C MOTOMO 1 MT</t>
  </si>
  <si>
    <t>CABLE USB-C MOTOMO 2 MTS</t>
  </si>
  <si>
    <t>CABLE USB-C MOTOMO 3 MTS</t>
  </si>
  <si>
    <t>CABLE USB-C ORIGINAL HUAWEI</t>
  </si>
  <si>
    <t>CABLE USB-C PHILIPS DLC1530C/97</t>
  </si>
  <si>
    <t>CABLE USB-C SAMSUNG ORIGINAL</t>
  </si>
  <si>
    <t>CABLE USB-C TIPO MOTO</t>
  </si>
  <si>
    <t>CABLE USB-C TIPO SAMSUNG</t>
  </si>
  <si>
    <t>CABLE USB-IPHONE 1 MT</t>
  </si>
  <si>
    <t>CABLE USB-IPHONE 1 MT ASPOR</t>
  </si>
  <si>
    <t>CABLE USB-IPHONE 1 MT COD 4010</t>
  </si>
  <si>
    <t>CABLE USB-IPHONE 1 MT DURACELL CERTIFICADO</t>
  </si>
  <si>
    <t>CABLE USB-IPHONE 1 MT IRM-06225</t>
  </si>
  <si>
    <t>CABLE USB-IPHONE 1 MT IRM-07812</t>
  </si>
  <si>
    <t>CABLE USB-IPHONE 1 MT IRM-08375</t>
  </si>
  <si>
    <t>CABLE USB-IPHONE 1 MT IRM-08396</t>
  </si>
  <si>
    <t>CABLE USB-IPHONE 1 MT JOYROOM JR-S118</t>
  </si>
  <si>
    <t>CABLE USB-IPHONE 1 MT MASTER-G</t>
  </si>
  <si>
    <t>CABLE USB-IPHONE 1 MT REMAX BLANCO</t>
  </si>
  <si>
    <t>CABLE USB-IPHONE 1 MT REMAX CELESTE</t>
  </si>
  <si>
    <t>CABLE USB-IPHONE 1 MT REMAX NEGRO</t>
  </si>
  <si>
    <t>CABLE USB-IPHONE 1 MT REMAX PLANO</t>
  </si>
  <si>
    <t>CABLE USB-IPHONE 1 MT REMAX ROSADO</t>
  </si>
  <si>
    <t>CABLE USB-IPHONE 1 MT TIPO ORIGINAL</t>
  </si>
  <si>
    <t>CABLE USB-IPHONE 1 MT URBANO CERTIFICADO</t>
  </si>
  <si>
    <t>CABLE USB-IPHONE 1.0 MT ULTRA</t>
  </si>
  <si>
    <t>CABLE USB-IPHONE 1.5 MTS ULTRA</t>
  </si>
  <si>
    <t>CABLE USB-IPHONE 2 MTS</t>
  </si>
  <si>
    <t>CABLE USB-IPHONE 2 MTS TIPO ORIGINAL</t>
  </si>
  <si>
    <t>CABLE USB-IPHONE 3 MTS 5V</t>
  </si>
  <si>
    <t>CABLE USB-IPHONE 3 MTS IRM-08075</t>
  </si>
  <si>
    <t>CABLE USB-IPHONE 4 COD 658</t>
  </si>
  <si>
    <t>CABLE USB-IPHONE 4 COD 8941</t>
  </si>
  <si>
    <t>CABLE USB-IPHONE 7</t>
  </si>
  <si>
    <t>CABLE USB-IPHONE CERTIFICADO</t>
  </si>
  <si>
    <t>CABLE USB-IPHONE CERTIFICADO FONEMAX</t>
  </si>
  <si>
    <t>CABLE USB-IPHONE COD 1075 LED</t>
  </si>
  <si>
    <t>CABLE USB-IPHONE COD 122217 CURVO</t>
  </si>
  <si>
    <t>CABLE USB-IPHONE COD 12362 ESPIRAL</t>
  </si>
  <si>
    <t>CABLE USB-IPHONE COD 2337 CURVO</t>
  </si>
  <si>
    <t>CABLE USB-IPHONE COD 2501 PUNTA REFORZADA</t>
  </si>
  <si>
    <t>CABLE USB-IPHONE COD 2607 TRENZADO</t>
  </si>
  <si>
    <t>CABLE USB-IPHONE COD 2620</t>
  </si>
  <si>
    <t>CABLE USB-IPHONE COD 4299</t>
  </si>
  <si>
    <t>CABLE USB-IPHONE COD 679 SOGA</t>
  </si>
  <si>
    <t>CABLE USB-IPHONE ET-E4165-I</t>
  </si>
  <si>
    <t>CABLE USB-IPHONE ET-E4340I</t>
  </si>
  <si>
    <t xml:space="preserve">CABLE USB-IPHONE GYRUX CERTIFICADO </t>
  </si>
  <si>
    <t>CABLE USB-IPHONE IRM-02115</t>
  </si>
  <si>
    <t>CABLE USB-IPHONE IRM-04106</t>
  </si>
  <si>
    <t>CABLE USB-IPHONE IRM-05532 CURVO</t>
  </si>
  <si>
    <t>CABLE USB-IPHONE IRM-06528</t>
  </si>
  <si>
    <t>CABLE USB-IPHONE IRM-07818 1 MT</t>
  </si>
  <si>
    <t>CABLE USB-IPHONE IRM-2101962</t>
  </si>
  <si>
    <t>CABLE USB-IPHONE MOTOMO 1 MT</t>
  </si>
  <si>
    <t>CABLE USB-IPHONE MOTOMO 2 MTS</t>
  </si>
  <si>
    <t>CABLE USB-IPHONE MOTOMO 3 MTS</t>
  </si>
  <si>
    <t>CABLE USB-IPHONE ORIGINAL</t>
  </si>
  <si>
    <t>CABLE USB-IPHONE PHILIPS DLC2508W</t>
  </si>
  <si>
    <t>CABLE USB-IPHONE ULTRA 1.5 MTS TRENZADO</t>
  </si>
  <si>
    <t>CABLE USB-MINI USB 3.0 1 MT</t>
  </si>
  <si>
    <t>CABLE USB-PLUG COD 93081</t>
  </si>
  <si>
    <t>CABLE USB-PLUG MACHO IRM-05646</t>
  </si>
  <si>
    <t>CABLE USB-PLUG MACHO IRM-06045</t>
  </si>
  <si>
    <t>CABLE USB-PLUG-V3 CARGARDOR PARLANTE COD 93260</t>
  </si>
  <si>
    <t>CABLE USB-V MOTOMO 2 MTS</t>
  </si>
  <si>
    <t>CABLE USB-V3 1.5 MTS 1212-9</t>
  </si>
  <si>
    <t>CABLE USB-V3 1.5 MTS IRM-08036</t>
  </si>
  <si>
    <t>CABLE USB-V3 1.8 MTS</t>
  </si>
  <si>
    <t>CABLE USB-V3 21009</t>
  </si>
  <si>
    <t>CABLE USB-V3 90 CMS ULTRA 29USB-40825</t>
  </si>
  <si>
    <t>CABLE USB-V8 01-150 CABLE CON LUZ</t>
  </si>
  <si>
    <t>CABLE USB-V8 05-120</t>
  </si>
  <si>
    <t>CABLE USB-V8 1 MT ASPOR</t>
  </si>
  <si>
    <t>CABLE USB-V8 1 MT ET-E4340M</t>
  </si>
  <si>
    <t>CABLE USB-V8 1 MT ET-E4365</t>
  </si>
  <si>
    <t>CABLE USB-V8 1 MT ET-E4366</t>
  </si>
  <si>
    <t>CABLE USB-V8 1 MT ET-E4369</t>
  </si>
  <si>
    <t>CABLE USB-V8 1 MT ET-E4370</t>
  </si>
  <si>
    <t>CABLE USB-V8 1 MT IRM-04107 VIDVIE</t>
  </si>
  <si>
    <t>CABLE USB-V8 1 MT IRM-06224</t>
  </si>
  <si>
    <t>CABLE USB-V8 1 MT IRM-07811</t>
  </si>
  <si>
    <t>CABLE USB-V8 1 MT IRM-07817</t>
  </si>
  <si>
    <t>CABLE USB-V8 1 MT IRM-08376</t>
  </si>
  <si>
    <t>CABLE USB-V8 1 MT IRM-08395</t>
  </si>
  <si>
    <t>CABLE USB-V8 1 MT JOYROOM JR-S118</t>
  </si>
  <si>
    <t>CABLE USB-V8 1 MT REMAX BLANCO</t>
  </si>
  <si>
    <t>CABLE USB-V8 1 MT REMAX CELESTE</t>
  </si>
  <si>
    <t>CABLE USB-V8 1 MT REMAX NEGRO</t>
  </si>
  <si>
    <t>CABLE USB-V8 1 MT REMAX PLANO</t>
  </si>
  <si>
    <t>CABLE USB-V8 1 MT REMAX ROSADO</t>
  </si>
  <si>
    <t>CABLE USB-V8 1.5 M V8 IRM-796</t>
  </si>
  <si>
    <t>CABLE USB-V8 1.5M IRM-796</t>
  </si>
  <si>
    <t>CABLE USB-V8 1.2 MTS ET-E4343M</t>
  </si>
  <si>
    <t>CABLE USB-V8 2.4GHZ CARGA RAPIDA ET-06-125</t>
  </si>
  <si>
    <t>CABLE USB-V8 3 MTS 5A</t>
  </si>
  <si>
    <t>CABLE USB-V8 3 MTS COD 2339</t>
  </si>
  <si>
    <t>CABLE USB-V8 3 MTS ET-17871-117</t>
  </si>
  <si>
    <t>CABLE USB-V8 3 MTS IRM-015248</t>
  </si>
  <si>
    <t>CABLE USB-V8 3 MTS IRM-07531</t>
  </si>
  <si>
    <t>CABLE USB-V8 3 MTS IRM-2124</t>
  </si>
  <si>
    <t>CABLE USB-V8 BOCCINI TC5253</t>
  </si>
  <si>
    <t>CABLE USB-V8 BOCCINI TC6038</t>
  </si>
  <si>
    <t>CABLE USB-V8 BOCCINI TC6105</t>
  </si>
  <si>
    <t>CABLE USB-V8 C ET-E4217</t>
  </si>
  <si>
    <t>CABLE USB-V8 C ET-E4253</t>
  </si>
  <si>
    <t>CABLE USB-V8 C ET-E4254</t>
  </si>
  <si>
    <t>CABLE USB-V8 C ET-E4256</t>
  </si>
  <si>
    <t>CABLE USB-V8 C MT</t>
  </si>
  <si>
    <t>CABLE USB-V8 CARGA RAPIDA IRM-04286</t>
  </si>
  <si>
    <t>CABLE USB-V8 COD 111803 2 MTS PLANO</t>
  </si>
  <si>
    <t>CABLE USB-V8 COD 11273 ESPIRAL</t>
  </si>
  <si>
    <t>CABLE USB-V8 COD 114234 CURVO</t>
  </si>
  <si>
    <t>CABLE USB-V8 COD 116247 2 MTS CON VELCRO</t>
  </si>
  <si>
    <t>CABLE USB-V8 COD 11658 CURVO</t>
  </si>
  <si>
    <t>CABLE USB-V8 COD 16245</t>
  </si>
  <si>
    <t>CABLE USB-V8 COD 2512 CURVO</t>
  </si>
  <si>
    <t>CABLE USB-V8 COD 2545 DURACELL</t>
  </si>
  <si>
    <t>CABLE USB-V8 COD 2653</t>
  </si>
  <si>
    <t>CABLE USB-V8 COD 4106 1 MT</t>
  </si>
  <si>
    <t>CABLE USB-V8 COD 4143 CURVO</t>
  </si>
  <si>
    <t>CABLE USB-V8 COD 4212 PLANO</t>
  </si>
  <si>
    <t>CABLE USB-V8 COD 4248 CUERO</t>
  </si>
  <si>
    <t>CABLE USB-V8 COD 488 METALICO</t>
  </si>
  <si>
    <t>CABLE USB-V8 COD 659 ECONOMICO</t>
  </si>
  <si>
    <t>CABLE USB-V8 COD 7016 TRENZADO</t>
  </si>
  <si>
    <t>CABLE USB-V8 DURACELL</t>
  </si>
  <si>
    <t>CABLE USB-V8 ECONOMICO</t>
  </si>
  <si>
    <t>CABLE USB-V8 ET-4351M</t>
  </si>
  <si>
    <t>CABLE USB-V8 ET-4516 PLANO</t>
  </si>
  <si>
    <t>CABLE USB-V8 ET-E4018</t>
  </si>
  <si>
    <t>CABLE USB-V8 ET-E4019-M</t>
  </si>
  <si>
    <t>CABLE USB-V8 ET-E4131 CARGA RAPIDA</t>
  </si>
  <si>
    <t>CABLE USB-V8 ET-E4147</t>
  </si>
  <si>
    <t>CABLE USB-V8 ET-E4166-M</t>
  </si>
  <si>
    <t>CABLE USB-V8 ET-E4238</t>
  </si>
  <si>
    <t>CABLE USB-V8 ET-E4321M</t>
  </si>
  <si>
    <t>CABLE USB-V8 ET-E4924</t>
  </si>
  <si>
    <t>CABLE USB-V8 GYRUX 1.5 MTS</t>
  </si>
  <si>
    <t>CABLE USB-V8 HUAWEI CARGA RAPIDA</t>
  </si>
  <si>
    <t xml:space="preserve">CABLE USB-V8 HUAWEI ORIGINAL </t>
  </si>
  <si>
    <t>CABLE USB-V8 HUAWEI ORIGINAL</t>
  </si>
  <si>
    <t>CABLE USB-V8 IRM-05337</t>
  </si>
  <si>
    <t>CABLE USB-V8 IRM-05531 CURVO</t>
  </si>
  <si>
    <t>CABLE USB-V8 IRM-05614 VIDVIE</t>
  </si>
  <si>
    <t>CABLE USB-V8 IRM-07381</t>
  </si>
  <si>
    <t>CABLE USB-V8 IRM-2114</t>
  </si>
  <si>
    <t>CABLE USB-V8 MOTOMO 1 MT</t>
  </si>
  <si>
    <t>CABLE USB-V8 MOTOMO 2 MTS</t>
  </si>
  <si>
    <t>CABLE USB-V8 MOTOMO 3 MTS</t>
  </si>
  <si>
    <t>CABLE USB-V8 PHILIPS DLC1530U/97</t>
  </si>
  <si>
    <t>CABLE USB-V8 RP-002-M-200 2 MTS</t>
  </si>
  <si>
    <t>CABLE USB-V8 SAMSUNG ORIGINAL</t>
  </si>
  <si>
    <t>CABLE USB-V8 SINOE</t>
  </si>
  <si>
    <t>CABLE USB-V8 TIPO SAMSUNG</t>
  </si>
  <si>
    <t>CABLE USB-V8/C/IPHONE 1 MT BUDIX</t>
  </si>
  <si>
    <t>CABLE USB-V8/C/IPHONE 1 MT CURVO BUDIX</t>
  </si>
  <si>
    <t>CABLE USB-V8/C/IPHONE 1 MT IRM-07717 MAGNETICO</t>
  </si>
  <si>
    <t>CABLE USB-V8/C/IPHONE ET-10908 MAGNETICO</t>
  </si>
  <si>
    <t>CABLE USB-V8/C/IPHONE ET-E4229</t>
  </si>
  <si>
    <t>CABLE USB-V8/C/IPHONE ET-E4341-120</t>
  </si>
  <si>
    <t>CABLE USB-V8/C/IPHONE IRM-08152 MAGNETICO</t>
  </si>
  <si>
    <t>CABLE USB-V8/C/IPHONE MOTOMO</t>
  </si>
  <si>
    <t>CABLE USB-V8/IPHONE ET-E4518</t>
  </si>
  <si>
    <t>CABLE USB-V8/IPHONE SJX-001M</t>
  </si>
  <si>
    <t>CABLE USB-V8/V3/IPHONE/PARLANTE ET-E4148</t>
  </si>
  <si>
    <t>CABLE V3 5 PIN A USB 1 METRO</t>
  </si>
  <si>
    <t>CABLE V8 2 MTS CARGA RAPIDA AS108</t>
  </si>
  <si>
    <t>CABLE V8 VITU</t>
  </si>
  <si>
    <t>CABLE V8-V8 MAXELL MUSB-200 COMPARTE CARGA</t>
  </si>
  <si>
    <t>CABLE VGA 1.5 M</t>
  </si>
  <si>
    <t>CABLE VGA MACHO MACHO</t>
  </si>
  <si>
    <t>CABLE VGA-VGA 1.5 MTS AOWEIXUN</t>
  </si>
  <si>
    <t>CABLE VGA-VGA 1.8 MTS</t>
  </si>
  <si>
    <t>CABLE VGA-VGA 3 MTS COD 13286</t>
  </si>
  <si>
    <t>CABLE VGA-VGA XTC-308</t>
  </si>
  <si>
    <t>CABLE-USB IPHONE LIGHTNING CERTIFICADO</t>
  </si>
  <si>
    <t>CALCULADORA BASICA KK-323A</t>
  </si>
  <si>
    <t>CALCULADORA CASIO FX-350ES PLUS</t>
  </si>
  <si>
    <t>CALCULADORA CASIO FX-570ES PLUS</t>
  </si>
  <si>
    <t>CALCULADORA CASIO FX-82MS</t>
  </si>
  <si>
    <t>CALCULADORA CIENTIFICA FX-350ES PLUS</t>
  </si>
  <si>
    <t>CALCULADORA CIENTIFICA FX-350MS-2C ECONOMICA</t>
  </si>
  <si>
    <t>CALCULADORA CIENTIFICA FX-570ES PLUS</t>
  </si>
  <si>
    <t>CALCULADORA CIENTIFICA FX-82MS</t>
  </si>
  <si>
    <t>CALCULADORA CIENTIFICA KADIO ECONOMICA COD 2155</t>
  </si>
  <si>
    <t>CALCULADORA CSIRO CS-1200V</t>
  </si>
  <si>
    <t>CALCULADORA DE BOLSILLO ET-C510D</t>
  </si>
  <si>
    <t>CAMARA DE VIGILANCIA WIFI COD 2430</t>
  </si>
  <si>
    <t>CAMARA DEPORTIVA AL AGUA</t>
  </si>
  <si>
    <t>CAMARA DEPORTIVA HD AL AGUA</t>
  </si>
  <si>
    <t>CAMARA DEPORTIVA HD AL AGUA 1263</t>
  </si>
  <si>
    <t>CAMARA FRONTAL PARA VEHICULO MOTOROLA COD 4321</t>
  </si>
  <si>
    <t>CAMARA GO PRO</t>
  </si>
  <si>
    <t>CAMARA GO PRO HD COD 719</t>
  </si>
  <si>
    <t>CAMARA GO-PRO</t>
  </si>
  <si>
    <t>CAMARA IP INTERNO COD 2539</t>
  </si>
  <si>
    <t>CAMARA IP WIFI SENSOR DE MOVIMIENTO COD 5278</t>
  </si>
  <si>
    <t>CAMARA LCD 2.0 DVR PARA AUTO COD 298</t>
  </si>
  <si>
    <t>CAMARA LCD 2.0 DVR PARA AUTO COD 729</t>
  </si>
  <si>
    <t>CAMARA LCD 2.0 DVR PORTABLE PARA AUTO COD 109119</t>
  </si>
  <si>
    <t>CAMARA LCD DVR PARA VEHICULO IRM-01914</t>
  </si>
  <si>
    <t>CAMARA LCD PARA VEHICULO IRM-01861</t>
  </si>
  <si>
    <t>CAMARA MINI TIPO GO PRO C CONTROL COD 2923</t>
  </si>
  <si>
    <t>CAMARA MINI TIPO GOPRO COD 719</t>
  </si>
  <si>
    <t>CAMARA PARA AUTO 0783</t>
  </si>
  <si>
    <t>CAMARA PARA VEHICULO 64834</t>
  </si>
  <si>
    <t>CAMARA RETROVISOR PARA VEHICULO COD 112705</t>
  </si>
  <si>
    <t>CAMARA TIPO GO PRO COD 1157 WIFI CONTROL</t>
  </si>
  <si>
    <t>CAMARA TIPO GO PRO COD 117182 BIND.U</t>
  </si>
  <si>
    <t>CAMARA TIPO GO PRO IRM-05828</t>
  </si>
  <si>
    <t>CAMARA TIPO GOPRO 4K COD 2449</t>
  </si>
  <si>
    <t>CAMARA TIPO GOPRO IRM-5511</t>
  </si>
  <si>
    <t>CAMARA VEHICULO COD 3430</t>
  </si>
  <si>
    <t>CAMARA VIDEO P AUTO SCAMC41</t>
  </si>
  <si>
    <t>CAMARA VIDEO P AUTO SCAMC42</t>
  </si>
  <si>
    <t>CAMARA VIGILANCIA CON WIFI C/ MOV COD 1589</t>
  </si>
  <si>
    <t xml:space="preserve">camara web </t>
  </si>
  <si>
    <t>CAMARA WEB 1080P</t>
  </si>
  <si>
    <t>CAMARA WEB 480P</t>
  </si>
  <si>
    <t>CAMARA WEB 640P JL-02005</t>
  </si>
  <si>
    <t>CAMARA WEB 640P JL-02006</t>
  </si>
  <si>
    <t>CAMARA WEB CON MICROFONO COD 7874</t>
  </si>
  <si>
    <t>CANDADO NOTEBOOK</t>
  </si>
  <si>
    <t>CAPTURADORA DE VIDEO USB A HDMI 4K</t>
  </si>
  <si>
    <t>CAPTURADORA DE VIDEO USB A HDMI 4K COD 120856</t>
  </si>
  <si>
    <t>CARCASA DISNEY IPHONE 5</t>
  </si>
  <si>
    <t>AC TAPA TRANSPARENTE</t>
  </si>
  <si>
    <t>CARCASA DISNEY SAM J2 PRIME</t>
  </si>
  <si>
    <t>CARCASA DISNEY SAM J5 2016</t>
  </si>
  <si>
    <t>CARCASA DISNEY SAM J7</t>
  </si>
  <si>
    <t>CARCASA DISNEY SAM J7 PRIME</t>
  </si>
  <si>
    <t>CARG 12 V SAMSUNG ORIGINAL</t>
  </si>
  <si>
    <t>AC CARGADOR AUTO</t>
  </si>
  <si>
    <t>CARGADOR 12 V. CON 2 USB 3.1 AMP 107832 -FE</t>
  </si>
  <si>
    <t>CARGADOR 12 VOLT A USB 2.1 AMP</t>
  </si>
  <si>
    <t>CARGADOR 12 VOLT MICRFO USB</t>
  </si>
  <si>
    <t>CARGADOR 12 Y 24 VOLT 1.000 AMPER</t>
  </si>
  <si>
    <t>CARGADOR 220 V CABLE + ADAPTADOR IPHONE 5.6</t>
  </si>
  <si>
    <t>AC CARGADOR CASA</t>
  </si>
  <si>
    <t>CARGADOR 220V A 2 USB. 2 AMP . 1220 -FE</t>
  </si>
  <si>
    <t>CARGADOR 220V DOBLE USB CUADRADO</t>
  </si>
  <si>
    <t>CARGADOR 220V SAM 0.75 AMP</t>
  </si>
  <si>
    <t>CARGADOR 2X1 GALAXY COD 6708</t>
  </si>
  <si>
    <t>CARGADOR 2X1 IPHONE 4 220 V</t>
  </si>
  <si>
    <t>CARGADOR 2X1 IPHONE 4 COD 1349</t>
  </si>
  <si>
    <t>CARGADOR 2X1 SAMSUNG</t>
  </si>
  <si>
    <t>CARGADOR 3 EN 1 COD 3731</t>
  </si>
  <si>
    <t>CARGADOR 3 X 1</t>
  </si>
  <si>
    <t>CARGADOR 3X1 PARA IPHONE</t>
  </si>
  <si>
    <t>CARGADOR 3X1 SAMSUMG TARGET</t>
  </si>
  <si>
    <t>CARGADOR ANDROID 2.4 MOTOMO</t>
  </si>
  <si>
    <t>CARGADOR APPLE WATCH JOYROOM S-IW001S</t>
  </si>
  <si>
    <t>CARGADOR ARAÑA CON PANTALLA LCD</t>
  </si>
  <si>
    <t>CARGADOR ARAÑA ECONOMICO</t>
  </si>
  <si>
    <t>CARGADOR ARAÑA ECONOMICO COD 2470</t>
  </si>
  <si>
    <t>Cargador Araña ET-E6090</t>
  </si>
  <si>
    <t>CARGADOR ARAÑA IRM-01532</t>
  </si>
  <si>
    <t>CARGADOR ARAÑA UNIVERSAL ECONOMICO 2470</t>
  </si>
  <si>
    <t>CARGADOR AUTO 12 V SAMSUNG ORIGINAL</t>
  </si>
  <si>
    <t>CARGADOR AUTO 12 VOLT COD. 107832</t>
  </si>
  <si>
    <t>CARGADOR AUTO 2 USB 2.1 AMP COD 1581</t>
  </si>
  <si>
    <t>CARGADOR AUTO 2 USB 2.4 AMP</t>
  </si>
  <si>
    <t>CARGADOR AUTO 2 USB 2.4 AMP B-111</t>
  </si>
  <si>
    <t>CARGADOR AUTO 2 USB 3.6 AMP COD 6059</t>
  </si>
  <si>
    <t>CARGADOR AUTO 2.4 AMP REIMAX</t>
  </si>
  <si>
    <t>CARGADOR AUTO 3 USB 3.4 AMP COD 2494</t>
  </si>
  <si>
    <t>CARGADOR AUTO 3.1 AMP AQ-5A</t>
  </si>
  <si>
    <t>CARGADOR AUTO 3.1 AMP MOTOMO CCI33</t>
  </si>
  <si>
    <t>CARGADOR AUTO 4 PUERTOS USB</t>
  </si>
  <si>
    <t>CARGADOR AUTO BUDIX BD-068</t>
  </si>
  <si>
    <t>CARGADOR AUTO BUDIX C502</t>
  </si>
  <si>
    <t>CARGADOR AUTO CC36 CARGA RAPIDA</t>
  </si>
  <si>
    <t>CARGADOR AUTO COMTRONICS</t>
  </si>
  <si>
    <t>CARGADOR AUTO CON CABLE EMY  MY-30</t>
  </si>
  <si>
    <t>CARGADOR AUTO DURACELL COD 1062</t>
  </si>
  <si>
    <t>CARGADOR AUTO E-1347</t>
  </si>
  <si>
    <t>CARGADOR AUTO ECONOMICO COD 3364</t>
  </si>
  <si>
    <t>CARGADOR AUTO ET-D0116</t>
  </si>
  <si>
    <t>CARGADOR AUTO ET-D0275 CAR</t>
  </si>
  <si>
    <t>CARGADOR AUTO ET-D0321M-120</t>
  </si>
  <si>
    <t>CARGADOR AUTO IPHONE IVON</t>
  </si>
  <si>
    <t>CARGADOR AUTO IRM-04125</t>
  </si>
  <si>
    <t>CARGADOR AUTO IRM-05976</t>
  </si>
  <si>
    <t>CARGADOR AUTO IRM-06321</t>
  </si>
  <si>
    <t>CARGADOR AUTO IRM-07796</t>
  </si>
  <si>
    <t>CARGADOR AUTO IRM-08558 CABLE TIPO C</t>
  </si>
  <si>
    <t>CARGADOR AUTO IRM-08559 CABLE IPHONE</t>
  </si>
  <si>
    <t>CARGADOR AUTO IRM-2001245</t>
  </si>
  <si>
    <t>CARGADOR AUTO IRM-2001812</t>
  </si>
  <si>
    <t>CARGADOR AUTO MO-011 V8</t>
  </si>
  <si>
    <t>CARGADOR AUTO MOTOMO 3.4 AMP</t>
  </si>
  <si>
    <t>CARGADOR AUTO MOTOROLA V3</t>
  </si>
  <si>
    <t>CARGADOR AUTO RÁPIDO V8 UN PUERTO</t>
  </si>
  <si>
    <t>Cargador Auto Sam Original</t>
  </si>
  <si>
    <t>CARGADOR AUTO SAMSUNG ORIGINAL</t>
  </si>
  <si>
    <t>CARGADOR AUTO TIPO C IVON CC13 3 AMP</t>
  </si>
  <si>
    <t>CARGADOR AUTO TURBO IVON CC28</t>
  </si>
  <si>
    <t>CARGADOR AUTO TURBO MOTO ORIGINAL</t>
  </si>
  <si>
    <t>CARGADOR AUTO USB-C TURBO CC-7490</t>
  </si>
  <si>
    <t>CARGADOR AUTO V8</t>
  </si>
  <si>
    <t>CARGADOR AUTO V8 IVON CC13 3 AMP</t>
  </si>
  <si>
    <t>CARGADOR BATERIA GOPRO COD 2522</t>
  </si>
  <si>
    <t>CARGADOR CASA 10W SOLO ENCHUFE</t>
  </si>
  <si>
    <t>CARGADOR CASA 2.1 AMP + 2 CABLES COMTRONICS</t>
  </si>
  <si>
    <t>CARGADOR CASA 2X1 V8 1 AMP</t>
  </si>
  <si>
    <t>CARGADOR CASA 2X1 V8 2 USB. 2 AM</t>
  </si>
  <si>
    <t>CARGADOR CASA 3 USB. 3.1 AMP</t>
  </si>
  <si>
    <t>CARGADOR CASA 800 MA V8</t>
  </si>
  <si>
    <t>CARGADOR CASA 934 MINI 2 EN 1 SAM</t>
  </si>
  <si>
    <t>CARGADOR CASA ADAPTADOR</t>
  </si>
  <si>
    <t>CARGADOR CASA BASE IRM-06646</t>
  </si>
  <si>
    <t>CARGADOR CASA BASE TIPO IPHONE ORIGINAL MD813Z</t>
  </si>
  <si>
    <t>CARGADOR CASA BUDIX A3305 3.4A</t>
  </si>
  <si>
    <t>CARGADOR CASA CABLE C-C ET-E6256C</t>
  </si>
  <si>
    <t>CARGADOR CASA CABLE C-C IRM-08600</t>
  </si>
  <si>
    <t>CARGADOR CASA CABLE C-IPHONE ET-E6256</t>
  </si>
  <si>
    <t>CARGADOR CASA CABLE C-IPHONE TIPO IPHONE ORIGINAL</t>
  </si>
  <si>
    <t>CARGADOR CASA CABLE USB-C 8983N</t>
  </si>
  <si>
    <t>CARGADOR CASA CABLE USB-C ET-E6120C</t>
  </si>
  <si>
    <t>CARGADOR CASA CABLE USB-C HUAWEI ORIGINAL</t>
  </si>
  <si>
    <t>CARGADOR CASA CABLE USB-C IRM-06148</t>
  </si>
  <si>
    <t>CARGADOR CASA CABLE USB-C IRM-06184</t>
  </si>
  <si>
    <t>CARGADOR CASA CABLE USB-C IRM-07375</t>
  </si>
  <si>
    <t>CARGADOR CASA CABLE USB-C IRM-08178</t>
  </si>
  <si>
    <t>CARGADOR CASA CABLE USB-C IRM-08635</t>
  </si>
  <si>
    <t>CARGADOR CASA CABLE USB-C IRM-2001702</t>
  </si>
  <si>
    <t>CARGADOR CASA CABLE USB-C IRM-2002121</t>
  </si>
  <si>
    <t>CARGADOR CASA CABLE USB-C IRM-2002151</t>
  </si>
  <si>
    <t>CARGADOR CASA CABLE USB-C IRM-7725</t>
  </si>
  <si>
    <t>CARGADOR CASA CABLE USB-C TIPO MOTOROLA</t>
  </si>
  <si>
    <t>CARGADOR CASA CABLE USB-IPHONE</t>
  </si>
  <si>
    <t>CARGADOR CASA CABLE USB-IPHONE 4</t>
  </si>
  <si>
    <t>CARGADOR CASA CABLE USB-IPHONE IRM-06212</t>
  </si>
  <si>
    <t>CARGADOR CASA CABLE USB-IPHONE IRM-07168 CERTIFICADO</t>
  </si>
  <si>
    <t>CARGADOR CASA CABLE USB-IPHONE IRM-07376</t>
  </si>
  <si>
    <t>CARGADOR CASA CABLE USB-IPHONE IRM-07722</t>
  </si>
  <si>
    <t>CARGADOR CASA CABLE USB-IPHONE IRM-2002111</t>
  </si>
  <si>
    <t>CARGADOR CASA CABLE USB-IPHONE IRM-2002142</t>
  </si>
  <si>
    <t>CARGADOR CASA CABLE USB-V3</t>
  </si>
  <si>
    <t>CARGADOR CASA CABLE USB-V8 2 AMP +.CABLE TABLET SAM 108844 - FE</t>
  </si>
  <si>
    <t>CARGADOR CASA CABLE USB-V8 220 UNIV ECONOMIC</t>
  </si>
  <si>
    <t>CARGADOR CASA CABLE USB-V8 220 V</t>
  </si>
  <si>
    <t>CARGADOR CASA CABLE USB-V8 220 V 1 AMP</t>
  </si>
  <si>
    <t>CARGADOR CASA CABLE USB-V8 220 V 2 USB</t>
  </si>
  <si>
    <t>CARGADOR CASA CABLE USB-V8 220 V 2X1</t>
  </si>
  <si>
    <t>CARGADOR CASA CABLE USB-V8 220 VOLT UNIVERSAL CON LED</t>
  </si>
  <si>
    <t>CARGADOR CASA CABLE USB-V8 220V</t>
  </si>
  <si>
    <t>CARGADOR CASA CABLE USB-V8 COD 1114</t>
  </si>
  <si>
    <t>CARGADOR CASA CABLE USB-V8 COD 1146</t>
  </si>
  <si>
    <t>CARGADOR CASA CABLE USB-V8 COD 1176 V8</t>
  </si>
  <si>
    <t>CARGADOR CASA CABLE USB-V8 ET-4235</t>
  </si>
  <si>
    <t>CARGADOR CASA CABLE USB-V8 ET-6712</t>
  </si>
  <si>
    <t>CARGADOR CASA CABLE USB-V8 ET-E4235_P</t>
  </si>
  <si>
    <t>CARGADOR CASA CABLE USB-V8 ET-E6254M</t>
  </si>
  <si>
    <t>CARGADOR CASA CABLE USB-V8 ET-E6328</t>
  </si>
  <si>
    <t>CARGADOR CASA CABLE USB-V8 ET-E6334M</t>
  </si>
  <si>
    <t>CARGADOR CASA CABLE USB-V8 ET-E6363</t>
  </si>
  <si>
    <t>CARGADOR CASA CABLE USB-V8 ET-E6612</t>
  </si>
  <si>
    <t>CARGADOR CASA CABLE USB-V8 ET-E6644</t>
  </si>
  <si>
    <t>CARGADOR CASA CABLE USB-V8 ET-E6657</t>
  </si>
  <si>
    <t>CARGADOR CASA CABLE USB-V8 ET-E6718</t>
  </si>
  <si>
    <t>CARGADOR CASA CABLE USB-V8 ET-E6726 ECONOMICO</t>
  </si>
  <si>
    <t>CARGADOR CASA CABLE USB-V8 ET-E6740B CON PARLANTE</t>
  </si>
  <si>
    <t>CARGADOR CASA CABLE USB-V8 ET-E6743</t>
  </si>
  <si>
    <t>CARGADOR CASA CABLE USB-V8 ET-E6756</t>
  </si>
  <si>
    <t>CARGADOR CASA CABLE USB-V8 GLOBALTRONICS 1A</t>
  </si>
  <si>
    <t>CARGADOR CASA CABLE USB-V8 IRM-02131 TIPO SAMSUNG</t>
  </si>
  <si>
    <t>CARGADOR CASA CABLE USB-V8 IRM-03860</t>
  </si>
  <si>
    <t>CARGADOR CASA CABLE USB-V8 IRM-04536</t>
  </si>
  <si>
    <t>CARGADOR CASA CABLE USB-V8 IRM-05156</t>
  </si>
  <si>
    <t>CARGADOR CASA CABLE USB-V8 IRM-05619</t>
  </si>
  <si>
    <t>CARGADOR CASA CABLE USB-V8 IRM-05875</t>
  </si>
  <si>
    <t>CARGADOR CASA CABLE USB-V8 IRM-05979 CARGA RAPIDA</t>
  </si>
  <si>
    <t>CARGADOR CASA CABLE USB-V8 IRM-06220</t>
  </si>
  <si>
    <t>CARGADOR CASA CABLE USB-V8 IRM-07231</t>
  </si>
  <si>
    <t>CARGADOR CASA CABLE USB-V8 IRM-07233</t>
  </si>
  <si>
    <t>CARGADOR CASA CABLE USB-V8 IRM-07723 VIDVIE</t>
  </si>
  <si>
    <t>CARGADOR CASA CABLE USB-V8 IRM-2002102</t>
  </si>
  <si>
    <t>CARGADOR CASA CABLE USB-V8 IRM-2002132</t>
  </si>
  <si>
    <t>CARGADOR CASA CABLE USB-V8 IRM-2002171 ONEPLUS A6173</t>
  </si>
  <si>
    <t>CARGADOR CASA CABLE USB-V8 IRM-4531</t>
  </si>
  <si>
    <t>CARGADOR CASA CABLE USB-V8 SAMSUNG ORIGINAL</t>
  </si>
  <si>
    <t>CARGADOR CASA CABLE USB-V8 SIYOTEAM A1204Q CARGA RAPIDA</t>
  </si>
  <si>
    <t>CARGADOR CASA CABLE USB-V8 TIPO LG</t>
  </si>
  <si>
    <t>CARGADOR CASA CABLE USB-V8 TIPO SAMSUNG</t>
  </si>
  <si>
    <t>CARGADOR CASA CABLE USB-V8 TIPO SAMSUNG A10</t>
  </si>
  <si>
    <t>CARGADOR CASA CABLE USB-V8/C ET-E6029</t>
  </si>
  <si>
    <t>CARGADOR CASA CABLE USB-V8/C TIPO HUAWEI</t>
  </si>
  <si>
    <t>CARGADOR CASA CABLE USB-V8/C TIPO SAMSUNG</t>
  </si>
  <si>
    <t>CARGADOR CASA CABLE USB-V8/C/IPHONE MOTOMO M006 CERTIFICADO</t>
  </si>
  <si>
    <t>CARGADOR CASA ECONOMICO 1AMP UNIDAD</t>
  </si>
  <si>
    <t>CARGADOR CASA ECONOMICO V8 COD 1114</t>
  </si>
  <si>
    <t>CARGADOR CASA EZRA 3.0 AMP TIPO C EA-21</t>
  </si>
  <si>
    <t>CARGADOR CASA F 250</t>
  </si>
  <si>
    <t>CARGADOR CASA FAST CHARGE 3.0</t>
  </si>
  <si>
    <t>CARGADOR CASA HUAWEI</t>
  </si>
  <si>
    <t xml:space="preserve">CARGADOR CASA HUAWEI CP84 TURBO </t>
  </si>
  <si>
    <t>CARGADOR CASA HUAWEI ORIGINAL TIPO C</t>
  </si>
  <si>
    <t>CARGADOR CASA HW V8</t>
  </si>
  <si>
    <t>CARGADOR CASA INALAMBRICO ET-E0258</t>
  </si>
  <si>
    <t>CARGADOR CASA INALAMBRICO ET-E0259</t>
  </si>
  <si>
    <t>CARGADOR CASA INALAMBRICO IRM-08428 MAGSAFE</t>
  </si>
  <si>
    <t xml:space="preserve">CARGADOR CASA INKAX CD-24 TIPO C </t>
  </si>
  <si>
    <t>CARGADOR CASA INKAX CD-24 V8</t>
  </si>
  <si>
    <t xml:space="preserve">CARGADOR CASA INKAX IPHONE </t>
  </si>
  <si>
    <t xml:space="preserve">CARGADOR CASA INKAX TIPO C </t>
  </si>
  <si>
    <t>CARGADOR CASA INKAX V8</t>
  </si>
  <si>
    <t>CARGADOR CASA IPHONE 4 CABLE SEPARADO</t>
  </si>
  <si>
    <t>CARGADOR CASA IPHONE 5.6 MANZANA</t>
  </si>
  <si>
    <t>CARGADOR CASA IPHONE ADAPTADOR</t>
  </si>
  <si>
    <t>CARGADOR CASA IPHONE CERTIFICADO</t>
  </si>
  <si>
    <t>CARGADOR CASA IPHONE MD814</t>
  </si>
  <si>
    <t>CARGADOR CASA JOYROOM IPHONE L-L221</t>
  </si>
  <si>
    <t>CARGADOR CASA LDNIO QUICK CHARGE 3 USB</t>
  </si>
  <si>
    <t>CARGADOR CASA LDNIO QUICK CHARGE IPHONE</t>
  </si>
  <si>
    <t>CARGADOR CASA LDNIO QUICK CHARGE V8</t>
  </si>
  <si>
    <t>CARGADOR CASA LK-1A</t>
  </si>
  <si>
    <t>CARGADOR CASA MOTOMO CR-001 CARGA RAPIDA</t>
  </si>
  <si>
    <t>CARGADOR CASA MOTOMO MO-006</t>
  </si>
  <si>
    <t>CARGADOR CASA MT V8-C</t>
  </si>
  <si>
    <t>CARGADOR CASA NOKIA</t>
  </si>
  <si>
    <t>CARGADOR CASA ORIGINAL SAMSUNG TIPO C</t>
  </si>
  <si>
    <t>CARGADOR CASA PUNTA FINA TABLET 220 V 100110065 -FE</t>
  </si>
  <si>
    <t>CARGADOR CASA RAPIDO MOTOMO IPAD 2.1 AMP</t>
  </si>
  <si>
    <t>CARGADOR CASA SAM S10 C</t>
  </si>
  <si>
    <t>CARGADOR CASA SAMSUNG ORIGINAL 15W 2A</t>
  </si>
  <si>
    <t>CARGADOR CASA SAMSUNG ORIGINAL TIPO C EP-TA20EWE</t>
  </si>
  <si>
    <t>CARGADOR CASA SOLO ENCHUFE IRM 1265</t>
  </si>
  <si>
    <t>CARGADOR CASA TIPO C HUAWEI ORIGINAL</t>
  </si>
  <si>
    <t>CARGADOR CASA TIPO C TIPO HUAWEI</t>
  </si>
  <si>
    <t>CARGADOR CASA TIPO C TIPO SAMSUNG S10</t>
  </si>
  <si>
    <t xml:space="preserve">CARGADOR CASA TIPO HUB COD 11460 </t>
  </si>
  <si>
    <t>CARGADOR CASA TIPO LG CABLE V8</t>
  </si>
  <si>
    <t>CARGADOR CASA TIPO MOTO 8978N</t>
  </si>
  <si>
    <t>CARGADOR CASA TIPO MOTO CABLE C</t>
  </si>
  <si>
    <t>CARGADOR CASA TIPO MOTO CABLE V8</t>
  </si>
  <si>
    <t>CARGADOR CASA TIPO SAMSUNG</t>
  </si>
  <si>
    <t>CARGADOR CASA TIPO SAMSUNG CONECTOR C</t>
  </si>
  <si>
    <t>CARGADOR CASA TOTU 18W TIPO C</t>
  </si>
  <si>
    <t>CARGADOR CASA USB-C TIPO IPHONE</t>
  </si>
  <si>
    <t>CARGADOR CASA USB-IPHONE 2 X 1 IPHONE 5</t>
  </si>
  <si>
    <t>CARGADOR DE NOTEBOOK MACBOOK PRO 16.5V/3.65A 60W</t>
  </si>
  <si>
    <t>CARGADOR DE PILA 18650 ET-E6023</t>
  </si>
  <si>
    <t>CARGADOR DE PILA IRM-04776</t>
  </si>
  <si>
    <t>CARGADOR DE PILAS COD 2377</t>
  </si>
  <si>
    <t>CARGADOR DE PILAS COD 2491</t>
  </si>
  <si>
    <t>CARGADOR DE PILAS CON DOS PILAS AAA</t>
  </si>
  <si>
    <t>CARGADOR DE PILAS PHILCO 42ULX-09580</t>
  </si>
  <si>
    <t>CARGADOR DE PILAS PHILCO 42ULX-9700</t>
  </si>
  <si>
    <t>CARGADOR DE PILAS PHILCO MAS PILAS RECARGABLES AAX4</t>
  </si>
  <si>
    <t>CARGADOR DOCKING SAM CON CABLE USB</t>
  </si>
  <si>
    <t>Cargador ET-E6064</t>
  </si>
  <si>
    <t>CARGADOR INALAM. ADAPTABLE SAM NEGRO</t>
  </si>
  <si>
    <t>CARGADOR INALAMBRICO CON SOPORTE</t>
  </si>
  <si>
    <t>CARGADOR INALAMBRICO IPHONE</t>
  </si>
  <si>
    <t>CARGADOR INALAMBRICO SAM 6 Y 7+ IPHONE+ OTROS</t>
  </si>
  <si>
    <t>CARGADOR INALAMBRICO SAM BLANCO</t>
  </si>
  <si>
    <t>CARGADOR INALAMBRICO SMARTWATCH</t>
  </si>
  <si>
    <t>CARGADOR INALAMBRICO SXC-05017</t>
  </si>
  <si>
    <t>CARGADOR INLAMBRICO 2 AMP PARA CELULARES</t>
  </si>
  <si>
    <t>CARGADOR MACBOOK 13 16.5V 3.6A MAGSAFE  CONECTOR L 60W APPLE</t>
  </si>
  <si>
    <t>CARGADOR MACBOOK AIR 14.5V 3.1A MAGSAFE CONECTOR L 45W APPLE</t>
  </si>
  <si>
    <t>CARGADOR MACBOOK AIR 14.85V 3.05A MAGSAFE 2 CONECTOR T 45W</t>
  </si>
  <si>
    <t>CARGADOR MACBOOK RETINA 16.5V 3.6A MAGSAFE CONECTOR T 60W APPLE</t>
  </si>
  <si>
    <t>CARGADOR MAGSAFE 1 60 W PARA MACBOOK PRO 9146</t>
  </si>
  <si>
    <t>CARGADOR MAGSAFE 2 60W PARA MACBOOK AIR 9147</t>
  </si>
  <si>
    <t>CARGADOR MESA ANDROID V8</t>
  </si>
  <si>
    <t>CARGADOR MINI 2 EN 1 GALAXY</t>
  </si>
  <si>
    <t>CARGADOR MOTOMO 2 USB Tipo c</t>
  </si>
  <si>
    <t>Cargador Motorola Turbo</t>
  </si>
  <si>
    <t>CARGADOR NOK 6101</t>
  </si>
  <si>
    <t>CARGADOR NOTEBOOK CASA Y AUTO COD 718</t>
  </si>
  <si>
    <t>CARGADOR NOTEBOOK COD 9216</t>
  </si>
  <si>
    <t>CARGADOR NOTEBOOK HP ALTERNATIVO GENERAL POWER</t>
  </si>
  <si>
    <t>CARGADOR NOTEBOOK IRM-00034</t>
  </si>
  <si>
    <t>CARGADOR NOTEBOOK IRM-06037</t>
  </si>
  <si>
    <t>CARGADOR NOTEBOOK OLIDATA ALTERNATIVO GENERAL POWER</t>
  </si>
  <si>
    <t>CARGADOR NOTEBOOK UNIVERSAL ET-E6926</t>
  </si>
  <si>
    <t>CARGADOR PARA MAC TIPO C</t>
  </si>
  <si>
    <t>CARGADOR PARA NOTEBOOK UNIVERSAL CONECTOR HP</t>
  </si>
  <si>
    <t>CARGADOR PARA NOTEBOOK UNIVERSAL CONECTOR LENOVO</t>
  </si>
  <si>
    <t>CARGADOR PARA TABLET 2 AMP</t>
  </si>
  <si>
    <t>CARGADOR RAPIDO MOTOMO IPAD 2.1 AMP</t>
  </si>
  <si>
    <t>CARGADOR REMATE</t>
  </si>
  <si>
    <t>CARGADOR SAM 1.000 AMP + CABLE USB</t>
  </si>
  <si>
    <t>Cargador SAMSUNG mac</t>
  </si>
  <si>
    <t>CARGADOR SOLAR 2 PUERTOS USB</t>
  </si>
  <si>
    <t>Cargador Sony</t>
  </si>
  <si>
    <t>CARGADOR TABLET PUNTA FINA</t>
  </si>
  <si>
    <t>CARGADOR TURBO MOTO</t>
  </si>
  <si>
    <t>CARGADOR UIVERSALO ECONOMICO</t>
  </si>
  <si>
    <t>CARGADOR UNIVERSAL 220. 2 USB</t>
  </si>
  <si>
    <t>CARGADOR UNIVERSAL 3V A 12V SY688</t>
  </si>
  <si>
    <t>CARGADOR UNIVERSAL 65W SLIM HP PUNTA AZUL</t>
  </si>
  <si>
    <t>CARGADOR UNIVERSAL ARAÑA CON USB Y LCD</t>
  </si>
  <si>
    <t>CARGADOR UNIVERSAL CON DISPLAY Y USB</t>
  </si>
  <si>
    <t>CARGADOR UNIVERSAL DE BATERIAS CON PANTALLA LCD BLACK</t>
  </si>
  <si>
    <t>CARGADOR UNIVERSAL DE NOTEBOOK COD 3604</t>
  </si>
  <si>
    <t>CARGADOR UNIVERSAL ECONOMICO</t>
  </si>
  <si>
    <t>CARGADOR UNIVERSAL ET-E6225 3V A 12V</t>
  </si>
  <si>
    <t>CARGADOR UNIVERSAL NOTEBOOK ET-E6699</t>
  </si>
  <si>
    <t>CARGADOR UNIVERSAL NOTEBOOK LA109</t>
  </si>
  <si>
    <t>CARGADOR UNIVERSAL NOTEBOOK TC6067</t>
  </si>
  <si>
    <t>CARGADOR UNIVERSAL NOTEBOOK TR-070</t>
  </si>
  <si>
    <t>CARGADOR USB C UNIVERSAL</t>
  </si>
  <si>
    <t>CARGADOR V3 220V 2.1A</t>
  </si>
  <si>
    <t>CARGADOR V8 12V 1A</t>
  </si>
  <si>
    <t>CARGADOR V8 220V 2.1A</t>
  </si>
  <si>
    <t>CARGADOR V8 LED. 3 SALIDAS</t>
  </si>
  <si>
    <t>CARGADOR V8 VITU</t>
  </si>
  <si>
    <t>CASCO ADULTO BICI COD 19052</t>
  </si>
  <si>
    <t>CASE PARA AIRPOD SILICONA CON GANCHO</t>
  </si>
  <si>
    <t>CCTV 12 CAMARAS COD 2473</t>
  </si>
  <si>
    <t>CCTV 16 CAMARAS COD 1884</t>
  </si>
  <si>
    <t>CD VIRGEN</t>
  </si>
  <si>
    <t>CELULAR DBLUE CON TAPA TLS10</t>
  </si>
  <si>
    <t>CELULAR DBLUE CON TAPA TLS14 AZUL</t>
  </si>
  <si>
    <t>CELULAR DBLUE CON TAPA TLS14 NEGRO</t>
  </si>
  <si>
    <t>CELULAR DBLUE CON TAPA TLS14 ROJO</t>
  </si>
  <si>
    <t>CELULAR DBLUE SIN TAPA TLS09</t>
  </si>
  <si>
    <t>CELULAR ET-N1375 SENIOR BOTON GRANDE</t>
  </si>
  <si>
    <t>CELULAR GRAND X ROSE</t>
  </si>
  <si>
    <t>CELULAR GRAND XL LTE SILVER</t>
  </si>
  <si>
    <t>CELULAR HTC A9S (R)</t>
  </si>
  <si>
    <t>CELULAR (R) REAC.</t>
  </si>
  <si>
    <t>CELULAR HUAWEI P8 LITE</t>
  </si>
  <si>
    <t>CELULAR HUAWEI Y6 II</t>
  </si>
  <si>
    <t>Celular Huawei Y6-II</t>
  </si>
  <si>
    <t>CELULAR INTRO TECH A255 TECLAS GRANDE</t>
  </si>
  <si>
    <t>CELULAR INTRO TECH CON LINTERNA</t>
  </si>
  <si>
    <t>CELULAR INTRO TECH TECLAS GRANDE CON TAPA</t>
  </si>
  <si>
    <t>CELULAR OWN F1035</t>
  </si>
  <si>
    <t>CELULAR SAM J7 PRIME</t>
  </si>
  <si>
    <t>CELULAR SAM S8 ALTER</t>
  </si>
  <si>
    <t>CELULAR SAMSUNG SEGUNDA MANO</t>
  </si>
  <si>
    <t>CELULAR SENIOR DBTLS15BK ALMEJA</t>
  </si>
  <si>
    <t>CELULAR SENIOR DBTLS15R ALMEJA</t>
  </si>
  <si>
    <t>CELULAR SENIOR DBTLS16BK</t>
  </si>
  <si>
    <t>CELULAR SENIOR DBTLS16R</t>
  </si>
  <si>
    <t>CELULAR SENIOR DBTLS18BK</t>
  </si>
  <si>
    <t>CELULAR SENIOR DINON 9359</t>
  </si>
  <si>
    <t>CELULAR SENIOR SHELL BOTON SOS MLAB7322 BLACK</t>
  </si>
  <si>
    <t>CELULAR SENIOR SHELL BOTON SOS MLAB7323 RED</t>
  </si>
  <si>
    <t>CHARGER 12V COLOR</t>
  </si>
  <si>
    <t>CHIP CLARO CON $ 1.000</t>
  </si>
  <si>
    <t>AC CHIP</t>
  </si>
  <si>
    <t>chip entel</t>
  </si>
  <si>
    <t>CHIP MOVISTAR</t>
  </si>
  <si>
    <t>CHIP NEXTEL CON $ 1.000</t>
  </si>
  <si>
    <t>CLORO CLORINDA CONCENTRADO 1 LT</t>
  </si>
  <si>
    <t>CLORO GEL EXCELL 900CC</t>
  </si>
  <si>
    <t>COFRE CASE PARA DISCO DURO SATA 2.5</t>
  </si>
  <si>
    <t>COFRE CASE PARA DISCO DURO SATA USB 3.0 COD 93149</t>
  </si>
  <si>
    <t>COFRE PARA DISCO DURO 2.5 3.0 PHILCO</t>
  </si>
  <si>
    <t>COFRE PARA DISCO DURO 2.5 PHILCO</t>
  </si>
  <si>
    <t>COFRE PARA DISCO DURO 2.5 PHILCO USB 3.0</t>
  </si>
  <si>
    <t>COFRE PARA DISCO DURO 2.5 PHILCO USB C</t>
  </si>
  <si>
    <t>COFRE PARA DISCO DURO 2.5 USB 2.0 COD 3928</t>
  </si>
  <si>
    <t>COFRE PARA DISCO DURO USB 3.0 SATA III 2.5" HDD/SSD</t>
  </si>
  <si>
    <t>COMPUTADOR BICICLETA 15 FUNCIONES</t>
  </si>
  <si>
    <t>CONECTOR IPHONE/IPAD......A HDMI</t>
  </si>
  <si>
    <t>CONECTOR MICRO USB SAM 2....HDMI</t>
  </si>
  <si>
    <t>CONNECTION KIT TABLET</t>
  </si>
  <si>
    <t>CONSOLA PORTATIL 788 JUEGOS ET-Y9627</t>
  </si>
  <si>
    <t>CONTROL DISPARADOR BLUETOOTH ITM-08000</t>
  </si>
  <si>
    <t>CONVERSOR AUDIO - DIGITAL A ANALOGO COD 3294</t>
  </si>
  <si>
    <t>CONVERSOR AUDIO DIGITAL A ANALOGO 1212-16</t>
  </si>
  <si>
    <t>CONVERSOR AUDIO DIGITAL A ANALOGO IRM-03533</t>
  </si>
  <si>
    <t>CONVERSOR DISPLAY PORT A HDMI</t>
  </si>
  <si>
    <t>CONVERSOR HDMI-VGA</t>
  </si>
  <si>
    <t>CONVERSOR USB A SERIAL</t>
  </si>
  <si>
    <t>CONVERTIDO CABLE TIPO C A MULTIPUERTO Y HDMI COD 1733</t>
  </si>
  <si>
    <t>CONVERTIDOR CABLE TYPE C A HDMI</t>
  </si>
  <si>
    <t>CONVERTIDOR DE VIDEO VGA A HDMI COD 1813</t>
  </si>
  <si>
    <t>CONVERTIDOR DE VIDEO VGA A HDMI COD 355</t>
  </si>
  <si>
    <t>CONVERTIDOR HDMI A VGA COD 1760</t>
  </si>
  <si>
    <t>CONVERTIDOR HDMI A VGA DINON</t>
  </si>
  <si>
    <t>CONVERTIDOR VGA A HDMI CON AUDIO</t>
  </si>
  <si>
    <t>COPLA HDMI-HDMI XTECH XTC-333</t>
  </si>
  <si>
    <t>COPLA PLUG-PLUG COD 11405</t>
  </si>
  <si>
    <t>CORTADORA SIM DUAL</t>
  </si>
  <si>
    <t>CORTE DE CHIP</t>
  </si>
  <si>
    <t>Servicio</t>
  </si>
  <si>
    <t>CRONOMETRO DIGITAL</t>
  </si>
  <si>
    <t>CABLE HDMI HEMBRA - HEMBRA COD 6721</t>
  </si>
  <si>
    <t xml:space="preserve">CARGADOR SAMSUNG 2X1 </t>
  </si>
  <si>
    <t>CELU  MOTO G2. 2ª GEN. . PANT 5´. CAMARA 2 Y 8 M.P</t>
  </si>
  <si>
    <t>CELU MOTO G3. 3ª GEN.. PANT 5 ´. CAMARA 13 Y 5 M.P</t>
  </si>
  <si>
    <t>CELUAR ALCATEL POP 3</t>
  </si>
  <si>
    <t>CELULAR ALCATEL 1035</t>
  </si>
  <si>
    <t>CELULAR ALCATEL 1052</t>
  </si>
  <si>
    <t>CELULAR ALCATEL C7</t>
  </si>
  <si>
    <t>CELULAR ALCATEL U5</t>
  </si>
  <si>
    <t>CELULAR AZUMI LTV CLARO</t>
  </si>
  <si>
    <t>CELULAR HUAWEI Y 220 (R)</t>
  </si>
  <si>
    <t>CELULAR HUAWEI Y 360 LIBERADO</t>
  </si>
  <si>
    <t>CELULAR HUAWEI Y3-2</t>
  </si>
  <si>
    <t>CELULAR HUAWEI Y5 II</t>
  </si>
  <si>
    <t>CELULAR HUAWEI Y5-2</t>
  </si>
  <si>
    <t>CELULAR HUAWEI Y625</t>
  </si>
  <si>
    <t>CELULAR HUAWEI Y635</t>
  </si>
  <si>
    <t>CELULAR HUAWEII GR3 4G</t>
  </si>
  <si>
    <t>CELULAR HUAWEY Y 360</t>
  </si>
  <si>
    <t>CELULAR IPHONE 5C A1</t>
  </si>
  <si>
    <t>CELULAR IPHONE 5S A1</t>
  </si>
  <si>
    <t>CELULAR LG K10</t>
  </si>
  <si>
    <t>Celular LG K4-2017</t>
  </si>
  <si>
    <t>CELULAR LG L3 (R)</t>
  </si>
  <si>
    <t>CELULAR LG OPTIMUS PRO (R)</t>
  </si>
  <si>
    <t>CELULAR MOTO E 2º GEN. 4G 8 GB</t>
  </si>
  <si>
    <t>CELULAR MOTO E 2º LTE 4 G</t>
  </si>
  <si>
    <t>CELULAR MOTO E II</t>
  </si>
  <si>
    <t>CELULAR MOTO E R CLARO</t>
  </si>
  <si>
    <t>CELULAR MOTO G</t>
  </si>
  <si>
    <t>CELULAR MOTO G  LTD MEMO AMPLIA R MOVISTAR</t>
  </si>
  <si>
    <t>CELULAR MOTO G 4</t>
  </si>
  <si>
    <t>CELULAR MOTO G3</t>
  </si>
  <si>
    <t>CELULAR MOTO G3 (R)</t>
  </si>
  <si>
    <t>CELULAR MOTO G4 PLAY</t>
  </si>
  <si>
    <t>CELULAR MOTO X PLAY (R)</t>
  </si>
  <si>
    <t>CELULAR MOTO XT 1063 MOTO G 2ª GENERACION</t>
  </si>
  <si>
    <t>CELULAR MOTOROLA PRO</t>
  </si>
  <si>
    <t>CELULAR NOKIA 106</t>
  </si>
  <si>
    <t xml:space="preserve">CELULAR OWN 3ERA EDAD </t>
  </si>
  <si>
    <t>CELULAR OWN F 1021</t>
  </si>
  <si>
    <t>CELULAR SAM CORE 2 LIB</t>
  </si>
  <si>
    <t>CELULAR SAM G 355 CORE 2 LIBERADO</t>
  </si>
  <si>
    <t>CELULAR SAM GRAND NEO</t>
  </si>
  <si>
    <t>CELULAR SAM GRAND NEO PLUS</t>
  </si>
  <si>
    <t>CELULAR SAM GRAND PRIME 3 GB</t>
  </si>
  <si>
    <t>CELULAR SAM GRAND PRIME 3G</t>
  </si>
  <si>
    <t>CELULAR SAM GRAND PRIME LTE -4 GB</t>
  </si>
  <si>
    <t>CELULAR SAM GRAND PROME LTE -4 GB</t>
  </si>
  <si>
    <t>CELULAR SAM J-1</t>
  </si>
  <si>
    <t>Celular Sam J-2016</t>
  </si>
  <si>
    <t>CELULAR SAM J1 ACE 4 GB DUO</t>
  </si>
  <si>
    <t>CELULAR SAM J1 ACE DUO</t>
  </si>
  <si>
    <t>CELULAR SAM J1 ACE LIBERADO</t>
  </si>
  <si>
    <t>CELULAR SAM J7-2016</t>
  </si>
  <si>
    <t>CELULAR SAM NEO PLUS</t>
  </si>
  <si>
    <t>CELULAR SAM S4</t>
  </si>
  <si>
    <t>CELULAR SAM S4 - A1</t>
  </si>
  <si>
    <t>CELULAR SAM S4 B2</t>
  </si>
  <si>
    <t>CELULAR SAMSUMG J2</t>
  </si>
  <si>
    <t>CELULAR SAMSUN GALAXY ACE 4 LIBERADO</t>
  </si>
  <si>
    <t>CELULAR SAMSUNG 3350 R CLARO</t>
  </si>
  <si>
    <t>CELULAR SAMSUNG 5500</t>
  </si>
  <si>
    <t>CELULAR SAMSUNG J1 ACE</t>
  </si>
  <si>
    <t>CELULAR SAMSUNG J5 PRIME</t>
  </si>
  <si>
    <t>CELULAR SAMSUNG S5 A1</t>
  </si>
  <si>
    <t>CELULAR SAMSUNG S5 B2</t>
  </si>
  <si>
    <t>CELULAR SHINE</t>
  </si>
  <si>
    <t>CELULAR ZTE BLADE 2 R CLARO</t>
  </si>
  <si>
    <t>CELULAR ZTE V-793</t>
  </si>
  <si>
    <t>CELULAR ZTE V793</t>
  </si>
  <si>
    <t>DATA CABLE CORTO IPH 5 Y 6 A USB</t>
  </si>
  <si>
    <t>DATA CABLE CORTO IPH 5. 6 A USB</t>
  </si>
  <si>
    <t>DATA CABLE IPH 5.6 SCD-03</t>
  </si>
  <si>
    <t>DATA CABLE IPHONE 5 OREIGINAL</t>
  </si>
  <si>
    <t>DATA CABLE V8</t>
  </si>
  <si>
    <t>DESINFECTANTE ANTIBACTERIAL ORIGINAL</t>
  </si>
  <si>
    <t>DESINFECTANTE IGENIX TRADICIONAL</t>
  </si>
  <si>
    <t>DESINFECTANTE LYSOFORM BEBE 285 CM3</t>
  </si>
  <si>
    <t>DETECTOR BILLETES COD 13671</t>
  </si>
  <si>
    <t>DETECTOR BILLETES COD 4607</t>
  </si>
  <si>
    <t>DETECTOR DE BILLETES PORTATIL COD 3827</t>
  </si>
  <si>
    <t>DISCO DURO 2TB WD PURPLE</t>
  </si>
  <si>
    <t>DISPENSADOR DE AGUA IRM-06265</t>
  </si>
  <si>
    <t>DOCK CARGA SAMSUNG</t>
  </si>
  <si>
    <t>DOCK DE CARGA TIPO C COD 14221</t>
  </si>
  <si>
    <t>DOCK DE CARGA TIPO IPHONE COD 13011</t>
  </si>
  <si>
    <t>DOCK DE CARGA TIPO V8 COD 12967</t>
  </si>
  <si>
    <t>DOCK IPHONE 5.6</t>
  </si>
  <si>
    <t>Dongle iphone 5 y 6 A SMART TV</t>
  </si>
  <si>
    <t>DONGLE RECEPTOR S/CABLE PARA TV</t>
  </si>
  <si>
    <t>Dongle TV a Smart TV</t>
  </si>
  <si>
    <t>DVD VIRGEN</t>
  </si>
  <si>
    <t xml:space="preserve">DVR CAMARA FRONTAL Y TRASERA PARA VEHICULO COD </t>
  </si>
  <si>
    <t>ENCHUFE TRIPLE-LADRON PHILCO COD 1505</t>
  </si>
  <si>
    <t>ESPANTA CUCO</t>
  </si>
  <si>
    <t>ESPEJO CON LUZ COD 113200 QS-988C</t>
  </si>
  <si>
    <t>ESPEJO CON LUZ IRM-07564 MESA</t>
  </si>
  <si>
    <t>ESPEJO CON LUZ IRM-08028</t>
  </si>
  <si>
    <t>ESPEJO CON LUZ IRM-08085 MESA</t>
  </si>
  <si>
    <t>ESPEJO CON LUZ LED G3 CON PORTA CELULAR CO 119250</t>
  </si>
  <si>
    <t>ESPEJO RETROVISOR CON CAMARA COD 255</t>
  </si>
  <si>
    <t>ESPEJO RETROVISOR CON CAMARA DE RETROCESO Y DVR COD 3374</t>
  </si>
  <si>
    <t>ESPEJO RETROVISOR CON CAMARA FRONTAL 63945</t>
  </si>
  <si>
    <t>ESPEJO RETROVISOR CON CAMARA FRONTAL Y TRASERA 63946</t>
  </si>
  <si>
    <t>ESPEJO RETROVISOR CON PANTALLA COD 549</t>
  </si>
  <si>
    <t>ESTABILIZADOR PARA GOPRO COD 1407</t>
  </si>
  <si>
    <t>ESTUCHE BRAZO SPORT GRANDE</t>
  </si>
  <si>
    <t>ESTUCHE BRAZO SPORT MEDIANO</t>
  </si>
  <si>
    <t>EM ESTUCHE TABLET</t>
  </si>
  <si>
    <t>ESTUCHE CELU BRAZO SPORT GRDE</t>
  </si>
  <si>
    <t>ESTUCHE CELU GRANDE BRAZO</t>
  </si>
  <si>
    <t>ESTUCHE CELULAR BRAZO 5.7PULG</t>
  </si>
  <si>
    <t>ESTUCHE CINTURON 4.5"</t>
  </si>
  <si>
    <t>ESTUCHE CINTURON 5"</t>
  </si>
  <si>
    <t>ESTUCHE CINTURON 5.5"</t>
  </si>
  <si>
    <t>ESTUCHE CINTURON CHICO</t>
  </si>
  <si>
    <t>ESTUCHE CINTURON CUERO CUERO IPHONE 6</t>
  </si>
  <si>
    <t>ESTUCHE CINTURON CUERO CUERO IPHONE 6 PLUS</t>
  </si>
  <si>
    <t>ESTUCHE CINTURON CUERO CUERO SAM S6</t>
  </si>
  <si>
    <t>ESTUCHE CINTURON GRANDE</t>
  </si>
  <si>
    <t>ESTUCHE CINTURON MEDIANO</t>
  </si>
  <si>
    <t>ESTUCHE CINTURON MEGA G 2</t>
  </si>
  <si>
    <t>ESTUCHE CINTURON SAM GRAND</t>
  </si>
  <si>
    <t>ESTUCHE DEPERTIVO CELULAR GRANDE GRANDE</t>
  </si>
  <si>
    <t>ESTUCHE DEPORTIVO CELU</t>
  </si>
  <si>
    <t>ESTUCHE DEPORTIVO CHICO 136</t>
  </si>
  <si>
    <t>ESTUCHE IPAD MINI 7.9`</t>
  </si>
  <si>
    <t>ESTUCHE MONO TABLET 7"</t>
  </si>
  <si>
    <t>ESTUCHE PARA TABLET 8 PULGADAS</t>
  </si>
  <si>
    <t>ESTUCHE SOBRE TABLET 7 NEGRO</t>
  </si>
  <si>
    <t>ESTUCHE SOBRE VERTICAL MEDIANO</t>
  </si>
  <si>
    <t>ESTUCHE TABLET 10.1  UNIV. C.TECLADO BLUETOOTH</t>
  </si>
  <si>
    <t>ESTUCHE TABLET 10.1 SAMSUNG P5100</t>
  </si>
  <si>
    <t>ESTUCHE TABLET 10.1 SOBRE</t>
  </si>
  <si>
    <t>ESTUCHE TABLET 10` UNIVERSAL</t>
  </si>
  <si>
    <t>ESTUCHE TABLET 7 SOBRE</t>
  </si>
  <si>
    <t>ESTUCHE TABLET 7" SAM TAB 2 / T 310</t>
  </si>
  <si>
    <t>ESTUCHE TABLET 7´UNIVERSAL C GANCHOS</t>
  </si>
  <si>
    <t xml:space="preserve">ESTUCHE TABLET 8 PULG </t>
  </si>
  <si>
    <t>ESTUCHE TABLET 8 UNIVERSAL</t>
  </si>
  <si>
    <t>ESTUCHE TABLET 8" UNIVERSAL</t>
  </si>
  <si>
    <t xml:space="preserve">ESTUCHE TABLET 8" UNIVERSAL </t>
  </si>
  <si>
    <t>Estuche Tablet Diseño Simpons 9-10"</t>
  </si>
  <si>
    <t>Estuche Tablet Diseño Simpsons 7-8"</t>
  </si>
  <si>
    <t>ESTUCHE TABLET GALAXY TAB E 9.6</t>
  </si>
  <si>
    <t>ESTUCHE TABLET IPAD AIR 9.7´</t>
  </si>
  <si>
    <t>ESTUCHE TABLET IPAD AIR ZAZZLE</t>
  </si>
  <si>
    <t>ESTUCHE TABLET IPAD MINI</t>
  </si>
  <si>
    <t>ESTUCHE TABLET NIÑOS 7</t>
  </si>
  <si>
    <t>ESTUCHE TABLET SAM GALAXY A 9.7´</t>
  </si>
  <si>
    <t>ESTUCHE TABLET SAM TAB 2 / T 550</t>
  </si>
  <si>
    <t>ESTUCHE TABLET UNIVERSAL  C.TECLADO BLUETOOTH</t>
  </si>
  <si>
    <t>ESTUCHE TABLET UNIVERSAL 10"</t>
  </si>
  <si>
    <t>ESTUCHE TABLET UNIVERSAL 8</t>
  </si>
  <si>
    <t>ESTUCHE TABLET UNIVERSAL 8"</t>
  </si>
  <si>
    <t>Estuche tablet universal 8" c teclado</t>
  </si>
  <si>
    <t>ESTUCHE TABLET UNIVERSAL 8¨´</t>
  </si>
  <si>
    <t>ESTUCHE TABLET UNIVERSAL 9 `</t>
  </si>
  <si>
    <t>ESTUCHE UNIVERSAL 7`  - FE  -</t>
  </si>
  <si>
    <t>ESTUCHE UNIVERSAL 7`DISSEÑO C. ELASTICO</t>
  </si>
  <si>
    <t>ESTUCHE UNIVERSAL TABLET 7</t>
  </si>
  <si>
    <t>FLASH LED ANILLO PARA SELFIE COD 965</t>
  </si>
  <si>
    <t>FLASH LED ANILLO PARA SELFIE IRM-07862</t>
  </si>
  <si>
    <t>FLASH PARA CELULAR PLUG</t>
  </si>
  <si>
    <t>FLETE $3.000</t>
  </si>
  <si>
    <t>Sin Tipo</t>
  </si>
  <si>
    <t>FLETE $4.000</t>
  </si>
  <si>
    <t>FLETE $5.000</t>
  </si>
  <si>
    <t>FLIP COVE HUAWEI MATE 10 LITE</t>
  </si>
  <si>
    <t>AC FLIP COVER</t>
  </si>
  <si>
    <t>FLIP COVER ACER Z520</t>
  </si>
  <si>
    <t>FLIP COVER ALCATEL 6036</t>
  </si>
  <si>
    <t>FLIP COVER ALCATEL C5</t>
  </si>
  <si>
    <t>FLIP COVER ALCATEL C7</t>
  </si>
  <si>
    <t>FLIP COVER ALCATEL C9</t>
  </si>
  <si>
    <t>FLIP COVER ALCATEL HERO 2C</t>
  </si>
  <si>
    <t>FLIP COVER ALCATEL IDOL 2 MINI S</t>
  </si>
  <si>
    <t>FLIP COVER ALCATEL IDOL 3 - 5.5</t>
  </si>
  <si>
    <t>FLIP COVER ALCATEL IDOL 3 4.7"</t>
  </si>
  <si>
    <t>FLIP COVER ALCATEL IDOL 3 5.5"</t>
  </si>
  <si>
    <t>FLIP COVER ALCATEL IDOL 5 MINI</t>
  </si>
  <si>
    <t>FLIP COVER ALCATEL IDOL S-6036A</t>
  </si>
  <si>
    <t>FLIP COVER ALCATEL PIXI 3 4"</t>
  </si>
  <si>
    <t>FLIP COVER ALCATEL PIXI 3 4.5"</t>
  </si>
  <si>
    <t>FLIP COVER ALCATEL PIXI 3 5"</t>
  </si>
  <si>
    <t>FLIP COVER ALCATEL PIXI 4 5"</t>
  </si>
  <si>
    <t>FLIP COVER ALCATEL PIXI 4 6"</t>
  </si>
  <si>
    <t>FLIP COVER ALCATEL POP  STAR</t>
  </si>
  <si>
    <t>FLIP COVER ALCATEL POP 2</t>
  </si>
  <si>
    <t xml:space="preserve">FLIP COVER ALCATEL POP 2 </t>
  </si>
  <si>
    <t>FLIP COVER ALCATEL POP 3</t>
  </si>
  <si>
    <t>FLIP COVER ALCATEL POP 3 5"</t>
  </si>
  <si>
    <t>FLIP COVER ALCATEL POP 3 5.5"</t>
  </si>
  <si>
    <t>FLIP COVER ALCATEL POP STAR</t>
  </si>
  <si>
    <t>FLIP COVER AZUMI A 40 C</t>
  </si>
  <si>
    <t>FLIP COVER AZUMI A45TV</t>
  </si>
  <si>
    <t>FLIP COVER AZUMI A500</t>
  </si>
  <si>
    <t>FLIP COVER AZUMI A50C</t>
  </si>
  <si>
    <t>FLIP COVER AZUMI A55T</t>
  </si>
  <si>
    <t>FLIP COVER AZUMI SPEED</t>
  </si>
  <si>
    <t>FLIP COVER HTC 626 DESIRE</t>
  </si>
  <si>
    <t>FLIP COVER HUAWEI  GR5</t>
  </si>
  <si>
    <t>FLIP COVER HUAWEI G PLAY</t>
  </si>
  <si>
    <t>FLIP COVER HUAWEI G PLAY MINI</t>
  </si>
  <si>
    <t>FLIP COVER HUAWEI G7</t>
  </si>
  <si>
    <t>FLIP COVER HUAWEI G730</t>
  </si>
  <si>
    <t>FLIP COVER HUAWEI GR3</t>
  </si>
  <si>
    <t>FLIP COVER HUAWEI GR5</t>
  </si>
  <si>
    <t>FLIP COVER HUAWEI MATE 10 LITE</t>
  </si>
  <si>
    <t>FLIP COVER HUAWEI MATE 20 LITE</t>
  </si>
  <si>
    <t>FLIP COVER HUAWEI MATE 7</t>
  </si>
  <si>
    <t>FLIP COVER HUAWEI MATE 8</t>
  </si>
  <si>
    <t>FLIP COVER HUAWEI MATE 9</t>
  </si>
  <si>
    <t>FLIP COVER HUAWEI MATE 9 LITE</t>
  </si>
  <si>
    <t>FLIP COVER HUAWEI P10 LITE</t>
  </si>
  <si>
    <t>FLIP COVER HUAWEI P10 PLUS</t>
  </si>
  <si>
    <t>FLIP COVER HUAWEI P20</t>
  </si>
  <si>
    <t>FLIP COVER HUAWEI P20 LITE</t>
  </si>
  <si>
    <t>FLIP COVER HUAWEI P20 PRO</t>
  </si>
  <si>
    <t>FLIP COVER HUAWEI P30 LITE</t>
  </si>
  <si>
    <t>FLIP COVER HUAWEI P40 LITE</t>
  </si>
  <si>
    <t>FLIP COVER HUAWEI P8</t>
  </si>
  <si>
    <t>FLIP COVER HUAWEI P8 LITE</t>
  </si>
  <si>
    <t>FLIP COVER HUAWEI P8 LITE 2017</t>
  </si>
  <si>
    <t>FLIP COVER HUAWEI P9</t>
  </si>
  <si>
    <t>FLIP COVER HUAWEI P9 LITE</t>
  </si>
  <si>
    <t>FLIP COVER Huawei P9 Lite</t>
  </si>
  <si>
    <t>FLIP COVER HUAWEI P9 LITE 2017</t>
  </si>
  <si>
    <t>FLIP COVER HUAWEI P9 LITE SMART</t>
  </si>
  <si>
    <t>FLIP COVER HUAWEI PSMART</t>
  </si>
  <si>
    <t>FLIP COVER HUAWEI PSMART 2019</t>
  </si>
  <si>
    <t>FLIP COVER HUAWEI SHOT X</t>
  </si>
  <si>
    <t>FLIP COVER HUAWEI Y3</t>
  </si>
  <si>
    <t>FLIP COVER HUAWEI Y3-II</t>
  </si>
  <si>
    <t>FLIP COVER HUAWEI Y360</t>
  </si>
  <si>
    <t>FLIP COVER HUAWEI Y5-2018</t>
  </si>
  <si>
    <t>FLIP COVER HUAWEI Y5-II</t>
  </si>
  <si>
    <t>FLIP COVER HUAWEI Y6</t>
  </si>
  <si>
    <t>FLIP COVER HUAWEI Y6-2018</t>
  </si>
  <si>
    <t>FLIP COVER HUAWEI Y6-2019</t>
  </si>
  <si>
    <t>FLIP COVER HUAWEI Y6-II</t>
  </si>
  <si>
    <t>Flip Cover Huawei Y6-II</t>
  </si>
  <si>
    <t>FLIP COVER HUAWEI Y600</t>
  </si>
  <si>
    <t>FLIP COVER HUAWEI Y625</t>
  </si>
  <si>
    <t>FLIP COVER HUAWEI Y635</t>
  </si>
  <si>
    <t>FLIP COVER HUAWEI Y6P</t>
  </si>
  <si>
    <t>FLIP COVER HUAWEI Y7</t>
  </si>
  <si>
    <t>FLIP COVER HUAWEI Y7-2018</t>
  </si>
  <si>
    <t>FLIP COVER HUAWEI Y7-2019</t>
  </si>
  <si>
    <t>FLIP COVER HUAWEI Y7P</t>
  </si>
  <si>
    <t>FLIP COVER HUAWEI Y9-2019</t>
  </si>
  <si>
    <t>FLIP COVER HUAWEI Y9-2019 PRIME</t>
  </si>
  <si>
    <t>FLIP COVER HUAWEI Y9S</t>
  </si>
  <si>
    <t>FLIP COVER IDOL 3</t>
  </si>
  <si>
    <t>FLIP COVER IPHON 6 PLUS</t>
  </si>
  <si>
    <t>FLIP COVER IPHONE 4</t>
  </si>
  <si>
    <t>FLIP COVER IPHONE 4 G / S</t>
  </si>
  <si>
    <t>FLIP COVER IPHONE 4G</t>
  </si>
  <si>
    <t>FLIP COVER IPHONE 5</t>
  </si>
  <si>
    <t>FLIP COVER IPHONE 6</t>
  </si>
  <si>
    <t>FLIP COVER IPHONE 6 (4.7)</t>
  </si>
  <si>
    <t>FLIP COVER IPHONE 6 PLUS</t>
  </si>
  <si>
    <t>Flip Cover Iphone 6G</t>
  </si>
  <si>
    <t>FLIP COVER IPHONE 7</t>
  </si>
  <si>
    <t>FLIP COVER IPHONE 7 PLUS</t>
  </si>
  <si>
    <t>FLIP COVER IPHONE X</t>
  </si>
  <si>
    <t>FLIP COVER J1-2016</t>
  </si>
  <si>
    <t>FLIP COVER J3 -2016</t>
  </si>
  <si>
    <t>FLIP COVER J7</t>
  </si>
  <si>
    <t>FLIP COVER LENOVO 2010</t>
  </si>
  <si>
    <t>FLIP COVER LENOVO A7010</t>
  </si>
  <si>
    <t>FLIP COVER LENOVO K5</t>
  </si>
  <si>
    <t>FLIP COVER LENOVO K6</t>
  </si>
  <si>
    <t>FLIP COVER LENOVO VIBE B</t>
  </si>
  <si>
    <t>FLIP COVER LENOVO VIBE C</t>
  </si>
  <si>
    <t>FLIP COVER LG D 690</t>
  </si>
  <si>
    <t>FLIP COVER LG D290 LIFT</t>
  </si>
  <si>
    <t>FLIP COVER LG D680</t>
  </si>
  <si>
    <t>FLIP COVER LG G3</t>
  </si>
  <si>
    <t>FLIP COVER LG G3 MINI</t>
  </si>
  <si>
    <t>FLIP COVER LG G3 STYLUS</t>
  </si>
  <si>
    <t>FLIP COVER LG G4</t>
  </si>
  <si>
    <t>FLIP COVER LG G4 STYLUS</t>
  </si>
  <si>
    <t>FLIP COVER LG G5</t>
  </si>
  <si>
    <t>FLIP COVER LG G6</t>
  </si>
  <si>
    <t>FLIP COVER LG K10</t>
  </si>
  <si>
    <t>FLIP COVER LG K10-2017</t>
  </si>
  <si>
    <t>FLIP COVER LG K20</t>
  </si>
  <si>
    <t>FLIP COVER LG K4-2017</t>
  </si>
  <si>
    <t>FLIP COVER LG K40</t>
  </si>
  <si>
    <t>FLIP COVER LG K5</t>
  </si>
  <si>
    <t>FLIP COVER LG K7</t>
  </si>
  <si>
    <t>FLIP COVER LG K8</t>
  </si>
  <si>
    <t>FLIP COVER LG K8-2017</t>
  </si>
  <si>
    <t>FLIP COVER LG K9</t>
  </si>
  <si>
    <t>FLIP COVER LG L PRIME</t>
  </si>
  <si>
    <t>FLIP COVER LG L PRIME 2D</t>
  </si>
  <si>
    <t>FLIP COVER LG L40</t>
  </si>
  <si>
    <t>FLIP COVER LG LEON</t>
  </si>
  <si>
    <t>FLIP COVER LG LEON 326</t>
  </si>
  <si>
    <t>FLIP COVER LG MAGNA</t>
  </si>
  <si>
    <t>FLIP COVER LG PRIME 2</t>
  </si>
  <si>
    <t>FLIP COVER LG Q60</t>
  </si>
  <si>
    <t>FLIP COVER LG SCREEN</t>
  </si>
  <si>
    <t>FLIP COVER LG STYLE</t>
  </si>
  <si>
    <t>FLIP COVER LG STYLUS 2</t>
  </si>
  <si>
    <t>FLIP COVER LG STYLUS 2  PLUS</t>
  </si>
  <si>
    <t>FLIP COVER LG STYLUS 2 PLUS</t>
  </si>
  <si>
    <t>FLIP COVER LG STYLUS 3</t>
  </si>
  <si>
    <t>FLIP COVER LG X CAM</t>
  </si>
  <si>
    <t>FLIP COVER LG X MAX</t>
  </si>
  <si>
    <t>FLIP COVER LG X POWER</t>
  </si>
  <si>
    <t>FLIP COVER LG X SCREEN</t>
  </si>
  <si>
    <t>FLIP COVER LG X STYLE</t>
  </si>
  <si>
    <t>FLIP COVER LG XCAM</t>
  </si>
  <si>
    <t>FLIP COVER LG XMAX</t>
  </si>
  <si>
    <t>FLIP COVER MERCURY IPHONE 6 PLUS</t>
  </si>
  <si>
    <t>FLIP COVER MERCURY NOTE 4</t>
  </si>
  <si>
    <t>FLIP COVER MERCURY SAMSUNG C0RE 2</t>
  </si>
  <si>
    <t>FLIP COVER MOTO C</t>
  </si>
  <si>
    <t>FLIP COVER MOTO C PLUS</t>
  </si>
  <si>
    <t>FLIP COVER MOTO E</t>
  </si>
  <si>
    <t>FLIP COVER MOTO E2</t>
  </si>
  <si>
    <t>FLIP COVER MOTO E4</t>
  </si>
  <si>
    <t>FLIP COVER MOTO E4 PLUS</t>
  </si>
  <si>
    <t>FLIP COVER MOTO E5</t>
  </si>
  <si>
    <t>FLIP COVER MOTO E6 PLAY</t>
  </si>
  <si>
    <t>FLIP COVER MOTO E6S</t>
  </si>
  <si>
    <t>FLIP COVER MOTO G</t>
  </si>
  <si>
    <t>FLIP COVER MOTO G 1</t>
  </si>
  <si>
    <t>FLIP COVER MOTO G 1º</t>
  </si>
  <si>
    <t>FLIP COVER MOTO G 3ª</t>
  </si>
  <si>
    <t>FLIP COVER MOTO G 720</t>
  </si>
  <si>
    <t>FLIP COVER MOTO G T 1032</t>
  </si>
  <si>
    <t>FLIP COVER MOTO G2</t>
  </si>
  <si>
    <t>FLIP COVER MOTO G3</t>
  </si>
  <si>
    <t>FLIP COVER MOTO G4</t>
  </si>
  <si>
    <t>FLIP COVER MOTO G4 -5.5</t>
  </si>
  <si>
    <t>FLIP COVER MOTO G4 PLAY</t>
  </si>
  <si>
    <t>FLIP COVER MOTO G4 PLUS</t>
  </si>
  <si>
    <t>FLIP COVER MOTO G5</t>
  </si>
  <si>
    <t>FLIP COVER MOTO G5 PLUS</t>
  </si>
  <si>
    <t>FLIP COVER MOTO G5S</t>
  </si>
  <si>
    <t>FLIP COVER MOTO G6 PLAY</t>
  </si>
  <si>
    <t>FLIP COVER MOTO G7 PLAY</t>
  </si>
  <si>
    <t>FLIP COVER MOTO G7 POWER</t>
  </si>
  <si>
    <t>FLIP COVER MOTO G8 PLUS</t>
  </si>
  <si>
    <t>FLIP COVER MOTO G8 POWER</t>
  </si>
  <si>
    <t>FLIP COVER MOTO G8 POWER LITE</t>
  </si>
  <si>
    <t>FLIP COVER MOTO MAXX</t>
  </si>
  <si>
    <t>FLIP COVER MOTO ONE ACTION</t>
  </si>
  <si>
    <t>FLIP COVER MOTO X</t>
  </si>
  <si>
    <t>FLIP COVER MOTO X PLAY</t>
  </si>
  <si>
    <t>FLIP COVER MOTO X STYLE</t>
  </si>
  <si>
    <t>FLIP COVER MOTO X2</t>
  </si>
  <si>
    <t>FLIP COVER MOTO X4</t>
  </si>
  <si>
    <t>FLIP COVER MOTO Z</t>
  </si>
  <si>
    <t>FLIP COVER MOTO Z PLAY</t>
  </si>
  <si>
    <t>FLIP COVER MOTO Z2 PLAY</t>
  </si>
  <si>
    <t>FLIP COVER NOKIA 1</t>
  </si>
  <si>
    <t>FLIP COVER NOKIA 1.1 PLUS</t>
  </si>
  <si>
    <t>FLIP COVER NOKIA 3</t>
  </si>
  <si>
    <t>FLIP COVER NOKIA 3.1</t>
  </si>
  <si>
    <t>FLIP COVER NOKIA 5</t>
  </si>
  <si>
    <t>FLIP COVER NOKIA 5.1 PLUS</t>
  </si>
  <si>
    <t>FLIP COVER NOKIA 6</t>
  </si>
  <si>
    <t>FLIP COVER OT 4035</t>
  </si>
  <si>
    <t>FLIP COVER OWN 4035</t>
  </si>
  <si>
    <t>FLIP COVER OWN 4035 3G</t>
  </si>
  <si>
    <t>FLIP COVER OWN 4035 4G</t>
  </si>
  <si>
    <t>FLIP COVER OWN 4040</t>
  </si>
  <si>
    <t>FLIP COVER OWN 5030</t>
  </si>
  <si>
    <t>FLIP COVER OWN FUN</t>
  </si>
  <si>
    <t>FLIP COVER OWN ONE</t>
  </si>
  <si>
    <t>FLIP COVER OWN SELFIE</t>
  </si>
  <si>
    <t>FLIP COVER P8 LITE</t>
  </si>
  <si>
    <t>FLIP COVER PIXI 3 4.5"</t>
  </si>
  <si>
    <t>FLIP COVER REVERSIBLE OWN 5030</t>
  </si>
  <si>
    <t>FLIP COVER ROBIN IPHONE 4 COLORES</t>
  </si>
  <si>
    <t>FLIP COVER SAM A01</t>
  </si>
  <si>
    <t>FLIP COVER SAM A10</t>
  </si>
  <si>
    <t>FLIP COVER SAM A10S</t>
  </si>
  <si>
    <t>FLIP COVER SAM A11</t>
  </si>
  <si>
    <t>FLIP COVER SAM A20</t>
  </si>
  <si>
    <t>FLIP COVER SAM A20S</t>
  </si>
  <si>
    <t>FLIP COVER SAM A21S</t>
  </si>
  <si>
    <t>FLIP COVER SAM A3-2016</t>
  </si>
  <si>
    <t>FLIP COVER SAM A30</t>
  </si>
  <si>
    <t>FLIP COVER SAM A30S</t>
  </si>
  <si>
    <t>FLIP COVER SAM A31</t>
  </si>
  <si>
    <t>FLIP COVER SAM A5</t>
  </si>
  <si>
    <t>FLIP COVER SAM A5-2016</t>
  </si>
  <si>
    <t>FLIP COVER SAM A50</t>
  </si>
  <si>
    <t>FLIP COVER SAM A51</t>
  </si>
  <si>
    <t>FLIP COVER SAM A7-2016</t>
  </si>
  <si>
    <t>FLIP COVER SAM A7-2017</t>
  </si>
  <si>
    <t>FLIP COVER SAM A70</t>
  </si>
  <si>
    <t>FLIP COVER SAM A71</t>
  </si>
  <si>
    <t>FLIP COVER SAM A8</t>
  </si>
  <si>
    <t>FLIP COVER SAM A8 PLUS</t>
  </si>
  <si>
    <t>FLIP COVER SAM A80</t>
  </si>
  <si>
    <t>FLIP COVER SAM ACE 4</t>
  </si>
  <si>
    <t>FLIP COVER SAM CORE</t>
  </si>
  <si>
    <t>FLIP COVER SAM CORE 2</t>
  </si>
  <si>
    <t>FLIP COVER SAM CORE PRIME</t>
  </si>
  <si>
    <t>FLIP COVER SAM E5</t>
  </si>
  <si>
    <t>FLIP COVER SAM E7</t>
  </si>
  <si>
    <t>FLIP COVER SAM G 313</t>
  </si>
  <si>
    <t>FLIP COVER SAM G 360</t>
  </si>
  <si>
    <t>FLIP COVER SAM G 530</t>
  </si>
  <si>
    <t>FLIP COVER SAM G360</t>
  </si>
  <si>
    <t>FLIP COVER SAM GRAND</t>
  </si>
  <si>
    <t>FLIP COVER SAM GRAND 9080</t>
  </si>
  <si>
    <t>FLIP COVER SAM GRAND PRIME</t>
  </si>
  <si>
    <t>FLIP COVER SAM GRAND PRIME G 530</t>
  </si>
  <si>
    <t>FLIP COVER SAM J1</t>
  </si>
  <si>
    <t>FLIP COVER SAM J1 ACE</t>
  </si>
  <si>
    <t>FLIP COVER SAM J1-2016</t>
  </si>
  <si>
    <t>FLIP COVER SAM J2</t>
  </si>
  <si>
    <t>FLIP COVER SAM J2 CORE</t>
  </si>
  <si>
    <t>FLIP COVER SAM J2 PRIME</t>
  </si>
  <si>
    <t>FLIP COVER SAM J2 Prime</t>
  </si>
  <si>
    <t>FLIP COVER SAM J2-2016</t>
  </si>
  <si>
    <t>FLIP COVER SAM J3</t>
  </si>
  <si>
    <t>FLIP COVER SAM J3-2016</t>
  </si>
  <si>
    <t>FLIP COVER SAM J4</t>
  </si>
  <si>
    <t>FLIP COVER SAM J4 PLUS</t>
  </si>
  <si>
    <t>FLIP COVER SAM J5</t>
  </si>
  <si>
    <t>FLIP COVER SAM J5 PRIME</t>
  </si>
  <si>
    <t>FLIP COVER SAM J5 PRO</t>
  </si>
  <si>
    <t>FLIP COVER SAM J5-2016</t>
  </si>
  <si>
    <t>FLIP COVER SAM J6</t>
  </si>
  <si>
    <t>FLIP COVER SAM J6 PLUS</t>
  </si>
  <si>
    <t>FLIP COVER SAM J7</t>
  </si>
  <si>
    <t>FLIP COVER SAM J7 NEO</t>
  </si>
  <si>
    <t>FLIP COVER SAM J7 PRIME</t>
  </si>
  <si>
    <t>FLIP COVER SAM J7 PRO</t>
  </si>
  <si>
    <t>FLIP COVER SAM J7-2016</t>
  </si>
  <si>
    <t>FLIP COVER SAM J8</t>
  </si>
  <si>
    <t>FLIP COVER SAM L. PRIME 2</t>
  </si>
  <si>
    <t>FLIP COVER SAM NOTE 10 PLUS</t>
  </si>
  <si>
    <t>FLIP COVER SAM NOTE 8</t>
  </si>
  <si>
    <t>FLIP COVER SAM NOTE 9</t>
  </si>
  <si>
    <t>FLIP COVER SAM S10</t>
  </si>
  <si>
    <t>FLIP COVER SAM S10 PLUS</t>
  </si>
  <si>
    <t>FLIP COVER SAM S4</t>
  </si>
  <si>
    <t>FLIP COVER SAM S5</t>
  </si>
  <si>
    <t>FLIP COVER SAM S6</t>
  </si>
  <si>
    <t>FLIP COVER SAM S6  EDGE</t>
  </si>
  <si>
    <t>FLIP COVER SAM S6 EDGE</t>
  </si>
  <si>
    <t>FLIP COVER SAM S6 EDGE PLUS</t>
  </si>
  <si>
    <t>FLIP COVER SAM S7</t>
  </si>
  <si>
    <t>FLIP COVER SAM S7 EDGE</t>
  </si>
  <si>
    <t>Flip Cover Sam S8</t>
  </si>
  <si>
    <t>FLIP COVER SAM S8</t>
  </si>
  <si>
    <t>CLEAR VIEW</t>
  </si>
  <si>
    <t>FLIP COVER SAM S8 PLUS</t>
  </si>
  <si>
    <t>FLIP COVER SAM S9</t>
  </si>
  <si>
    <t>FLIP COVER SAM S9 PLUS</t>
  </si>
  <si>
    <t>FLIP COVER SHELL SAM CORE PRIME</t>
  </si>
  <si>
    <t>FLIP COVER SONY AQUA M2</t>
  </si>
  <si>
    <t>FLIP COVER SONY AQUA M4</t>
  </si>
  <si>
    <t>FLIP COVER SONY C3</t>
  </si>
  <si>
    <t>FLIP COVER SONY C4</t>
  </si>
  <si>
    <t>FLIP COVER SONY C5</t>
  </si>
  <si>
    <t>FLIP COVER SONY C5 ULTRA</t>
  </si>
  <si>
    <t>FLIP COVER SONY E3</t>
  </si>
  <si>
    <t>FLIP COVER SONY E4</t>
  </si>
  <si>
    <t>FLIP COVER SONY E4G</t>
  </si>
  <si>
    <t>FLIP COVER SONY E5</t>
  </si>
  <si>
    <t>FLIP COVER SONY L1</t>
  </si>
  <si>
    <t>FLIP COVER SONY M2 AQUA</t>
  </si>
  <si>
    <t>FLIP COVER SONY M4</t>
  </si>
  <si>
    <t>FLIP COVER SONY M4 AQUA</t>
  </si>
  <si>
    <t>FLIP COVER SONY XA</t>
  </si>
  <si>
    <t>FLIP COVER SONY XA ULTRA</t>
  </si>
  <si>
    <t>Flip Cover Sony XA ULTRA</t>
  </si>
  <si>
    <t>FLIP COVER SONY XA1 ULTRA</t>
  </si>
  <si>
    <t>FLIP COVER SONY Z1</t>
  </si>
  <si>
    <t>FLIP COVER SONY Z3 MINI</t>
  </si>
  <si>
    <t>FLIP COVER SONY Z4</t>
  </si>
  <si>
    <t>FLIP COVER SONY Z5</t>
  </si>
  <si>
    <t>FLIP COVER SONY Z5 PREMIUM</t>
  </si>
  <si>
    <t>FLIP COVER STYLE</t>
  </si>
  <si>
    <t>FLIP COVER UN VISOR SAMSUNG I9500 S4</t>
  </si>
  <si>
    <t>FLIP COVER UNIVERAL MOD 6</t>
  </si>
  <si>
    <t>FLIP COVER UNIVERSAL</t>
  </si>
  <si>
    <t>FLIP COVER UNIVERSAL 5.</t>
  </si>
  <si>
    <t>FLIP COVER UNIVERSAL 5.5</t>
  </si>
  <si>
    <t>FLIP COVER UNIVERSAL 5.5"</t>
  </si>
  <si>
    <t>FLIP COVER UNIVERSAL MOD 2</t>
  </si>
  <si>
    <t>FLIP COVER UNIVERSAL MOD 3</t>
  </si>
  <si>
    <t>FLIP COVER UNIVERSAL MOD 4</t>
  </si>
  <si>
    <t>FLIP COVER UNIVERSAL MOD 5</t>
  </si>
  <si>
    <t>FLIP COVER VISOR MOTOMO SONY XPERIA Z2</t>
  </si>
  <si>
    <t>FLIP COVER XIAOMI REDMI NOTE 9</t>
  </si>
  <si>
    <t>FLIP COVER ZTE A 460</t>
  </si>
  <si>
    <t>FLIP COVER ZTE BLADE 2</t>
  </si>
  <si>
    <t>FLIP COVER ZTE BLADE 3</t>
  </si>
  <si>
    <t>FLIP COVER ZTE L2</t>
  </si>
  <si>
    <t>FLIP COVER ZTE L3</t>
  </si>
  <si>
    <t>FLIP COVER ZTE Z460</t>
  </si>
  <si>
    <t>FLIP CPVER LG G4</t>
  </si>
  <si>
    <t>FLOP COVER  MOTOMO SHELL LG MAGNA</t>
  </si>
  <si>
    <t>FOCO ARO IRM-07120</t>
  </si>
  <si>
    <t>FOCO CON SENSOR DE MOVIMIENTO ET-L0820S</t>
  </si>
  <si>
    <t>EM LINTERNA</t>
  </si>
  <si>
    <t>FOCO HALOGENO LED 25 WATTS C/PANEL SOLAR COD 3225</t>
  </si>
  <si>
    <t>FORRO DE VOLANTE</t>
  </si>
  <si>
    <t>FREIDORA DE AIRE CALIENTE HEAGER HG-5286</t>
  </si>
  <si>
    <t>FUNDA  IMPERMEABLE ACQUA IPHONE</t>
  </si>
  <si>
    <t>FUNDA ANTIGOLPE 10'</t>
  </si>
  <si>
    <t>FUNDA IPAD AIR 2</t>
  </si>
  <si>
    <t>FUNDA NETBOOK DISEÑO COD 4940</t>
  </si>
  <si>
    <t>FUNDA PARA CELULAR IMPERMEABLE IRM-05382</t>
  </si>
  <si>
    <t>AC PORTA CELULAR</t>
  </si>
  <si>
    <t>FUNDA PARA TABLET 10" CON TECLADO USB COD 920030</t>
  </si>
  <si>
    <t>FUNDA PARA TABLET 7" CON TECLADO COD 4991</t>
  </si>
  <si>
    <t>FUNDA SUMERGIBLE COD 897</t>
  </si>
  <si>
    <t>FUNDA TABLET 10"</t>
  </si>
  <si>
    <t>FUNDA TABLET 7 PULGADAS</t>
  </si>
  <si>
    <t>FUNDA TABLET 7"</t>
  </si>
  <si>
    <t>FUNDA TABLET 7" A 10"</t>
  </si>
  <si>
    <t>FUNDA TABLET 9" A 10"</t>
  </si>
  <si>
    <t>FUNDA TABLET SAM T230</t>
  </si>
  <si>
    <t>FUNDA TABLET SAM TAB A 10.1 SILICONA</t>
  </si>
  <si>
    <t>FUNDA TABLET SAM TAB A 8 SILICONA</t>
  </si>
  <si>
    <t>GALAXY TAB CONNECT KIT</t>
  </si>
  <si>
    <t>GAMEPAD 4 GATILLOS AK66</t>
  </si>
  <si>
    <t>GAMEPAD CON BOTON L Y R TC5603</t>
  </si>
  <si>
    <t>GAMEPAD L1-R1 IRM-06292 VENTILADOR</t>
  </si>
  <si>
    <t>GAMEPAD PARA CELULAR TC5598</t>
  </si>
  <si>
    <t>GAMEPAD R1-L1 AK-16</t>
  </si>
  <si>
    <t>GAMEPAD R1-L1 IRM-06181</t>
  </si>
  <si>
    <t>GAMEPAD R1-L1 Y ANALOGO COD 1011</t>
  </si>
  <si>
    <t>GAMEPAD R1-L1 Y ANALOGO COD 13627</t>
  </si>
  <si>
    <t>GAMEPAD R1-L1 Y ANALOGO COD 673</t>
  </si>
  <si>
    <t>GAMEPAD R1-L1 Y ANALOGO IRM-05910</t>
  </si>
  <si>
    <t>GOMA BORDE COLOR J5 PRIME</t>
  </si>
  <si>
    <t>GOMA BRILLANTE BORDE BLCO SAM 9000 NOTE 1</t>
  </si>
  <si>
    <t>GOMA IPAD</t>
  </si>
  <si>
    <t>GOOGLE CHROMECAST 3GEN</t>
  </si>
  <si>
    <t>GOOGLE CHROMECAST TERCERA GENERACION</t>
  </si>
  <si>
    <t>GPS TRACKER 303F 2G</t>
  </si>
  <si>
    <t>GPS TRACKER COD 2942</t>
  </si>
  <si>
    <t>GPS TRACKER UBICACION VEHICULO TT-548 + CHIP</t>
  </si>
  <si>
    <t>GRAMERA COD 2749</t>
  </si>
  <si>
    <t>GRAMERA COD 482</t>
  </si>
  <si>
    <t>GRAMERA COD RST-500 COD 3346</t>
  </si>
  <si>
    <t>GRAMERA IRM-00103</t>
  </si>
  <si>
    <t>HDMI WIFI CON MIRACAST</t>
  </si>
  <si>
    <t>HOLDER REJILLA MAGNETICO</t>
  </si>
  <si>
    <t>HOLDER REJILLA PREMIUM</t>
  </si>
  <si>
    <t>HUB</t>
  </si>
  <si>
    <t>HUB 4 PUERTOS 2.0 COD 738</t>
  </si>
  <si>
    <t>HUB 4 PUERTOS COD 2293</t>
  </si>
  <si>
    <t>HUB 4 PUERTOS USB 2.0</t>
  </si>
  <si>
    <t>IRM-01268</t>
  </si>
  <si>
    <t>HUB 4 PUERTOS USB 3.0 COD 2437</t>
  </si>
  <si>
    <t>HUB 7 PUERTOS 2.0 COD 1220</t>
  </si>
  <si>
    <t>HUB CARGA 4 PUERTOS USB IRM-04392</t>
  </si>
  <si>
    <t>HUB ENERGIZADO 4 USB 4.4 LDNIO</t>
  </si>
  <si>
    <t>HUB USB 2.0 4 PUERTOS HT-1011</t>
  </si>
  <si>
    <t>HUB USB 2.0 4 PUERTOS IRM-08041</t>
  </si>
  <si>
    <t>HUB USB 2.0 HT1003 3 PUERTOS Y LECTOR DE MICRO SD</t>
  </si>
  <si>
    <t>HUB USB 3.0 4 PUERTOS</t>
  </si>
  <si>
    <t>HUB USB 3.0 4 PUERTOS IRM-06688</t>
  </si>
  <si>
    <t>HUB USB 4 PUERTOS IRM-04393</t>
  </si>
  <si>
    <t>HUB USB 4 PUERTOS PHILCO 29USBHB24B</t>
  </si>
  <si>
    <t>HUB USB 7 PUERTOS DBLUE DBHUB061</t>
  </si>
  <si>
    <t>HUB USB ET-E0314</t>
  </si>
  <si>
    <t>HUB USB MH-100</t>
  </si>
  <si>
    <t>HUB USB TIPO C 2 PUERTOS Y LECTOR SD/MICRO SD COD 2939</t>
  </si>
  <si>
    <t>HUB USB TIPO C 2 PUERTOS-LECTOR SD/MICRO-HDMI</t>
  </si>
  <si>
    <t>HUB USB TIPO C 4 PUERTOS T-818A</t>
  </si>
  <si>
    <t>HUB USB TIPO C 4 PUERTOS XL-5011</t>
  </si>
  <si>
    <t>HUB USB-TIPO C COD 1512</t>
  </si>
  <si>
    <t>IGENIX CLOROGEL 900 ML</t>
  </si>
  <si>
    <t>IMPRESORA TERMICA COD 7555 USB</t>
  </si>
  <si>
    <t>JOYPAD CON 64 JGOS</t>
  </si>
  <si>
    <t>JOYSTICK BLUETOOTH ET-Y9PS50B</t>
  </si>
  <si>
    <t>JOYSTICK BLUETOOTH ET-Y9PS56B</t>
  </si>
  <si>
    <t>JOYSTICK BLUETOOTH ET-Y9PS58B</t>
  </si>
  <si>
    <t>JOYSTICK BLUETOOTH IRM-07149</t>
  </si>
  <si>
    <t>JOYSTICK BLUETOOTH PARA CELULARES</t>
  </si>
  <si>
    <t>JOYSTICK BLUETOOTH PARA CELULARES EWTTO</t>
  </si>
  <si>
    <t>JOYSTICK BLUETOOTH ULTRA PG910</t>
  </si>
  <si>
    <t xml:space="preserve">JOYSTICK INALAMBRICO TRUST YULA GXT 545 PC/PS3 </t>
  </si>
  <si>
    <t>JOYSTICK MINI PARA SMARTPHONE BLUETOOTH</t>
  </si>
  <si>
    <t>JOYSTICK PARA CELULAR 883</t>
  </si>
  <si>
    <t>JOYSTICK PARA CELULAR COD 1782</t>
  </si>
  <si>
    <t>JOYSTICK PARA CELULAR COD 2227</t>
  </si>
  <si>
    <t>JOYSTICK PARA CELULAR COD 40</t>
  </si>
  <si>
    <t>JOYSTICK PARA PC SNES</t>
  </si>
  <si>
    <t>JOYSTICK PARA SMARTPHONE 734</t>
  </si>
  <si>
    <t>JOYSTICK PARA SMARTPHONE COD 1474</t>
  </si>
  <si>
    <t>JOYSTICK PC C1001</t>
  </si>
  <si>
    <t>JOYSTICK PS4 ALTERNATIVO</t>
  </si>
  <si>
    <t>JOYSTICK USB COD 1777</t>
  </si>
  <si>
    <t>JOYSTICK USB EUROCASE BAT EUGA-30</t>
  </si>
  <si>
    <t>JOYSTICK USB IRM-04602 TIPO SNES</t>
  </si>
  <si>
    <t>JOYSTICK USB UCOM UC-JS760</t>
  </si>
  <si>
    <t>JUMBO TOALLA WINROLL PACK 190 MTS X2</t>
  </si>
  <si>
    <t>KARAOKE USB. SD. FM C.REM. 20 WATT</t>
  </si>
  <si>
    <t>KIT ACCESORIOS GOPRO COD 1666</t>
  </si>
  <si>
    <t>KIT ACCESORIOS GOPRO COD 2928 51 PIEZAS</t>
  </si>
  <si>
    <t>KIT ARO DE LUZ + TRIPODE COD D666</t>
  </si>
  <si>
    <t>KIT ARO DE LUZ CON PORTA CELULAR Y MICROFONO COD 112606</t>
  </si>
  <si>
    <t>KIT ARO DE LUZ MAS TRIPODE COD 329</t>
  </si>
  <si>
    <t>KIT CARGADOR TABLET SAM 3 X 1 CASA</t>
  </si>
  <si>
    <t>KIT DE LIMPIEZA IRM-08499</t>
  </si>
  <si>
    <t>KIT GAMER TECLADO. MOUSE. AUDIFONOS Y MOUSEPAD 119866</t>
  </si>
  <si>
    <t>KIT LIMPIA LCD 3 EN 1 COD 13198</t>
  </si>
  <si>
    <t>KIT MANOS LIBRES BLUETOOTH</t>
  </si>
  <si>
    <t>KIT OTG 3X1 MICRO USB A USB +MC + SD + TF</t>
  </si>
  <si>
    <t>LAMINA 360 SAM NOTE 8</t>
  </si>
  <si>
    <t>AC VIDRIO 5D</t>
  </si>
  <si>
    <t>LAMINA 360 SAM S10</t>
  </si>
  <si>
    <t>LAMINA 360 SAM S6 EDGE</t>
  </si>
  <si>
    <t>AC LAMINA STICKER</t>
  </si>
  <si>
    <t>LAMINA 360 SAM S7 EDGE</t>
  </si>
  <si>
    <t>LAMINA 360 SAM S8</t>
  </si>
  <si>
    <t>LAMINA 360 SAM S8 PLUS</t>
  </si>
  <si>
    <t>LAMINA 360 SAM S9</t>
  </si>
  <si>
    <t>LAMINA 360 SAM S9 PLUS</t>
  </si>
  <si>
    <t>LAMINA ANTIESPIA HUAWEI P20 LITE</t>
  </si>
  <si>
    <t>LAMINA ANTIESPIA IPHONE 11</t>
  </si>
  <si>
    <t>LAMINA ANTIESPIA IPHONE 11 PRO</t>
  </si>
  <si>
    <t>LAMINA ANTIESPIA IPHONE 7</t>
  </si>
  <si>
    <t>LAMINA ANTIESPIA IPHONE 7 PLUS</t>
  </si>
  <si>
    <t>LAMINA ANTIESPIA IPHONE XR</t>
  </si>
  <si>
    <t>LAMINA ANTIESPIA IPHONE XS MAX</t>
  </si>
  <si>
    <t>LAMINA ANTIESPIA SAM J4 PLUS</t>
  </si>
  <si>
    <t>LAMINA ANTIESPIA SAM J6 PLUS</t>
  </si>
  <si>
    <t>LAMINA ANTIESPIA SAM S8</t>
  </si>
  <si>
    <t>LAMINA ANTIESPIA SAM S9</t>
  </si>
  <si>
    <t>LAMINA BORDE METAL IPHONE 6 PLUS</t>
  </si>
  <si>
    <t>LAMINA DE VIDRIO TRASERA IPHONE 8</t>
  </si>
  <si>
    <t>LAMINA DE VIDRIO TRASERA IPHONE X</t>
  </si>
  <si>
    <t>LAMINA GEL SAM S8</t>
  </si>
  <si>
    <t>LAMINA GEL CON PEGAMENTO COMPLETO</t>
  </si>
  <si>
    <t>LAMINA HIDROGEL</t>
  </si>
  <si>
    <t>LAMINA PET SAM S6 EDGE</t>
  </si>
  <si>
    <t>AC LAMINA MEMBRANA FLEXIBLE</t>
  </si>
  <si>
    <t>LAMINA PEGAMENTO COMPLETO</t>
  </si>
  <si>
    <t>LAMINA PET SAM S7 EDGE</t>
  </si>
  <si>
    <t>LAMINA PET SAM S9</t>
  </si>
  <si>
    <t>LAMINA PET SAM S9 PLUS</t>
  </si>
  <si>
    <t>LAMINA STICKER  INST. SAM S6 EDGE</t>
  </si>
  <si>
    <t>LAMINA STICKER INST. IPHONE 6</t>
  </si>
  <si>
    <t>LAMINA STICKER INST. IPHONE 7 PLUS</t>
  </si>
  <si>
    <t>LAMINA STICKER INST. IPHONE 7G</t>
  </si>
  <si>
    <t>LAMINA STICKER INST. SAM GRAND PRIME</t>
  </si>
  <si>
    <t>LAMINA STICKER INST. SAM J3</t>
  </si>
  <si>
    <t>LAMINA STICKER INST. SAM J5</t>
  </si>
  <si>
    <t>LAMINA STICKER INST. SAM J5 PRIME</t>
  </si>
  <si>
    <t>LAMINA STICKER INST. SAM J5-2016</t>
  </si>
  <si>
    <t>LAMINA STICKER INST. SAM J7</t>
  </si>
  <si>
    <t>LAMINA STICKER INST. SAM J7 PRIME</t>
  </si>
  <si>
    <t>LAMINA STICKER INST. SAM J7-2016</t>
  </si>
  <si>
    <t>LAMINA STICKER INST. SAM S7 EDGE</t>
  </si>
  <si>
    <t>LAMPARA 360 LED. RADIO RECARGABLE 220 V</t>
  </si>
  <si>
    <t>LAMPARA CAMPING ET-L6123S</t>
  </si>
  <si>
    <t>LAMPARA CAMPING ET-L6127S</t>
  </si>
  <si>
    <t>LAMPARA DE EMERGENCIA PARA ESCRITORIO</t>
  </si>
  <si>
    <t>LAMPARA LUZ DE NOCHE</t>
  </si>
  <si>
    <t>LAMPARA PARA NOTEBOOK ULTRA</t>
  </si>
  <si>
    <t>LAMPARA PROYECTORA DE ESTRELLAS COD 3005</t>
  </si>
  <si>
    <t>LAMPARA RECARGABLE 30 LED</t>
  </si>
  <si>
    <t>LAMPARA SOLAR ET-L0907S-20W</t>
  </si>
  <si>
    <t>LAMPARA SUNSET IRM-08661</t>
  </si>
  <si>
    <t>LAMPARA SUNSET IRM-08870</t>
  </si>
  <si>
    <t>LAPIZ TACTIL JOYROOM JR-BP560</t>
  </si>
  <si>
    <t>LAPIZ TACTIL PUNTA FINA</t>
  </si>
  <si>
    <t>LAPIZ TACTIL STYLUS 42840</t>
  </si>
  <si>
    <t>LAPIZ TOUCH CORTO</t>
  </si>
  <si>
    <t>LAPIZ TOUCH Y PASTA</t>
  </si>
  <si>
    <t>LECTOR CODIGO DE BARRA COD 2198</t>
  </si>
  <si>
    <t>LECTOR DE MICRO SD COD 2478 ECONOMICO</t>
  </si>
  <si>
    <t>LECTOR DE TARJETAS USB IRM-4396</t>
  </si>
  <si>
    <t>LECTOR SD/MICRO SD USB-V8 IRM-05377</t>
  </si>
  <si>
    <t>LECTOR TARJETA 5X1 USB 2.0</t>
  </si>
  <si>
    <t>LECTOR TARJETA IPHONE ADATA AI-910</t>
  </si>
  <si>
    <t>LECTOR USB MICRO SD COD 15871</t>
  </si>
  <si>
    <t>LECTOR/GRABADOR DVD EXTERNO USB PUOST</t>
  </si>
  <si>
    <t>LED DECORATIVO AZUL COD 900</t>
  </si>
  <si>
    <t>LED DECORATIVO ROJO COD 903</t>
  </si>
  <si>
    <t>LED DECORATIVO VERDE COD 902</t>
  </si>
  <si>
    <t>LENTE GRAN ANGULAR SELFIE COD 3384</t>
  </si>
  <si>
    <t>LENTE OJO DE PEZ GRAN ANGULAR</t>
  </si>
  <si>
    <t>LENTE OJO DE PEZ PARA CELULAR COD 346</t>
  </si>
  <si>
    <t>LENTE PARA CELULAR 4 EN 1 COD 9700</t>
  </si>
  <si>
    <t>LENTE PARA CELULAR. MACRO. OJO DE PEZ Y GRAN ANGULAR IRM-1957</t>
  </si>
  <si>
    <t>LENTE PARA SELFIE DOS EN UNO COD 10129</t>
  </si>
  <si>
    <t>LENTE VIRTUAL 3D PARA SMARTPHONE</t>
  </si>
  <si>
    <t>LETRERO ELECTRONICO PROGRAMABLE 1 MT</t>
  </si>
  <si>
    <t>LIMPIA LCD COD 13198</t>
  </si>
  <si>
    <t>LIMPIA PANTALLA CON GEL</t>
  </si>
  <si>
    <t>LIMPIA PISOS POETT 900 ML</t>
  </si>
  <si>
    <t>LIMPIA PISOS VIRUTEX BEBE 1.8 LTS</t>
  </si>
  <si>
    <t>LIMPIA PISOS VIRUTEX LVANDA 1.8 LTS</t>
  </si>
  <si>
    <t>LINTERNA CON GENERADOR ELECTRICO</t>
  </si>
  <si>
    <t>LINTERNA CON RADIO COD 3861</t>
  </si>
  <si>
    <t>LINTERNA DE BOLSILLO ET-0896</t>
  </si>
  <si>
    <t>LINTERNA ET-5034</t>
  </si>
  <si>
    <t>LINTERNA ET-F5391</t>
  </si>
  <si>
    <t xml:space="preserve">LINTERNA ET-F5789 RECARGABLE CON USB </t>
  </si>
  <si>
    <t>LINTERNA ET-F5951</t>
  </si>
  <si>
    <t>LINTERNA ET-F6351</t>
  </si>
  <si>
    <t>LINTERNA ET-F8411</t>
  </si>
  <si>
    <t>LINTERNA FRONTAL LED COD 14760</t>
  </si>
  <si>
    <t>LINTERNA FRONTAL RECARGABLE 93700</t>
  </si>
  <si>
    <t>LINTERNA FRONTAL RECARGABLE COD 14683</t>
  </si>
  <si>
    <t>LINTERNA FRONTAL RECARGABLE CON ZOOM COD 314</t>
  </si>
  <si>
    <t>LINTERNA LED USB PCTRONIX</t>
  </si>
  <si>
    <t>LINTERNA METAL MULTIHERRAMIENTA ET-F8233</t>
  </si>
  <si>
    <t>LINTERNA PUNTERO LASER ET-F8240</t>
  </si>
  <si>
    <t>LINTERNA RADIO BLUETOOTH PARA BICICLETA</t>
  </si>
  <si>
    <t>LINTERNA REC A. POTENCIA ET-F5620</t>
  </si>
  <si>
    <t>LINTERNA RECARGABLE DE BOLSILLO ET-F8889</t>
  </si>
  <si>
    <t>LINTERNA RT-F6161</t>
  </si>
  <si>
    <t>lluvia laser jardin cod 2038</t>
  </si>
  <si>
    <t>LUCES LED RGB 10 MTS</t>
  </si>
  <si>
    <t>LUCES LED RGB 3 MTS USB</t>
  </si>
  <si>
    <t>LUCES LED RGB 5 MTS</t>
  </si>
  <si>
    <t>LUCES LED RGB 5 MTS COD 106666</t>
  </si>
  <si>
    <t>LUCES LED RGB 5 MTS COD 2503</t>
  </si>
  <si>
    <t>LUCES LED RGB 5 MTS ET-L7050RGB-5M</t>
  </si>
  <si>
    <t>LUCES LED RGB 5 MTS ET-L7635RGB-5M</t>
  </si>
  <si>
    <t>LUPA COD 3028</t>
  </si>
  <si>
    <t>LUZ DE BICI CON BOCINA COD 3372</t>
  </si>
  <si>
    <t>LUZ DE BICI LED BLANCO COD 1411</t>
  </si>
  <si>
    <t>LUZ DE BICI LED ROJO COD 1503</t>
  </si>
  <si>
    <t>LUZ PARA BICICLETA IRM-05365</t>
  </si>
  <si>
    <t>M HM 450ANOS LIBRE NORGE C MICROF</t>
  </si>
  <si>
    <t>M. LIBRE BLUETOOTH SAMSUNG ORIGINAL MG 920</t>
  </si>
  <si>
    <t>MAGNETICO UNIVERSAL COD9425</t>
  </si>
  <si>
    <t>MANOS LIBRE CONTROL VOLUM IPHONE/ANDROIDE</t>
  </si>
  <si>
    <t>MANOS LIBRE PANASONIC TCM 125</t>
  </si>
  <si>
    <t>MANOS LIBRE PANASONIC TCM 125 C.MICROF</t>
  </si>
  <si>
    <t>MANOS LIBRE SAM J5 ORI</t>
  </si>
  <si>
    <t>MANOS LIBRE SAM S6 ORI</t>
  </si>
  <si>
    <t xml:space="preserve">MANOS LIBRE SAM S6/S7 </t>
  </si>
  <si>
    <t>MANOS LIBRE SAMSUNG</t>
  </si>
  <si>
    <t>MANOS LIBRE SAMSUNG ORI</t>
  </si>
  <si>
    <t>MANOS LIBRE STR. IPHONE. SAM. LG MOTO BOTON  CONEC</t>
  </si>
  <si>
    <t>Manos Libres Bluetooth</t>
  </si>
  <si>
    <t>MANOS LIBRES BLUETOOTH COD 2192</t>
  </si>
  <si>
    <t>MANOS LIBRES BLUETOOTH HF-100</t>
  </si>
  <si>
    <t>MANOS LIBRES BLUETOOTH HF-90</t>
  </si>
  <si>
    <t>MANOS LIBRES BLUETOOTH MOTOROLA</t>
  </si>
  <si>
    <t>MANOS LIBRES BLUETOOTH PHILIPS SHB 1200</t>
  </si>
  <si>
    <t>MANOS LIBRES BLUETOOTH SPORT AMW-810</t>
  </si>
  <si>
    <t xml:space="preserve">MANOS LIBRES BLUETOOTH SPORT BT-03 </t>
  </si>
  <si>
    <t>MANOS LIBRES DISEÑOS IPHONE</t>
  </si>
  <si>
    <t>MANOS LIBRES ET-A1556M</t>
  </si>
  <si>
    <t>MANOS LIBRES IPHONE 5/6</t>
  </si>
  <si>
    <t>MANOS LIBRES IPHONE CERTIFICADO</t>
  </si>
  <si>
    <t>MANOS LIBRES MAXELL PLUGS TRS</t>
  </si>
  <si>
    <t>MANOS LIBRES MDR-750</t>
  </si>
  <si>
    <t>MANOS LIBRES NOKIA HS-47. 2.5 MM ORIGINAL</t>
  </si>
  <si>
    <t>MANOS LIBRES ORIGINAL IPHONE</t>
  </si>
  <si>
    <t>MANOS LIBRES SAM HS 1303 ORIGINAL</t>
  </si>
  <si>
    <t>MANOS LIBRES SAM J5</t>
  </si>
  <si>
    <t>MANOS LIBRES SAM NHS1303</t>
  </si>
  <si>
    <t>MANOS LIBRES SAM ORIGINAL</t>
  </si>
  <si>
    <t>MANOS LIBRES SAMSUNG 3350</t>
  </si>
  <si>
    <t>MANOS LIBRES SAMSUNG METAL ORIGINAL BK</t>
  </si>
  <si>
    <t>MANOS LIBRES SAMSUNG METAL ORIGINAL WT</t>
  </si>
  <si>
    <t>MANOS LIBRES SPORT MOTOMO M18</t>
  </si>
  <si>
    <t>MANOS LIBRES SPORT MOTOMO M28</t>
  </si>
  <si>
    <t>MANOS LIBRES TIPO EARPOD IRM-04380</t>
  </si>
  <si>
    <t>MASCARILLA 3 PLIEGUES V5</t>
  </si>
  <si>
    <t>MASCARILLA DAFY 3D</t>
  </si>
  <si>
    <t>MASCARILLA KN95</t>
  </si>
  <si>
    <t>MASCARILLA QUIRURGICA PACK X2</t>
  </si>
  <si>
    <t>MEDIDOR DE TEMPERATURA IRM-08056</t>
  </si>
  <si>
    <t>MEDIDOR DE TEMPERATURA UX-A01</t>
  </si>
  <si>
    <t>MEMBRANA FLEXIBLE IPHONE 6 PLUS</t>
  </si>
  <si>
    <t>MEMBRANA FLEXIBLE IPHONE 6S</t>
  </si>
  <si>
    <t>MEMBRANA FLEXIBLE LG K10</t>
  </si>
  <si>
    <t>MEMBRANA FLEXIBLE SAM GRAN PRIME</t>
  </si>
  <si>
    <t>MEMBRANA FLEXIBLE SAM J5</t>
  </si>
  <si>
    <t>MEMBRANA FLEXIBLE SAM S6</t>
  </si>
  <si>
    <t>MICRO SD 128 GB SANDISK</t>
  </si>
  <si>
    <t>EM MEMORIA</t>
  </si>
  <si>
    <t>MICRO SD 16 GB</t>
  </si>
  <si>
    <t>MICRO SD 16 GB ADATA</t>
  </si>
  <si>
    <t>MICRO SD 16 GB CLASE 10</t>
  </si>
  <si>
    <t>MICRO SD 16 GB CON LECTOR USB KINGSTON</t>
  </si>
  <si>
    <t xml:space="preserve">MICRO SD 16 GB KINGSTON COD 109218 </t>
  </si>
  <si>
    <t>MICRO SD 16 GB KINGSTON X2</t>
  </si>
  <si>
    <t>MICRO SD 16 GB MAXELL</t>
  </si>
  <si>
    <t>MICRO SD 16 GB SANDISK</t>
  </si>
  <si>
    <t>MICRO SD 16 GB SANDISK CLASE 10</t>
  </si>
  <si>
    <t>MICRO SD 16 GB SANDISK COD 111066</t>
  </si>
  <si>
    <t>MICRO SD 32 GB</t>
  </si>
  <si>
    <t>MICRO SD 32 GB ADATA</t>
  </si>
  <si>
    <t>MICRO SD 32 GB KINGSTON COD 2399</t>
  </si>
  <si>
    <t>MICRO SD 32 GB MAXELL</t>
  </si>
  <si>
    <t>MICRO SD 32 GB MEMOREX</t>
  </si>
  <si>
    <t>MICRO SD 32 GB SANDISK</t>
  </si>
  <si>
    <t>MICRO SD 32 GB SANDISK CLASE 10</t>
  </si>
  <si>
    <t>MICRO SD 32 GB SANDISK EXTREME PRO</t>
  </si>
  <si>
    <t>MICRO SD 64 GB ADATA</t>
  </si>
  <si>
    <t>MICRO SD 64 GB KINGSTON COD 3345</t>
  </si>
  <si>
    <t>MICRO SD 64 GB MAXELL</t>
  </si>
  <si>
    <t xml:space="preserve">MICRO SD 64 GB SANDISK </t>
  </si>
  <si>
    <t>MICRO SD 64 GB SANDISK EXTREME PRO</t>
  </si>
  <si>
    <t>MICROFONO ALAMBRICO 3.5 CON ADAPTADOR 6.3</t>
  </si>
  <si>
    <t>MICROFONO ALAMBRICO COD 118854 SM-338</t>
  </si>
  <si>
    <t>MICROFONO ALAMBRICO TRUST STARZZ</t>
  </si>
  <si>
    <t>MICROFONO CON CABLE ET-Y7521</t>
  </si>
  <si>
    <t>MICROFONO CON PARLANTE</t>
  </si>
  <si>
    <t>MICROFONO CON PARLANTE IRM-04213</t>
  </si>
  <si>
    <t>MICROFONO CONDENSADOR COD 122418 CON USB</t>
  </si>
  <si>
    <t>MICROFONO CONDENSADOR EZRA MP01</t>
  </si>
  <si>
    <t>MICROFONO CONDENSADOR EZRA PRO MP05</t>
  </si>
  <si>
    <t>MICROFONO CONDENSADOR IRM-07567</t>
  </si>
  <si>
    <t>MICROFONO CONDENSADOR PARA PC CON ATRIL IRM-07568</t>
  </si>
  <si>
    <t>MICROFONO CONDENSADOR PARA PC CON ATRIL IRM-07569</t>
  </si>
  <si>
    <t>MICROFONO CONDENSADOR PARA PC CON ATRIL IRM-07570</t>
  </si>
  <si>
    <t>MICROFONO DE SOLAPA COD 119525</t>
  </si>
  <si>
    <t>MICROFONO DE SOLAPA INALAMBRICO</t>
  </si>
  <si>
    <t>MICROFONO DE SOLAPA IRM-07790 LAVALIER SIMPLE</t>
  </si>
  <si>
    <t>MICROFONO DE SOLAPA IRM-07791 LAVALIER SIMPLE</t>
  </si>
  <si>
    <t>MICROFONO DE SOLAPA IRM-07852 LAVALIER CON CONECTOR DE AUDIFONO</t>
  </si>
  <si>
    <t>MICROFONO DE SOLAPA IRM-07853 LAVALIER CONECTOR C Y CONECTOR DE AUDIFONO</t>
  </si>
  <si>
    <t>MICROFONO ESTUDIO CON FILTRO</t>
  </si>
  <si>
    <t>MICROFONO ET-7413</t>
  </si>
  <si>
    <t>MICROFONO INALAMBRICO 353</t>
  </si>
  <si>
    <t>MICROFONO INALAMBRICO CAFINI CN-H4030</t>
  </si>
  <si>
    <t>MICROFONO INALAMBRICO COD 1070 R-57</t>
  </si>
  <si>
    <t>MICROFONO INALAMBRICO COD 3749</t>
  </si>
  <si>
    <t>MICROFONO INALAMBRICO IRM-00353</t>
  </si>
  <si>
    <t>MICROFONO INALAMBRICO PHILCO</t>
  </si>
  <si>
    <t>MICROFONO INALAMBRICO X 2 MIC04</t>
  </si>
  <si>
    <t>MICROFONO KARAOKE IRM-04213</t>
  </si>
  <si>
    <t>MICROFONO KARAOKE IRM-08574</t>
  </si>
  <si>
    <t>MICROFONO KARAOKE MK004 NEGRO</t>
  </si>
  <si>
    <t>MICROFONO KARAOKE MK005 ROSADO</t>
  </si>
  <si>
    <t>MICROFONO KYQ-01 CHAYANNE</t>
  </si>
  <si>
    <t>MICROFONO METALICO CON CABLE</t>
  </si>
  <si>
    <t>MICROFONO NOTEBOOK</t>
  </si>
  <si>
    <t>MICROFONO PARA ESCRITORIO TRUST</t>
  </si>
  <si>
    <t>MICROFONO PARLANTE BLUETOOTH</t>
  </si>
  <si>
    <t>MICROFONO PEDESTAL STEREO</t>
  </si>
  <si>
    <t>MICROFONO RST R-97 DOBLE INALAMBRICO COD 989</t>
  </si>
  <si>
    <t>MICROFONO RST-65 ALAMBRICO COD 1096</t>
  </si>
  <si>
    <t>MINI CAMARA ESPIA COD 1194</t>
  </si>
  <si>
    <t>MINI DISPLAY PORT A HDMI/DVI/DP</t>
  </si>
  <si>
    <t>MINI LAMPARA DISEÑO</t>
  </si>
  <si>
    <t>MINI LICUADORA + 1 VASO PORTATIL</t>
  </si>
  <si>
    <t>MINI LICUADORA + 2 VASOS</t>
  </si>
  <si>
    <t>MINI MOUSE INALAMBRICO</t>
  </si>
  <si>
    <t>EM MOUSE</t>
  </si>
  <si>
    <t>MINI PARLANTE BLUETOOTH COD 109317</t>
  </si>
  <si>
    <t>MINI PARLANTE BLUETOOTH PROSOUND</t>
  </si>
  <si>
    <t>MINI PARLANTE BLUETOOTH RAD. FM MP3 C 309</t>
  </si>
  <si>
    <t>MINI PARLANTE DBLUE DBS100</t>
  </si>
  <si>
    <t>MINI PARLANTE ET-P1713B</t>
  </si>
  <si>
    <t>MINI PARLANTE ET-P1734B</t>
  </si>
  <si>
    <t>MINI PARLANTE TARGET</t>
  </si>
  <si>
    <t>MINI RADIO ET-P1413B</t>
  </si>
  <si>
    <t>MINI RADIO ET-P1630B</t>
  </si>
  <si>
    <t xml:space="preserve">MINI RADIO ET-R1210S </t>
  </si>
  <si>
    <t>Mini Radio ET-R1343</t>
  </si>
  <si>
    <t>MINI RADIO ET-R1573</t>
  </si>
  <si>
    <t>MINI RADIO ET-r1710BFM</t>
  </si>
  <si>
    <t>Mini Radio R-1763</t>
  </si>
  <si>
    <t>MINI SELFIE CON BLUETOOTH</t>
  </si>
  <si>
    <t>MINI TECLADO BLUETOOTH 7 PULGADAS</t>
  </si>
  <si>
    <t>EM TECLADO</t>
  </si>
  <si>
    <t>MINI TECLADO SMART TV</t>
  </si>
  <si>
    <t>MINI TECLADO SMART TV I8-L</t>
  </si>
  <si>
    <t>MINI TECLADO SMART TV IRM-04190</t>
  </si>
  <si>
    <t>MINI TECLADO SMART TV MX3</t>
  </si>
  <si>
    <t>MINI TOUCH</t>
  </si>
  <si>
    <t>MINI TRIPOIDE DE CELULAR</t>
  </si>
  <si>
    <t>MIRACAST ANDROID TV MIRADISPLAY</t>
  </si>
  <si>
    <t>MOCHILA ANTIRROBO XTECH XTB-506G</t>
  </si>
  <si>
    <t>MONO POP SELFIE DISEÑOS</t>
  </si>
  <si>
    <t>MONOPOD 2 ELEMENTOS AQUAPOD COD 1388</t>
  </si>
  <si>
    <t>MONOPOD GOPRO COD 1286</t>
  </si>
  <si>
    <t>MOOUSE INALAMBRICO 3716</t>
  </si>
  <si>
    <t>MOUSE</t>
  </si>
  <si>
    <t>MOUSE ALAMBRICO AOC MS110</t>
  </si>
  <si>
    <t>MOUSE ALAMBRICO ET-M3606 RETRACTIL</t>
  </si>
  <si>
    <t>MOUSE ALAMBRICO FIDDLER MO304</t>
  </si>
  <si>
    <t>MOUSE ALAMBRICO GAMER FIDDLER MO520</t>
  </si>
  <si>
    <t>MOUSE ALAMBRICO GAMER FIDDLER MO532</t>
  </si>
  <si>
    <t>MOUSE ALAMBRICO GAMER FIDDLER MO539</t>
  </si>
  <si>
    <t>MOUSE ALAMBRICO GAMER IRM-03876</t>
  </si>
  <si>
    <t>MOUSE ALAMBRICO GAMER IRM-08175</t>
  </si>
  <si>
    <t>MOUSE ALAMBRICO GAMER ONIKUMA IRM-08333 ROSADO</t>
  </si>
  <si>
    <t>MOUSE ALAMBRICO GAMER TARGET PREDATOR</t>
  </si>
  <si>
    <t>MOUSE ALAMBRICO GAMER XTECH XTM-410 7 BOTONES</t>
  </si>
  <si>
    <t>MOUSE ALAMBRICO GENIUS DX-110</t>
  </si>
  <si>
    <t>MOUSE ALAMBRICO GENIUS DX-120</t>
  </si>
  <si>
    <t>MOUSE ALAMBRICO GENIUS DX-150X</t>
  </si>
  <si>
    <t>MOUSE ALAMBRICO GENIUS TRAVELER RETRACTIL</t>
  </si>
  <si>
    <t>MOUSE ALAMBRICO HP GAMER G160</t>
  </si>
  <si>
    <t>MOUSE ALAMBRICO HP M100</t>
  </si>
  <si>
    <t>MOUSE ALAMBRICO HP M160</t>
  </si>
  <si>
    <t>MOUSE ALAMBRICO KLIP XTREME KMO-111</t>
  </si>
  <si>
    <t>MOUSE ALAMBRICO LOGITECH M110 SILENT</t>
  </si>
  <si>
    <t>MOUSE ALAMBRICO LOGITECH M90</t>
  </si>
  <si>
    <t>MOUSE ALAMBRICO PHILIPS M104</t>
  </si>
  <si>
    <t>MOUSE ALAMBRICO PHILIPS M214</t>
  </si>
  <si>
    <t>MOUSE ALAMBRICO PHILIPS SPK9413</t>
  </si>
  <si>
    <t>MOUSE ALAMBRICO Q52 COD 868</t>
  </si>
  <si>
    <t>MOUSE ALAMBRICO RCA MR-065</t>
  </si>
  <si>
    <t>MOUSE ALAMBRICO TRUST CARVE</t>
  </si>
  <si>
    <t>MOUSE ALAMBRICO TRUST ZAPP GXT 4111</t>
  </si>
  <si>
    <t>MOUSE ALAMBRICO TRUST ZIVA</t>
  </si>
  <si>
    <t>MOUSE ALAMBRICO ULTRA UT-120N</t>
  </si>
  <si>
    <t>MOUSE ALAMBRICO XTECH XTM-165</t>
  </si>
  <si>
    <t>MOUSE ALAMBRICO XTECH XTM-175</t>
  </si>
  <si>
    <t>MOUSE AUTO 2283</t>
  </si>
  <si>
    <t>MOUSE BASICO COD 2752</t>
  </si>
  <si>
    <t>MOUSE BLUETOOTH MLAB 6781</t>
  </si>
  <si>
    <t>MOUSE C CABLES. 3 BOTONES USB MR-060</t>
  </si>
  <si>
    <t>MOUSE ECONOMICO COD 1398</t>
  </si>
  <si>
    <t>MOUSE ECONOMICO COD 15926</t>
  </si>
  <si>
    <t>MOUSE ET-M3577</t>
  </si>
  <si>
    <t>MOUSE GAMER 3262 GAMING C LUZ</t>
  </si>
  <si>
    <t>Mouse Gamer Cod 3740</t>
  </si>
  <si>
    <t>MOUSE GAMER ECONOMICO</t>
  </si>
  <si>
    <t>MOUSE GAMER ET-M3520</t>
  </si>
  <si>
    <t>MOUSE GAMER ET-M3651</t>
  </si>
  <si>
    <t>MOUSE GAMER ET-M3652</t>
  </si>
  <si>
    <t>MOUSE GAMER G15 3200DPI</t>
  </si>
  <si>
    <t xml:space="preserve">Mouse Gamer G5 Cod 2212 </t>
  </si>
  <si>
    <t>MOUSE GAMER G550 3200DPI</t>
  </si>
  <si>
    <t>Mouse Gamer Inalambrico Cod 2410</t>
  </si>
  <si>
    <t>MOUSE GAMER IRM-07301 JIEXIN</t>
  </si>
  <si>
    <t>MOUSE GAMER K90</t>
  </si>
  <si>
    <t>MOUSE GAMER MODELO A9 COD 2773</t>
  </si>
  <si>
    <t>MOUSE GAMER MODELO X7 COD 2956</t>
  </si>
  <si>
    <t>MOUSE GAMER MOTOMO T91</t>
  </si>
  <si>
    <t>MOUSE GAMER MOTOMO X7</t>
  </si>
  <si>
    <t>MOUSE GAMER MOTOMO X8</t>
  </si>
  <si>
    <t>MOUSE GAMER ONIKUMA CW903</t>
  </si>
  <si>
    <t>MOUSE GAMER PHILIPS COD 117457 MOD G314</t>
  </si>
  <si>
    <t>MOUSE GAMER T6 COD 863</t>
  </si>
  <si>
    <t>MOUSE GAMER ULTRA X5 29UTX-000X5</t>
  </si>
  <si>
    <t>MOUSE GAMING 3482</t>
  </si>
  <si>
    <t>MOUSE INALAMBRICO 2.4G COD 4983</t>
  </si>
  <si>
    <t>MOUSE INALAMBRICO AMARILLO MW-150 Y</t>
  </si>
  <si>
    <t>MOUSE INALAMBRICO COD 117853</t>
  </si>
  <si>
    <t>MOUSE INALAMBRICO COD 118502</t>
  </si>
  <si>
    <t>MOUSE INALAMBRICO COD 119844</t>
  </si>
  <si>
    <t>MOUSE INALAMBRICO COD 1578</t>
  </si>
  <si>
    <t>MOUSE INALAMBRICO COD 2301</t>
  </si>
  <si>
    <t>MOUSE INALAMBRICO COD 3003</t>
  </si>
  <si>
    <t>MOUSE INALAMBRICO COD 3162</t>
  </si>
  <si>
    <t>MOUSE INALAMBRICO COD 3357 AUTO</t>
  </si>
  <si>
    <t>MOUSE INALAMBRICO ET-M3567</t>
  </si>
  <si>
    <t>MOUSE INALAMBRICO FIDDLER FD-223B</t>
  </si>
  <si>
    <t>MOUSE INALAMBRICO GENIUS MICRO TRAVELER 900S</t>
  </si>
  <si>
    <t>MOUSE INALAMBRICO GENIUS NX-7000 BLANCO</t>
  </si>
  <si>
    <t>MOUSE INALAMBRICO GENIUS NX-7000 NEGRO</t>
  </si>
  <si>
    <t>MOUSE INALAMBRICO GENIUS NX-7015 BROWN</t>
  </si>
  <si>
    <t>MOUSE INALAMBRICO IRM-06061 ZURDO</t>
  </si>
  <si>
    <t>MOUSE INALAMBRICO MW-150R</t>
  </si>
  <si>
    <t>MOUSE INALAMBRICO PHILCO 210WN</t>
  </si>
  <si>
    <t>MOUSE INALAMBRICO PHILIPS M203 COD 16696</t>
  </si>
  <si>
    <t>MOUSE INALAMBRICO PHILIPS M305 GRIS</t>
  </si>
  <si>
    <t>MOUSE INALAMBRICO PHILIPS M305 NEGRO</t>
  </si>
  <si>
    <t>MOUSE INALAMBRICO PHILIPS M314</t>
  </si>
  <si>
    <t>MOUSE INALAMBRICO PHILIPS M374</t>
  </si>
  <si>
    <t>MOUSE INALAMBRICO PHILIPS M413</t>
  </si>
  <si>
    <t>MOUSE INALAMBRICO PHILIPS M624 ERGONOMICO</t>
  </si>
  <si>
    <t>MOUSE INALAMBRICO PHILIPS SPK7315</t>
  </si>
  <si>
    <t>MOUSE INALAMBRICO TARGET TT-MW550 BL</t>
  </si>
  <si>
    <t>MOUSE INALAMBRICO TARGET TT-MW550 GR</t>
  </si>
  <si>
    <t>MOUSE INALAMBRICO TELA COD 251</t>
  </si>
  <si>
    <t>MOUSE INALAMBRICO TRUST EASYCLICK</t>
  </si>
  <si>
    <t>MOUSE INALAMBRICO TRUST PRIMO</t>
  </si>
  <si>
    <t>MOUSE INALAMBRICO TRUST YVI BLACK</t>
  </si>
  <si>
    <t>MOUSE INALAMBRICO TRUST YVI BLUE</t>
  </si>
  <si>
    <t>MOUSE INALAMBRICO TRUST YVI RED</t>
  </si>
  <si>
    <t>MOUSE INALAMBRICO ULTRA 250WX</t>
  </si>
  <si>
    <t>MOUSE INALAMBRICO USB. 4 BOTONES MW-250</t>
  </si>
  <si>
    <t>MOUSE INALAMBRICO VERTICAL D5</t>
  </si>
  <si>
    <t>MOUSE INALAMBRICO XTECH XTM-300</t>
  </si>
  <si>
    <t>MOUSE MINI AUTO 3167</t>
  </si>
  <si>
    <t>MOUSE MINI AUTO RETRACTIL -106765</t>
  </si>
  <si>
    <t>MOUSE PAD COSIDO 70X30</t>
  </si>
  <si>
    <t>MOUSE RETRACTIL GENIUS</t>
  </si>
  <si>
    <t>MOUSE VERTICAL COD 2756</t>
  </si>
  <si>
    <t>MOUSE VERTICAL IRM-07289</t>
  </si>
  <si>
    <t>MOUSEPAD ANTIDERRAME BORDE COSIDO</t>
  </si>
  <si>
    <t>MOUSEPAD AZUL</t>
  </si>
  <si>
    <t>MOUSEPAD BASICO ECONOMICO</t>
  </si>
  <si>
    <t>MOUSEPAD COD 156 INFANTIL</t>
  </si>
  <si>
    <t>MOUSEPAD CON ALMOHADILLA COD 916004</t>
  </si>
  <si>
    <t>MOUSEPAD CON ALMOHADILLA FIDDLER</t>
  </si>
  <si>
    <t>MOUSEPAD DISEÑO FIDDLER FD-MP12</t>
  </si>
  <si>
    <t>MOUSEPAD DISEÑO FIDDLER FD-MP13</t>
  </si>
  <si>
    <t>MOUSEPAD DISEÑOS</t>
  </si>
  <si>
    <t>MOUSEPAD GAMER COD 117457</t>
  </si>
  <si>
    <t>MOUSEPAD GAMER CON LUCES LED RGB AOAS S4000</t>
  </si>
  <si>
    <t>MOUSEPAD GAMER CON LUCES LED RGB AOAS S4000 IRM-08007</t>
  </si>
  <si>
    <t>MOUSEPAD GAMER CON LUCES LED RGB GMS-WT-5</t>
  </si>
  <si>
    <t>MOUSEPAD GAMER IRM-06064</t>
  </si>
  <si>
    <t>MOUSEPAD GAMER IRM-6063</t>
  </si>
  <si>
    <t>MOUSEPAD GAMER ULTRA 29UTXPAD01</t>
  </si>
  <si>
    <t>MOUSEPAD GEL COD 2013</t>
  </si>
  <si>
    <t>MOUSEPAD GEL COD 9579</t>
  </si>
  <si>
    <t>MOUSEPAD IRM-07296 DISEÑOS</t>
  </si>
  <si>
    <t>MOUSEPAD IRM-08946 ONIKUMA ROSADO</t>
  </si>
  <si>
    <t>MOUSEPAD NEGRO</t>
  </si>
  <si>
    <t>MOUSEPAD XTECH XTA-180</t>
  </si>
  <si>
    <t>MOUSEPAD XTECH XTA-526</t>
  </si>
  <si>
    <t>MP3 COD 2275</t>
  </si>
  <si>
    <t>MP3 ECONOMICO COD 946</t>
  </si>
  <si>
    <t>MP3 MINI EMOTICON CON AUDIFONO COD 2932</t>
  </si>
  <si>
    <t>Mp3 radio</t>
  </si>
  <si>
    <t>MULTIBAND</t>
  </si>
  <si>
    <t>MXQ PRO TV BOX A SMART TV</t>
  </si>
  <si>
    <t>MXQ PRO TV BOX A SMART TV COD 3205</t>
  </si>
  <si>
    <t>NO</t>
  </si>
  <si>
    <t>OP SERVICIO TECNICO</t>
  </si>
  <si>
    <t>OJO DE PEZ</t>
  </si>
  <si>
    <t>OJO DE PEZ COD 346</t>
  </si>
  <si>
    <t>OJO DE PEZ PARA CELULAR CON PINZA</t>
  </si>
  <si>
    <t>OJO DE PEZ TC4019-15</t>
  </si>
  <si>
    <t>OTG  COD 1542 -1541</t>
  </si>
  <si>
    <t>OTG MICRO USB</t>
  </si>
  <si>
    <t>OTG USB MACHO LECTOR SD-MICRO SD</t>
  </si>
  <si>
    <t>OTG V8</t>
  </si>
  <si>
    <t>OTG VARIOS COD 6554</t>
  </si>
  <si>
    <t>PACK LUCES LED BLANCO COD 207 COLA DE PEZ</t>
  </si>
  <si>
    <t>PAPEL HIGIENICO SCOTT 6 UNIDADES</t>
  </si>
  <si>
    <t>PARLANTE 8´BLUETOOTH KARAOKE</t>
  </si>
  <si>
    <t>PARLANTE BLUETOOTH 2.1   55 W</t>
  </si>
  <si>
    <t>PARLANTE BLUETOOTH AULOM M168</t>
  </si>
  <si>
    <t>PARLANTE BLUETOOTH AUTO ET-P6335BR</t>
  </si>
  <si>
    <t>PARLANTE BLUETOOTH AUTO ET-P6370BR</t>
  </si>
  <si>
    <t>PARLANTE BLUETOOTH AUTO ET-P6386BR</t>
  </si>
  <si>
    <t>PARLANTE BLUETOOTH AUTO ET-P6388BR</t>
  </si>
  <si>
    <t>PARLANTE BLUETOOTH AWEI Y300</t>
  </si>
  <si>
    <t>PARLANTE BLUETOOTH BS-129</t>
  </si>
  <si>
    <t>PARLANTE BLUETOOTH C. LUZ  BT 807</t>
  </si>
  <si>
    <t>PARLANTE BLUETOOTH CH.</t>
  </si>
  <si>
    <t>PARLANTE BLUETOOTH COD 113013 MOD ZQS141</t>
  </si>
  <si>
    <t>PARLANTE BLUETOOTH COD 118348 KARAOKE CON MICROFONO</t>
  </si>
  <si>
    <t>PARLANTE BLUETOOTH COD 134</t>
  </si>
  <si>
    <t>PARLANTE BLUETOOTH COD 1642</t>
  </si>
  <si>
    <t>PARLANTE BLUETOOTH COD 278</t>
  </si>
  <si>
    <t xml:space="preserve">PARLANTE BLUETOOTH CON LUCES </t>
  </si>
  <si>
    <t>PARLANTE BLUETOOTH CON LUCES ET-P1778B</t>
  </si>
  <si>
    <t>PARLANTE BLUETOOTH CR-X6</t>
  </si>
  <si>
    <t>PARLANTE BLUETOOTH DISEÑO IRM-4792</t>
  </si>
  <si>
    <t>PARLANTE BLUETOOTH ET-P1087B</t>
  </si>
  <si>
    <t>PARLANTE BLUETOOTH ET-P1136B</t>
  </si>
  <si>
    <t>PARLANTE BLUETOOTH ET-P1169B LED</t>
  </si>
  <si>
    <t>PARLANTE BLUETOOTH ET-P1195</t>
  </si>
  <si>
    <t>PARLANTE BLUETOOTH ET-P1213B</t>
  </si>
  <si>
    <t>PARLANTE BLUETOOTH ET-P1328B</t>
  </si>
  <si>
    <t>PARLANTE BLUETOOTH ET-P1367B</t>
  </si>
  <si>
    <t>PARLANTE BLUETOOTH ET-P1372B</t>
  </si>
  <si>
    <t>PARLANTE BLUETOOTH ET-P1373B</t>
  </si>
  <si>
    <t>PARLANTE BLUETOOTH ET-P1386B</t>
  </si>
  <si>
    <t>PARLANTE BLUETOOTH ET-P1492B</t>
  </si>
  <si>
    <t>PARLANTE BLUETOOTH ET-P1512B</t>
  </si>
  <si>
    <t>PARLANTE BLUETOOTH ET-P1532B</t>
  </si>
  <si>
    <t>PARLANTE BLUETOOTH ET-P1614 TIPO TELE</t>
  </si>
  <si>
    <t>PARLANTE BLUETOOTH ET-P1649BT</t>
  </si>
  <si>
    <t>PARLANTE BLUETOOTH ET-P1717B</t>
  </si>
  <si>
    <t>PARLANTE BLUETOOTH ET-P1722B</t>
  </si>
  <si>
    <t>PARLANTE BLUETOOTH ET-P1924B CUBO</t>
  </si>
  <si>
    <t>PARLANTE BLUETOOTH ET-P1925B</t>
  </si>
  <si>
    <t>PARLANTE BLUETOOTH ET-P2175MB</t>
  </si>
  <si>
    <t>PARLANTE BLUETOOTH ET-P2240MB</t>
  </si>
  <si>
    <t>PARLANTE BLUETOOTH ET-P2500B</t>
  </si>
  <si>
    <t>PARLANTE BLUETOOTH ET-P2503MB</t>
  </si>
  <si>
    <t>PARLANTE BLUETOOTH ET-P2586B</t>
  </si>
  <si>
    <t>PARLANTE BLUETOOTH ET-P2629B</t>
  </si>
  <si>
    <t>PARLANTE BLUETOOTH ET-P2687B</t>
  </si>
  <si>
    <t>PARLANTE BLUETOOTH ET-P2947MB</t>
  </si>
  <si>
    <t>PARLANTE BLUETOOTH ET-P2965B</t>
  </si>
  <si>
    <t>PARLANTE BLUETOOTH ET-P5280MB</t>
  </si>
  <si>
    <t>PARLANTE BLUETOOTH ET-R1231BS SOLAR</t>
  </si>
  <si>
    <t>PARLANTE BLUETOOTH ET-R1243BS SOLAR</t>
  </si>
  <si>
    <t>PARLANTE BLUETOOTH ET-R1982B</t>
  </si>
  <si>
    <t>PARLANTE BLUETOOTH FIDDLER FD-10U-G</t>
  </si>
  <si>
    <t>PARLANTE BLUETOOTH FIDDLER FD-G2B</t>
  </si>
  <si>
    <t>PARLANTE BLUETOOTH HS10</t>
  </si>
  <si>
    <t>PARLANTE BLUETOOTH IRM-08151</t>
  </si>
  <si>
    <t>PARLANTE BLUETOOTH IRM-08153</t>
  </si>
  <si>
    <t>PARLANTE BLUETOOTH JBL GO2</t>
  </si>
  <si>
    <t>PARLANTE BLUETOOTH KARAOKE COD 122715</t>
  </si>
  <si>
    <t>PARLANTE BLUETOOTH KTS-1019</t>
  </si>
  <si>
    <t>PARLANTE BLUETOOTH MASTER-G MICRO</t>
  </si>
  <si>
    <t>PARLANTE BLUETOOTH MEDIANO</t>
  </si>
  <si>
    <t>PARLANTE BLUETOOTH MINI 2737</t>
  </si>
  <si>
    <t>PARLANTE BLUETOOTH MOTOROLA COD 2886</t>
  </si>
  <si>
    <t>PARLANTE BLUETOOTH NORGE S-BT074</t>
  </si>
  <si>
    <t>PARLANTE BLUETOOTH PELUCHE ET-P8202B</t>
  </si>
  <si>
    <t>PARLANTE BLUETOOTH PELUCHE ET-P8203B</t>
  </si>
  <si>
    <t>PARLANTE BLUETOOTH REC 1019</t>
  </si>
  <si>
    <t>PARLANTE BLUETOOTH RECARGABLE MARCIANO</t>
  </si>
  <si>
    <t>PARLANTE BLUETOOTH REDONDO TELA COD 2866</t>
  </si>
  <si>
    <t>PARLANTE BLUETOOTH S207</t>
  </si>
  <si>
    <t>PARLANTE BLUETOOTH SCOOTER COD 456</t>
  </si>
  <si>
    <t>PARLANTE BLUETOOTH T23</t>
  </si>
  <si>
    <t>PARLANTE BLUETOOTH T9</t>
  </si>
  <si>
    <t>PARLANTE BLUETOOTH WS-887 COD. 1777</t>
  </si>
  <si>
    <t>PARLANTE BLUETOOTH WSA-8602</t>
  </si>
  <si>
    <t>PARLANTE BLUETOOTH WSA-8613</t>
  </si>
  <si>
    <t>PARLANTE BLUETOOTH. FM. CARD. 5 WATT</t>
  </si>
  <si>
    <t>PARLANTE BLUETOOTH-USB P295 AZUL</t>
  </si>
  <si>
    <t>PARLANTE BOLA BLUETOOTH</t>
  </si>
  <si>
    <t>PARLANTE BT MONSTER AUDIO 450A</t>
  </si>
  <si>
    <t>PARLANTE BT MONSTER AUDIO 450D</t>
  </si>
  <si>
    <t>PARLANTE BT MONSTER AUDIO 450M</t>
  </si>
  <si>
    <t>PARLANTE BT MONSTER AUDIO 450N</t>
  </si>
  <si>
    <t>PARLANTE BT MONSTER AUDIO 450R</t>
  </si>
  <si>
    <t>PARLANTE BT NEGRO PHILCO</t>
  </si>
  <si>
    <t>PARLANTE C MICROFONO. GRABADORA. FM.DISPLAY</t>
  </si>
  <si>
    <t>PARLANTE CON LINTERNA ET-R2150B</t>
  </si>
  <si>
    <t>PARLANTE CON MICROFONO GRABADOR</t>
  </si>
  <si>
    <t>PARLANTE CUBO BLUETOOTH</t>
  </si>
  <si>
    <t>PARLANTE CUBO PROSOUND</t>
  </si>
  <si>
    <t>PARLANTE DUCHA BLUETOOTH</t>
  </si>
  <si>
    <t>PARLANTE DUCHA COD 709</t>
  </si>
  <si>
    <t>PARLANTE ET-1583</t>
  </si>
  <si>
    <t>PARLANTE ET-1639B</t>
  </si>
  <si>
    <t>PARLANTE ET-P1627B</t>
  </si>
  <si>
    <t>PARLANTE ET-P1635B</t>
  </si>
  <si>
    <t>PARLANTE ET-P1841B</t>
  </si>
  <si>
    <t>PARLANTE ET-P1874B</t>
  </si>
  <si>
    <t>PARLANTE ET-P2456MB</t>
  </si>
  <si>
    <t>PARLANTE KARAOKE CON LUCES 01105</t>
  </si>
  <si>
    <t>PARLANTE KARAOKE PORTATIL SP-O5BK</t>
  </si>
  <si>
    <t>PARLANTE KARAOKE USB. FM. SD. POTENCIA 20 W</t>
  </si>
  <si>
    <t>PARLANTE LUZ ET-P1932B</t>
  </si>
  <si>
    <t>PARLANTE MALETA KARAOKE SB056</t>
  </si>
  <si>
    <t>PARLANTE MALETIN KARAOKE BLUETOOTH</t>
  </si>
  <si>
    <t>PARLANTE MK 80 C/MICROFONO</t>
  </si>
  <si>
    <t>PARLANTE MOTOMO V2</t>
  </si>
  <si>
    <t>PARLANTE MOTOMO V8</t>
  </si>
  <si>
    <t>PARLANTE MULTIMEDIA D-015</t>
  </si>
  <si>
    <t>PARLANTE PARA CELULAR IRM-1257</t>
  </si>
  <si>
    <t>PARLANTE PARA PC HP DHE6000</t>
  </si>
  <si>
    <t>PARLANTE PARA PC S-200</t>
  </si>
  <si>
    <t>PARLANTE PC MOD D-008</t>
  </si>
  <si>
    <t>PARLANTE PC MOD D-02A</t>
  </si>
  <si>
    <t>PARLANTE PC MOD D-05</t>
  </si>
  <si>
    <t>PARLANTE PC. SD. USB. RADIO. BAT RECARGABLE</t>
  </si>
  <si>
    <t>PARLANTE PHILCO</t>
  </si>
  <si>
    <t>PARLANTE PIKACHU</t>
  </si>
  <si>
    <t>PARLANTE POKE BOLA COD 466</t>
  </si>
  <si>
    <t>PARLANTE POKEBOLA</t>
  </si>
  <si>
    <t>PARLANTE PORTATIL BLUETOOTH-USB P295 BLACK</t>
  </si>
  <si>
    <t>PARLANTE PORTATIL BLUETOOTH-USB P295 PLATA</t>
  </si>
  <si>
    <t>PARLANTE PORTATIL BLUETOOTH-USB P295 RED</t>
  </si>
  <si>
    <t>PARLANTE POWERTUBE 4 DGL-0020 DIGILIFE ROJO</t>
  </si>
  <si>
    <t>PARLANTE POWERTUBE 4 DGL-0077 DIGILIFE AZUL</t>
  </si>
  <si>
    <t>PARLANTE RECARGABLE  COD 3196</t>
  </si>
  <si>
    <t>PARLANTE RECARGABLE COD 2670</t>
  </si>
  <si>
    <t>PARLANTE RECARGABLE MASTER-G G-BASS DESIGN 2</t>
  </si>
  <si>
    <t>PARLANTE REDONDO BLUETOOTH</t>
  </si>
  <si>
    <t>PARLANTE SUBWOOFER S-650</t>
  </si>
  <si>
    <t>PARLANTE. FM. 1126</t>
  </si>
  <si>
    <t>PARLANTES PARA COMPUTADOR GENIUS HF-160</t>
  </si>
  <si>
    <t>PARLANTES PARA PC COD 118568</t>
  </si>
  <si>
    <t>PARLANTES PARA PC COD 119954</t>
  </si>
  <si>
    <t>PARLANTES PARA PC D-02A</t>
  </si>
  <si>
    <t>PARLANTES PARA PC HP DHE-6000</t>
  </si>
  <si>
    <t>PARLANTES PARA PC TRUST TYTAN GXT 628</t>
  </si>
  <si>
    <t>PARLANTES PARA PC XTECH XTS-110</t>
  </si>
  <si>
    <t>PARLANTES PC  S 220 L</t>
  </si>
  <si>
    <t>PARLANTES PC S 220 R</t>
  </si>
  <si>
    <t>PARLANTES S-300 USB A MULTIMEDIA</t>
  </si>
  <si>
    <t>PASTA TERMICA</t>
  </si>
  <si>
    <t>PELUCHE ESPANTA CUCO IRM-08411</t>
  </si>
  <si>
    <t>PENDRIVE 128 GB SANDISK</t>
  </si>
  <si>
    <t>EM PENDRIVE</t>
  </si>
  <si>
    <t>PENDRIVE 16 GB</t>
  </si>
  <si>
    <t>PENDRIVE 16 GB ADATA</t>
  </si>
  <si>
    <t>PENDRIVE 16 GB CON OTG V8 SANDISK</t>
  </si>
  <si>
    <t>PENDRIVE 16 GB DT101 G2</t>
  </si>
  <si>
    <t>PENDRIVE 16 GB KINGSTON</t>
  </si>
  <si>
    <t>PENDRIVE 16 GB KINGSTON COD 109240</t>
  </si>
  <si>
    <t>PENDRIVE 16 GB KODAK</t>
  </si>
  <si>
    <t>PENDRIVE 16 GB MAXELL</t>
  </si>
  <si>
    <t>PENDRIVE 16 GB MAXELL BK</t>
  </si>
  <si>
    <t>PENDRIVE 16 GB MAXELL BL</t>
  </si>
  <si>
    <t>PENDRIVE 16 GB MAXELL PP</t>
  </si>
  <si>
    <t>PENDRIVE 16 GB MAXELL RD</t>
  </si>
  <si>
    <t>PENDRIVE 16 GB SANDISK</t>
  </si>
  <si>
    <t>PENDRIVE 16 GB SANDISK AZUL</t>
  </si>
  <si>
    <t>PENDRIVE 16 GB SANDISK BLANCO</t>
  </si>
  <si>
    <t>PENDRIVE 16 GB SANDISK COD 3133</t>
  </si>
  <si>
    <t>PENDRIVE 16 GB SANDISK CZ430 ULTRA FIT</t>
  </si>
  <si>
    <t xml:space="preserve">PENDRIVE 16 GB SANDISK FORCE </t>
  </si>
  <si>
    <t>PENDRIVE 16 GB SANDISK GSM</t>
  </si>
  <si>
    <t>PENDRIVE 16 GB SANDISK ULTRA FLAIR USB 3.0</t>
  </si>
  <si>
    <t>PENDRIVE 16 GB SANDISK VERDE</t>
  </si>
  <si>
    <t>PENDRIVE 32 GB</t>
  </si>
  <si>
    <t>PENDRIVE 32 GB ADATA</t>
  </si>
  <si>
    <t>PENDRIVE 32 GB KINGSTON COD 1753</t>
  </si>
  <si>
    <t>PENDRIVE 32 GB MAXELL</t>
  </si>
  <si>
    <t>PENDRIVE 32 GB MAXELL BK</t>
  </si>
  <si>
    <t>PENDRIVE 32 GB MAXELL BL</t>
  </si>
  <si>
    <t>PENDRIVE 32 GB MAXELL FLIX</t>
  </si>
  <si>
    <t>PENDRIVE 32 GB MAXELL RD</t>
  </si>
  <si>
    <t>PENDRIVE 32 GB SANDISK</t>
  </si>
  <si>
    <t>PENDRIVE 32 GB SANDISK COD 2627</t>
  </si>
  <si>
    <t>PENDRIVE 32 GB SANDISK CZ430 ULTRA FIT</t>
  </si>
  <si>
    <t>PENDRIVE 32 GB SANDISK FORCE</t>
  </si>
  <si>
    <t xml:space="preserve">PENDRIVE 32 GB SANDISK IPHONE </t>
  </si>
  <si>
    <t>PENDRIVE 32 GB SANDISK ULTRA FLAIR USB 3.0</t>
  </si>
  <si>
    <t>PENDRIVE 64 GB KINGSTON COD 2632</t>
  </si>
  <si>
    <t>PENDRIVE 64 GB MAXELL</t>
  </si>
  <si>
    <t>PENDRIVE 64 GB MAXELL BK</t>
  </si>
  <si>
    <t>PENDRIVE 64 GB MAXELL SL</t>
  </si>
  <si>
    <t>PENDRIVE 64 GB SANDISK</t>
  </si>
  <si>
    <t>PENDRIVE 64 GB SANDISK CZ430 ULTRA FIT</t>
  </si>
  <si>
    <t>PENDRIVE 64 GB SANDISK IPHONE</t>
  </si>
  <si>
    <t>PENDRIVE 64 GB SANDISK ULTRA FLAIR USB 3.0</t>
  </si>
  <si>
    <t>PENDRIVE 8 GB</t>
  </si>
  <si>
    <t>PENDRIVE 8 GB ADATA</t>
  </si>
  <si>
    <t>PENDRIVE 8 GB DISEÑOS 2350</t>
  </si>
  <si>
    <t>PENDRIVE 8 GB DT101 G2</t>
  </si>
  <si>
    <t>PENDRIVE 8 GB SANDISK</t>
  </si>
  <si>
    <t>PENDRIVE 8 GB TOSHIBA COD 2277</t>
  </si>
  <si>
    <t>PENDRIVE 8 GB USB 2.0</t>
  </si>
  <si>
    <t>PENDRIVE-OTG C 16 GB SANDISK</t>
  </si>
  <si>
    <t>PENDRIVE-OTG C 32 GB SANDISK</t>
  </si>
  <si>
    <t>PENDRIVE-OTG C 64GB SANDISK</t>
  </si>
  <si>
    <t>PENDRIVE-OTG V8 16 GB SANDISK</t>
  </si>
  <si>
    <t>PENDRIVE-OTG V8 32 GB SANDISK</t>
  </si>
  <si>
    <t>PENDRIVE-OTG V8 64 GB SANDISK</t>
  </si>
  <si>
    <t>PESA DIGITAL DE COCINA</t>
  </si>
  <si>
    <t>PESA GRAMERA</t>
  </si>
  <si>
    <t>PESA GRAMERA PHILCO</t>
  </si>
  <si>
    <t>PILA 2025 COD 3600</t>
  </si>
  <si>
    <t>PILA 2032 COD 3344</t>
  </si>
  <si>
    <t>PILA 23A GP ULTRA</t>
  </si>
  <si>
    <t>PILA 27A GP ULTRA</t>
  </si>
  <si>
    <t>PILA 9V DURACELL</t>
  </si>
  <si>
    <t>PILA 9V RECARGABLE GP ULTRA</t>
  </si>
  <si>
    <t>PILA AA GP ULTRA PACK X2</t>
  </si>
  <si>
    <t>PILA AA GP ULTRA PACK X4</t>
  </si>
  <si>
    <t>PILA AA MAXELL</t>
  </si>
  <si>
    <t>PILA AA MAXELL PACK X2</t>
  </si>
  <si>
    <t>PILA AA MAXELL PACK X4</t>
  </si>
  <si>
    <t>PILA AA PANASONIC</t>
  </si>
  <si>
    <t>PILA AA RECARGABLE 2700 MAH PHILCO</t>
  </si>
  <si>
    <t>PILA AA SONY</t>
  </si>
  <si>
    <t>PILA AAA GP ULTRA PACK X4</t>
  </si>
  <si>
    <t>PILA AAA MAXELL</t>
  </si>
  <si>
    <t>PILA AAA MAXELL PACK X2</t>
  </si>
  <si>
    <t>PILA AAA MAXELL PACK X4</t>
  </si>
  <si>
    <t>PILA AAA RECARGABLE 1200 MAH PHILCO</t>
  </si>
  <si>
    <t>PILA AAA SONY</t>
  </si>
  <si>
    <t>PILA AAA TOSHIBA PACK X4</t>
  </si>
  <si>
    <t>PILA DURACELL AA</t>
  </si>
  <si>
    <t>PILA DURACELL AA X4</t>
  </si>
  <si>
    <t>PILA DURACELL AAA</t>
  </si>
  <si>
    <t>PILA DURACELL AAAA</t>
  </si>
  <si>
    <t>PILA DURACELL C2</t>
  </si>
  <si>
    <t>PILA DURACELL D2</t>
  </si>
  <si>
    <t>PILA DURACELL R-10 PARA AUDIFONO</t>
  </si>
  <si>
    <t>PILA DURACELL R-13 PARA AUDIFONOS</t>
  </si>
  <si>
    <t>PILA DURACELL R-312 PARA AUDIFONO</t>
  </si>
  <si>
    <t>PILA DURACELL R-675 PARA AUDIFONO</t>
  </si>
  <si>
    <t>PILA ENERGIZER AA</t>
  </si>
  <si>
    <t>PILA ENERGIZER AAA</t>
  </si>
  <si>
    <t>PILA GP ALCALINA 9V</t>
  </si>
  <si>
    <t>PILA LITIO CR1216</t>
  </si>
  <si>
    <t>PILA LITIO CR1220</t>
  </si>
  <si>
    <t>PILA LITIO CR1616</t>
  </si>
  <si>
    <t>PILA LITIO CR1620</t>
  </si>
  <si>
    <t>PILA LITIO CR1632</t>
  </si>
  <si>
    <t>PILA LITIO CR2016</t>
  </si>
  <si>
    <t>PILA LITIO CR2016 GP ULTRA</t>
  </si>
  <si>
    <t>PILA LITIO CR2025</t>
  </si>
  <si>
    <t>PILA LITIO CR2032</t>
  </si>
  <si>
    <t>PILA LITIO CR2032 DURACELL</t>
  </si>
  <si>
    <t>PILA LITIO CR2032 KODAK</t>
  </si>
  <si>
    <t>PILA LITIO CR2430</t>
  </si>
  <si>
    <t>PILA LITIO CR2450</t>
  </si>
  <si>
    <t>PILA LITIO LR1130</t>
  </si>
  <si>
    <t>PILA LITIO LR1130 GP ULTRA</t>
  </si>
  <si>
    <t>PILA LITIO LR41</t>
  </si>
  <si>
    <t>PILA LITIO LR41 MAXELL</t>
  </si>
  <si>
    <t>PILA LITIO LR44 GP ULTRA</t>
  </si>
  <si>
    <t>PILA LITIO LR44 MAXELL</t>
  </si>
  <si>
    <t>PILA LR-1130 MAXELL</t>
  </si>
  <si>
    <t>PILA LR-41 GP ULTRA</t>
  </si>
  <si>
    <t>PILA LR23A</t>
  </si>
  <si>
    <t>PILA LR23A COD 688</t>
  </si>
  <si>
    <t>PILA LR27A COD 2534</t>
  </si>
  <si>
    <t>PILA PARA AUDIFONO 13 RAYOVAC</t>
  </si>
  <si>
    <t>PILA PARA AUDIFONO 312 RAYOVAC</t>
  </si>
  <si>
    <t>PILA RAYOVAC 13 PARA AUDIFONO</t>
  </si>
  <si>
    <t>PILA RECARGABLE 18650 4800 MAH COD 364</t>
  </si>
  <si>
    <t>PILA RECARGABLE AA MACROTEL</t>
  </si>
  <si>
    <t>PILA RECARGABLE AA MASTER-G</t>
  </si>
  <si>
    <t>PILA RECARGABLE AA MLAB</t>
  </si>
  <si>
    <t>PILA RECARGABLE AAA MASTER-G</t>
  </si>
  <si>
    <t>PILA RECARGABLE AAA MLAB</t>
  </si>
  <si>
    <t>PILA SR621SW PARA RELOJ</t>
  </si>
  <si>
    <t>PILA SR626SW PARA RELOJ</t>
  </si>
  <si>
    <t>PILAS AA GP ULTRA</t>
  </si>
  <si>
    <t>PILAS AA SONY CORRIENTE</t>
  </si>
  <si>
    <t>PILAS AAA GP ULTRA</t>
  </si>
  <si>
    <t>PILAS AAA SONY CORRIENTE</t>
  </si>
  <si>
    <t>PILAS ALCALINAS DIGILIFE AAA PACK 10 UNID DGL-0102</t>
  </si>
  <si>
    <t>PINZA CRIMPEADORA RJ-45</t>
  </si>
  <si>
    <t>PINZA CRIMPEADORA UNIVERSAL</t>
  </si>
  <si>
    <t>POP SOCKERS DISEÑOS</t>
  </si>
  <si>
    <t>POP SOCKET</t>
  </si>
  <si>
    <t>POP SOCKET DISEÑO COD 11581</t>
  </si>
  <si>
    <t>POP SOCKET DISEÑO COD 693</t>
  </si>
  <si>
    <t>POP SOCKET DISEÑO ESCARCHA COD 6279</t>
  </si>
  <si>
    <t>POP SOCKET DISEÑO IRM-04970</t>
  </si>
  <si>
    <t>POP SOCKET DISEÑO SQUISHY COD 11900</t>
  </si>
  <si>
    <t>POP SOCKET DISEÑOS</t>
  </si>
  <si>
    <t>POP SOCKET DISEÑOS COD 5014</t>
  </si>
  <si>
    <t>POP SOCKET DISEÑOS COD 6345</t>
  </si>
  <si>
    <t>POP SOCKET IRM-03896</t>
  </si>
  <si>
    <t>POP SOKET DISEÑO TC5809</t>
  </si>
  <si>
    <t>POPSOCKET G211</t>
  </si>
  <si>
    <t>POPSOCKET G215</t>
  </si>
  <si>
    <t>PORTA CAMRA TIPO GOPRO COD 1680 PARA MOTO O BICI</t>
  </si>
  <si>
    <t>PORTA CELU AUTO ESPEJO CH-85</t>
  </si>
  <si>
    <t>PORTA CELU FLEXIBLE LARGO 814</t>
  </si>
  <si>
    <t>PORTA CELU METAL IMPERMEABLE DE BICICL COD 515</t>
  </si>
  <si>
    <t>PORTA CELU VENTILACION AJUSTABLE 017</t>
  </si>
  <si>
    <t>PORTA CELULAR 98335 BICICLETA</t>
  </si>
  <si>
    <t>PORTA CELULAR ADHESIVO CON IMAN</t>
  </si>
  <si>
    <t>PORTA CELULAR AUTO</t>
  </si>
  <si>
    <t>PORTA CELULAR AUTO AL ESPEJO  JHD-97</t>
  </si>
  <si>
    <t>PORTA CELULAR AUTO CH-86</t>
  </si>
  <si>
    <t>PORTA CELULAR AUTO FLY</t>
  </si>
  <si>
    <t>PORTA CELULAR AUTO FLY GRANDE</t>
  </si>
  <si>
    <t>PORTA CELULAR AUTO NICE</t>
  </si>
  <si>
    <t>Porta Celular auto small</t>
  </si>
  <si>
    <t>PORTA CELULAR AUTO X&amp;X 213</t>
  </si>
  <si>
    <t>PORTA CELULAR BICICLETA IRM-3822</t>
  </si>
  <si>
    <t>PORTA CELULAR BLISTER TT3001</t>
  </si>
  <si>
    <t>PORTA CELULAR BRACKET REJILLA IMAN</t>
  </si>
  <si>
    <t>PORTA CELULAR BRACKET SH-3105 BICI BRAZO</t>
  </si>
  <si>
    <t xml:space="preserve">Porta Celular BRAZO </t>
  </si>
  <si>
    <t xml:space="preserve">PORTA CELULAR BRAZO </t>
  </si>
  <si>
    <t>PORTA CELULAR BRAZO COD 6249</t>
  </si>
  <si>
    <t>PORTA CELULAR BRAZO MOTOMO</t>
  </si>
  <si>
    <t>PORTA CELULAR BUDIX FIJO TABLERO IMAN</t>
  </si>
  <si>
    <t>PORTA CELULAR BUDIX TABLERO IMAN</t>
  </si>
  <si>
    <t>PORTA CELULAR CARGA INALAMBRICA COD 5927</t>
  </si>
  <si>
    <t>PORTA CELULAR CHOYO</t>
  </si>
  <si>
    <t>PORTA CELULAR CHOYO GRDE</t>
  </si>
  <si>
    <t>PORTA CELULAR COD 111792 REJILLA BRAZO</t>
  </si>
  <si>
    <t>PORTA CELULAR COD 112078 REJILLA BRAZO</t>
  </si>
  <si>
    <t>PORTA CELULAR COD 112089 REJILLA IMAN</t>
  </si>
  <si>
    <t>PORTA CELULAR COD 113530 VIDRIO BRAZO</t>
  </si>
  <si>
    <t>PORTA CELULAR COD 114476 REJILLA IMAN</t>
  </si>
  <si>
    <t>PORTA CELULAR COD 117094 REJILLA BRAZO</t>
  </si>
  <si>
    <t>PORTA CELULAR COD 117677 VIDRIO PINZA</t>
  </si>
  <si>
    <t>PORTA CELULAR COD 119129 ESCRITORIO</t>
  </si>
  <si>
    <t>PORTA CELULAR COD 119228 ESCRITORIO</t>
  </si>
  <si>
    <t>PORTA CELULAR COD 119239</t>
  </si>
  <si>
    <t>PORTA CELULAR COD 119393 BICICLETA IMPERMEABLE</t>
  </si>
  <si>
    <t>PORTA CELULAR COD 119569 VIDRIO BRAZO</t>
  </si>
  <si>
    <t>PORTA CELULAR COD 119877 MANUBRIO</t>
  </si>
  <si>
    <t>PORTA CELULAR COD 119888 MANUBRIO CON USB</t>
  </si>
  <si>
    <t>PORTA CELULAR COD 1270 IMAN</t>
  </si>
  <si>
    <t>PORTA CELULAR COD 1664 BRAZO IMAN</t>
  </si>
  <si>
    <t>PORTA CELULAR COD 2461 TABLERO PINZA</t>
  </si>
  <si>
    <t>PORTA CELULAR COD 3547 MOTO CON PUERTO USB</t>
  </si>
  <si>
    <t>PORTA CELULAR COD 52702</t>
  </si>
  <si>
    <t>PORTA CELULAR COD 5806 REJILLA IMAN</t>
  </si>
  <si>
    <t>PORTA CELULAR COD 8204 REJILLA IMAN</t>
  </si>
  <si>
    <t>PORTA CELULAR CON PINZA</t>
  </si>
  <si>
    <t>PORTA CELULAR CON PINZAS</t>
  </si>
  <si>
    <t>PORTA CELULAR CUELLO COD 972</t>
  </si>
  <si>
    <t>PORTA CELULAR CXP-008 TABLERO IMAN</t>
  </si>
  <si>
    <t>PORTA CELULAR DEPORTIVO 1317</t>
  </si>
  <si>
    <t>PORTA CELULAR EH-07 REMAX REJILLA IMAN</t>
  </si>
  <si>
    <t>PORTA CELULAR ESCRITORIO IRM-07444 PRENSA BRAZO</t>
  </si>
  <si>
    <t>PORTA CELULAR ET-0256 VIDRIO BRAZO</t>
  </si>
  <si>
    <t>PORTA CELULAR ET-E0252 VIDRIO BRAZO</t>
  </si>
  <si>
    <t>PORTA CELULAR ET-E0264 BICICLETA</t>
  </si>
  <si>
    <t>PORTA CELULAR FLEXIBLE C/GANCHO</t>
  </si>
  <si>
    <t>PORTA CELULAR FLY</t>
  </si>
  <si>
    <t>PORTA CELULAR HMD-20331 VIDRIO BRAZO</t>
  </si>
  <si>
    <t>PORTA CELULAR IMAN BRAZO EXTENSIBLE COD 572</t>
  </si>
  <si>
    <t>PORTA CELULAR IMAN BRAZO EXTENSIBLE COD 8622</t>
  </si>
  <si>
    <t>PORTA CELULAR IMAN COD 3230</t>
  </si>
  <si>
    <t>PORTA CELULAR IMAN UNIVERSAL</t>
  </si>
  <si>
    <t>PORTA CELULAR IRM-01721 VIDRIO BRAZO</t>
  </si>
  <si>
    <t xml:space="preserve">PORTA CELULAR IRM-01722 REJILLA IMAN </t>
  </si>
  <si>
    <t>PORTA CELULAR IRM-01724 REJILLA IMAN</t>
  </si>
  <si>
    <t>PORTA CELULAR IRM-02133 BANANO</t>
  </si>
  <si>
    <t>PORTA CELULAR IRM-03506 REJILLA BRAZO</t>
  </si>
  <si>
    <t>PORTA CELULAR IRM-03507</t>
  </si>
  <si>
    <t>PORTA CELULAR IRM-04110 VIDRIO BRAZO</t>
  </si>
  <si>
    <t>PORTA CELULAR IRM-04111 VIDRIO IMAN</t>
  </si>
  <si>
    <t>PORTA CELULAR IRM-05283 RETROVISOR BRAZO</t>
  </si>
  <si>
    <t>PORTA CELULAR IRM-05945 ESCRITORIO</t>
  </si>
  <si>
    <t>PORTA CELULAR IRM-06175 VIDRIO BRAZO</t>
  </si>
  <si>
    <t>PORTA CELULAR IRM-06177 REJILLA IMAN</t>
  </si>
  <si>
    <t>PORTA CELULAR IRM-06179 REJILLA BRAZO</t>
  </si>
  <si>
    <t>PORTA CELULAR IRM-06502 VIDRIO BRAZO</t>
  </si>
  <si>
    <t>PORTA CELULAR IRM-06503 VIDRIO BRAZO</t>
  </si>
  <si>
    <t>PORTA CELULAR IRM-06567 BANANO DEPORTIVO</t>
  </si>
  <si>
    <t>PORTA CELULAR IRM-06659 TABLERO IMAN</t>
  </si>
  <si>
    <t>PORTA CELULAR IRM-06878 PINZA BRAZO</t>
  </si>
  <si>
    <t>PORTA CELULAR IRM-07150 BICICLETA</t>
  </si>
  <si>
    <t>PORTA CELULAR IRM-07151 BICICLETA</t>
  </si>
  <si>
    <t>PORTA CELULAR IRM-07378 ESCRITORIO</t>
  </si>
  <si>
    <t>PORTA CELULAR IRM-07380 REJILLA IMAN</t>
  </si>
  <si>
    <t>PORTA CELULAR IRM-07387 VIDRIO IMAN</t>
  </si>
  <si>
    <t>PORTA CELULAR IRM-07388 VIDRIO BRAZO</t>
  </si>
  <si>
    <t>PORTA CELULAR IRM-07520 ESCRITORIO</t>
  </si>
  <si>
    <t>PORTA CELULAR IRM-07782 BICI BRAZO</t>
  </si>
  <si>
    <t>PORTA CELULAR IRM-08040 REJILLA IMAN</t>
  </si>
  <si>
    <t>PORTA CELULAR IRM-08041 VIDRIO BRAZO</t>
  </si>
  <si>
    <t>PORTA CELULAR IRM-08047 ESCRITORIO</t>
  </si>
  <si>
    <t>PORTA CELULAR IRM-08202 TABLERO IMAN</t>
  </si>
  <si>
    <t>PORTA CELULAR IRM-08217 ESCRITORIO</t>
  </si>
  <si>
    <t>PORTA CELULAR IRM-08305 VIDRIO BRAZO</t>
  </si>
  <si>
    <t>PORTA CELULAR IRM-08343 CARGA INALAMBRICA</t>
  </si>
  <si>
    <t>PORTA CELULAR IRM-08344 CARGA INALAMBRICA</t>
  </si>
  <si>
    <t>PORTA CELULAR IRM-08580 ADHESIVO IMAN</t>
  </si>
  <si>
    <t>PORTA CELULAR IRM-08807 BICI BRAZO CARGADOR</t>
  </si>
  <si>
    <t>PORTA CELULAR IRM-1500003 TABLERO IMAN</t>
  </si>
  <si>
    <t>PORTA CELULAR IRM-1500013 REJILLA IMAN</t>
  </si>
  <si>
    <t>PORTA CELULAR IRM-1500043 REJILLA IMAN</t>
  </si>
  <si>
    <t>PORTA CELULAR MAGNETICO</t>
  </si>
  <si>
    <t>PORTA CELULAR MOD 555 VIDRIO BRAZO</t>
  </si>
  <si>
    <t>PORTA CELULAR MOTO IMPERMEABLE COD 331</t>
  </si>
  <si>
    <t>PORTA CELULAR NORGE SA-04BL</t>
  </si>
  <si>
    <t>PORTA CELULAR PARA BICICLETA</t>
  </si>
  <si>
    <t>PORTA CELULAR PARA BICICLETA COD 140</t>
  </si>
  <si>
    <t>PORTA CELULAR PARA BICICLETA COD 15288</t>
  </si>
  <si>
    <t>PORTA CELULAR PARA BICICLETA IRM-5389</t>
  </si>
  <si>
    <t>PORTA CELULAR PARA REJILLA AUTOMÓVIL</t>
  </si>
  <si>
    <t>PORTA CELULAR PARA REJILLA IMAN COD 2986</t>
  </si>
  <si>
    <t>PORTA CELULAR PATA FLEXIBLE IRM-04806</t>
  </si>
  <si>
    <t>PORTA CELULAR PINZA BRAZO</t>
  </si>
  <si>
    <t>PORTA CELULAR PINZAS</t>
  </si>
  <si>
    <t>PORTA CELULAR PORTA VASO BRAZO</t>
  </si>
  <si>
    <t xml:space="preserve">PORTA CELULAR REJILLA COD 2385 </t>
  </si>
  <si>
    <t>PORTA CELULAR REJILLA CON IMAN A05</t>
  </si>
  <si>
    <t>PORTA CELULAR REJILLA CON IMAN COD 59</t>
  </si>
  <si>
    <t>PORTA CELULAR REJILLA EH07</t>
  </si>
  <si>
    <t>PORTA CELULAR REJILLA GRAVEDAD</t>
  </si>
  <si>
    <t>PORTA CELULAR REJILLA IMAN</t>
  </si>
  <si>
    <t>PORTA CELULAR REJILLA IMAN MAXELL MH-4</t>
  </si>
  <si>
    <t>PORTA CELULAR REJILLA IRM-04812</t>
  </si>
  <si>
    <t>PORTA CELULAR REJILLA IRM-04945</t>
  </si>
  <si>
    <t>PORTA CELULAR REJILLA MAGNETICO</t>
  </si>
  <si>
    <t>PORTA CELULAR REMATE</t>
  </si>
  <si>
    <t>PORTA CELULAR RM-C10 REMAX REJILLA IMAN</t>
  </si>
  <si>
    <t>PORTA CELULAR S5 CARGA INALAMBRICA REJILLA BRAZO</t>
  </si>
  <si>
    <t>PORTA CELULAR SA-06BK</t>
  </si>
  <si>
    <t>PORTA CELULAR SXC-05057 REJILLA BRAZO</t>
  </si>
  <si>
    <t>PORTA CELULAR UNIVERSAL 360</t>
  </si>
  <si>
    <t xml:space="preserve">PORTA CELULAR VENTILACION AUTOMATICO </t>
  </si>
  <si>
    <t>PORTA CELULAR VENTILACION MOUNT</t>
  </si>
  <si>
    <t>PORTA CELULAR VENTILACION YTF</t>
  </si>
  <si>
    <t>PORTA CELULAR VIDRIO BRAZO</t>
  </si>
  <si>
    <t>PORTA CELULAR X32</t>
  </si>
  <si>
    <t>PORTA CELULAR Y TABLET 3 EN 1 COD 3124</t>
  </si>
  <si>
    <t>PORTA CELULAR Y TABLET IRM-04272</t>
  </si>
  <si>
    <t>PORTA CELUS</t>
  </si>
  <si>
    <t>PORTA GO PRO GRANDE CON VENTOSA COD 2558</t>
  </si>
  <si>
    <t>PORTA GO PRO PARA CASCO COD 3227</t>
  </si>
  <si>
    <t>PORTA GO PRO PARA VEHICULO COD 2358</t>
  </si>
  <si>
    <t>PORTA GOPRO BRAZO COD 3403</t>
  </si>
  <si>
    <t>PORTA GOPRO FLOTADOR COD 3197</t>
  </si>
  <si>
    <t>PORTA IPOD  P/ RETROVISOR COD 1544</t>
  </si>
  <si>
    <t>PORTA IPOD MINI CON IMAN COD 1090</t>
  </si>
  <si>
    <t>PORTA IPOD MINI CON IMAN COD 3456</t>
  </si>
  <si>
    <t>PORTA IPOD MINI PARA REJILLA AUTO COD 2218</t>
  </si>
  <si>
    <t>PORTA IPOD MOTO-BICI</t>
  </si>
  <si>
    <t>PORTA NOTEBOOK REGULABLE IRM-08190</t>
  </si>
  <si>
    <t>PORTA NOTEBOOK REGULABLE IRM-08198</t>
  </si>
  <si>
    <t>PORTA TABLET COD 64</t>
  </si>
  <si>
    <t>PORTA TABLET DBLUE  ST034</t>
  </si>
  <si>
    <t>PORTA TABLET RESPADO AUTO UNIVERSAL 2612</t>
  </si>
  <si>
    <t>PORTACELULAR AUTO</t>
  </si>
  <si>
    <t>PORTACELULAR AUTO REMAX</t>
  </si>
  <si>
    <t>POWER BANK 10.000 MHA</t>
  </si>
  <si>
    <t>POWER BANK 10000</t>
  </si>
  <si>
    <t xml:space="preserve">POWER BANK 10000 MAH </t>
  </si>
  <si>
    <t>POWER BANK 10000 MAH AIWA</t>
  </si>
  <si>
    <t>POWER BANK 10000 MAH EZRA</t>
  </si>
  <si>
    <t>POWER BANK 10000 MAH LIBOWEI</t>
  </si>
  <si>
    <t>POWER BANK 10000 MAH MASTER-G</t>
  </si>
  <si>
    <t>POWER BANK 10000 MAH MOTOMO</t>
  </si>
  <si>
    <t>POWER BANK 10000 MAH MOTOMO 02-0622</t>
  </si>
  <si>
    <t>POWER BANK 10000 MAH MOTOMO MO-PWB4010</t>
  </si>
  <si>
    <t>POWER BANK 10000 MAH MOTOMO PRI1009</t>
  </si>
  <si>
    <t>POWER BANK 10000 MAH PHILIPS</t>
  </si>
  <si>
    <t>POWER BANK 10000 MAH REMAX</t>
  </si>
  <si>
    <t>POWER BANK 10000MAH ONEPLUS D5564</t>
  </si>
  <si>
    <t>POWER BANK 10400 MAH COD 2966</t>
  </si>
  <si>
    <t>POWER BANK 11.000 AMP</t>
  </si>
  <si>
    <t>POWER BANK 11000 MAH</t>
  </si>
  <si>
    <t>POWER BANK 11000 MHA</t>
  </si>
  <si>
    <t>POWER BANK 12000 MAH COD 1329</t>
  </si>
  <si>
    <t>POWER BANK 12000MAH ET-E2871S SOLAR</t>
  </si>
  <si>
    <t>POWER BANK 13000 MAH CL-5 EWTTO</t>
  </si>
  <si>
    <t>POWER BANK 14800 MAH</t>
  </si>
  <si>
    <t>POWER BANK 15000 MAH ET-E2302S SOLAR</t>
  </si>
  <si>
    <t>POWER BANK 15000 MAH ET-E2304</t>
  </si>
  <si>
    <t>POWER BANK 20.000 MA T-16. COD 1563</t>
  </si>
  <si>
    <t>POWER BANK 20.000 MAH COD 2195</t>
  </si>
  <si>
    <t>POWER BANK 20.000 MAH CON 3 SALIDAS USB</t>
  </si>
  <si>
    <t xml:space="preserve">POWER BANK 20000 MAH AWEI P66K </t>
  </si>
  <si>
    <t>POWER BANK 20000 MAH COD 1268</t>
  </si>
  <si>
    <t>POWER BANK 20000 MAH COD 3180</t>
  </si>
  <si>
    <t>POWER BANK 20000 MAH COD 3646</t>
  </si>
  <si>
    <t>POWER BANK 20000 MAH COD 3646 3 USB</t>
  </si>
  <si>
    <t>POWER BANK 20000 MAH IRM-251211</t>
  </si>
  <si>
    <t>POWER BANK 20000MAH 3 USB LCD COD 11592</t>
  </si>
  <si>
    <t>POWER BANK 20000MHA  COD 2675</t>
  </si>
  <si>
    <t>POWER BANK 2600 MA DURACELL</t>
  </si>
  <si>
    <t>POWER BANK 2600 MAH</t>
  </si>
  <si>
    <t>POWER BANK 2600 MAH IRM-05440</t>
  </si>
  <si>
    <t>POWER BANK 2600 MAH IRM-2200332</t>
  </si>
  <si>
    <t>POWER BANK 2600MAH COD 12461</t>
  </si>
  <si>
    <t>POWER BANK 2800</t>
  </si>
  <si>
    <t>POWER BANK 3000 MAMP</t>
  </si>
  <si>
    <t>POWER BANK 3000 MHA</t>
  </si>
  <si>
    <t>POWER BANK 3300 MAH IRM-06683</t>
  </si>
  <si>
    <t>POWER BANK 4000 MAH MOTOMO SOLAR</t>
  </si>
  <si>
    <t>POWER BANK 4800MAH COD 11306</t>
  </si>
  <si>
    <t>POWER BANK 4800MAH SINOE</t>
  </si>
  <si>
    <t>POWER BANK 4900 MAH</t>
  </si>
  <si>
    <t>POWER BANK 5000 MAH</t>
  </si>
  <si>
    <t>POWER BANK 5000 MAH AIWA</t>
  </si>
  <si>
    <t>POWER BANK 5000 MAH IRM-05431</t>
  </si>
  <si>
    <t>POWER BANK 5000 MAH IRM-05760</t>
  </si>
  <si>
    <t>POWER BANK 5000 MAH MASTER-G</t>
  </si>
  <si>
    <t>POWER BANK 5000 MAH MOTOMO</t>
  </si>
  <si>
    <t>POWER BANK 5000 MAH MOTOMO 01-0622</t>
  </si>
  <si>
    <t>POWER BANK 5000 MAH MOTOMO X20</t>
  </si>
  <si>
    <t>POWER BANK 5200 MAH PHILCO 79PBP-52002</t>
  </si>
  <si>
    <t>POWER BANK 5600 MAH</t>
  </si>
  <si>
    <t>POWER BANK 5600 MAH ET-E2844</t>
  </si>
  <si>
    <t>POWER BANK 6.000 MA</t>
  </si>
  <si>
    <t>POWER BANK 6000 MAH IRM-05498</t>
  </si>
  <si>
    <t>POWER BANK 6000 MAH PHILCO 79PBP-60001</t>
  </si>
  <si>
    <t>POWER BANK 6500 MAH ONEPLUS D6042</t>
  </si>
  <si>
    <t>POWER BANK 7000 MAH IRM-2200301</t>
  </si>
  <si>
    <t>POWER BANK 7000 MAH IRM-2200302</t>
  </si>
  <si>
    <t>POWER BANK 7800 MAH AWEI P61K</t>
  </si>
  <si>
    <t>POWER BANK 8000 MA</t>
  </si>
  <si>
    <t>POWER BANK 8000 MAH ET-E2160</t>
  </si>
  <si>
    <t>POWER BANK 8000 MAH IRM-05758</t>
  </si>
  <si>
    <t>POWER BANK 8000 MAH MAI GUAN</t>
  </si>
  <si>
    <t>POWER BANK 8000MAH MOTOMO</t>
  </si>
  <si>
    <t>POWER BANK 8800</t>
  </si>
  <si>
    <t xml:space="preserve">POWER BANK 8800 MHA </t>
  </si>
  <si>
    <t>POWER BANK POKEMON 10.000 MAH</t>
  </si>
  <si>
    <t>POWER BANK SOLAR 500 MAH</t>
  </si>
  <si>
    <t>POWER BANK SOLAR 5000 MHA</t>
  </si>
  <si>
    <t>POWER BANK SOLAR COD 0139</t>
  </si>
  <si>
    <t>POWER BANK SOLAR DBLUE 5600 MHA</t>
  </si>
  <si>
    <t>POWER BANK ULTRA 2200 MAH</t>
  </si>
  <si>
    <t>POWERBANK 10000 MAH ASPOR</t>
  </si>
  <si>
    <t>PRESENTADOR DE DIAPOSITIVAS CON PUNTERO LASER PM27</t>
  </si>
  <si>
    <t>PRESENTADOR LASER COD 1711</t>
  </si>
  <si>
    <t>PRESENTADOR LASER CON ESTUCHE</t>
  </si>
  <si>
    <t>PRESENTADOR LASER PP-1000</t>
  </si>
  <si>
    <t>PROTECTOR AGUA IRM-1526</t>
  </si>
  <si>
    <t>PROTECTOR APPLE WATCH 38MM/40MM</t>
  </si>
  <si>
    <t>PROTECTOR CAMARA IPHONE X</t>
  </si>
  <si>
    <t>PROTECTOR DE CABLES BOCCINI TC5820</t>
  </si>
  <si>
    <t>PROTECTOR FACIAL</t>
  </si>
  <si>
    <t>PROTECTOR PARA CABLE DISEÑOS COD 5685</t>
  </si>
  <si>
    <t>PROYECTOR LUZ LASER IRM-01235</t>
  </si>
  <si>
    <t>PUNTERO LASER COD 8512</t>
  </si>
  <si>
    <t>PUNTERO LASER VERDE ASTRONOMICO COD 1077</t>
  </si>
  <si>
    <t>PUNTERO LASER VERDE COD 111869</t>
  </si>
  <si>
    <t>PORTA CELULAR MOTO / BICI TC 4046</t>
  </si>
  <si>
    <t>RAD AKITA 410 10 BAND. 220 V Y PILA REC.MICRÓFONO</t>
  </si>
  <si>
    <t>RAD AKITA 655 3 BAND  BAT REC.USB.MEMO 3 PARLANT</t>
  </si>
  <si>
    <t>RAD COLON 800 4 BAND 220 V Y PILA REC. USB MEMO</t>
  </si>
  <si>
    <t>RAD IN 218-8BAND. 220 V Y PILA REC.USB. MEMO. LINT</t>
  </si>
  <si>
    <t>RAD KCHIBO 2005 9 BAND 220 V Y PILA REC.</t>
  </si>
  <si>
    <t>RADIO 9 BANDAS. BAT. PILA. 220 V. USB. SD.</t>
  </si>
  <si>
    <t>RADIO AM/FM/SW. CARGADOR SOLAR. 220 V. MOBILE</t>
  </si>
  <si>
    <t>RADIO BLUETOOTH AKITA 645</t>
  </si>
  <si>
    <t>RADIO BLUETOOTH CON LUCES ET-R2493B</t>
  </si>
  <si>
    <t>RADIO DESPERTADOR FM COD 252 BLUETOOTH</t>
  </si>
  <si>
    <t>RADIO ET-2603B</t>
  </si>
  <si>
    <t>RADIO ET-R1712BFM</t>
  </si>
  <si>
    <t>RADIO ET-R1863S</t>
  </si>
  <si>
    <t>RADIO ET-R2163S</t>
  </si>
  <si>
    <t>RADIO ET-R2253B</t>
  </si>
  <si>
    <t>RADIO ET-R2553S</t>
  </si>
  <si>
    <t>RADIO ET-R2560B</t>
  </si>
  <si>
    <t>RADIO ET-R2561B</t>
  </si>
  <si>
    <t>RADIO ET-R2565B</t>
  </si>
  <si>
    <t>RADIO FM. 9 BANDAS. LINTERNA. RECARGABLE 220 Y 5 V</t>
  </si>
  <si>
    <t>RADIO GALON 1320 CON PANEL SOLAR</t>
  </si>
  <si>
    <t>RADIO GRABADOR CON MICROFONO ET-R1561MB</t>
  </si>
  <si>
    <t>RADIO GRABADOR ET-R1691MB</t>
  </si>
  <si>
    <t>RADIO MP3   ET-2133S</t>
  </si>
  <si>
    <t>Radio Parlante ET-5008</t>
  </si>
  <si>
    <t>Radio Parlante ET-P3311</t>
  </si>
  <si>
    <t>Radio Parlante ET-P3316</t>
  </si>
  <si>
    <t>Radio Parlante ET-P3413</t>
  </si>
  <si>
    <t>RADIO PHILIPS AZ380</t>
  </si>
  <si>
    <t>RADIO PORTATIL AIWA AW-50 FM</t>
  </si>
  <si>
    <t>RADIO PORTATIL AM-FM RP250</t>
  </si>
  <si>
    <t>RADIO PORTATIL AM-FM RP264</t>
  </si>
  <si>
    <t>RADIO PORTATIL AM/FM BLUETOOTH TARGET TT-CF18BT</t>
  </si>
  <si>
    <t>RADIO PORTATIL BLUETOOTH ET-P2382B</t>
  </si>
  <si>
    <t>RADIO PORTATIL CON CASETTE YG-333U</t>
  </si>
  <si>
    <t>RADIO PORTATIL CON RELOJ ET-R2754</t>
  </si>
  <si>
    <t>RADIO PORTATIL ET-P2457MB</t>
  </si>
  <si>
    <t>RADIO PORTATIL ET-R1173B</t>
  </si>
  <si>
    <t>RADIO PORTATIL ET-R1387B</t>
  </si>
  <si>
    <t>RADIO PORTATIL ET-R1573</t>
  </si>
  <si>
    <t>RADIO PORTATIL ET-R1705BFM</t>
  </si>
  <si>
    <t>RADIO PORTATIL ET-R1708BFM</t>
  </si>
  <si>
    <t>RADIO PORTATIL ET-R1716B</t>
  </si>
  <si>
    <t>RADIO PORTATIL ET-R1718B</t>
  </si>
  <si>
    <t>RADIO PORTATIL ET-R1832 CON PANEL SOLAR</t>
  </si>
  <si>
    <t>RADIO PORTATIL ET-R1861MB RADIO PROFESOR</t>
  </si>
  <si>
    <t>RADIO PORTATIL ET-R1882</t>
  </si>
  <si>
    <t>RADIO PORTATIL ET-R2094B</t>
  </si>
  <si>
    <t>RADIO PORTATIL ET-R2124B</t>
  </si>
  <si>
    <t>RADIO PORTATIL ET-R2143B</t>
  </si>
  <si>
    <t>RADIO PORTATIL ET-R2152B</t>
  </si>
  <si>
    <t>RADIO PORTATIL ET-R2156B</t>
  </si>
  <si>
    <t>RADIO PORTATIL ET-R2309BS</t>
  </si>
  <si>
    <t>RADIO PORTATIL ET-R2560B</t>
  </si>
  <si>
    <t>RADIO PORTATIL ET-R2573B</t>
  </si>
  <si>
    <t>RADIO PORTATIL ET-R2593B</t>
  </si>
  <si>
    <t>RADIO PORTATIL ET-R2627B</t>
  </si>
  <si>
    <t>RADIO PORTATIL ET-R2673B</t>
  </si>
  <si>
    <t>RADIO PORTATIL ET-R2683B</t>
  </si>
  <si>
    <t>RADIO PORTATIL ET-R2893B</t>
  </si>
  <si>
    <t>RADIO PORTATIL ET-R2928</t>
  </si>
  <si>
    <t>RADIO PORTATIL ET-R2952B SOLAR</t>
  </si>
  <si>
    <t>RADIO PORTATIL ET-R2955B SOLAR</t>
  </si>
  <si>
    <t>RADIO PORTATIL ET-RF306B</t>
  </si>
  <si>
    <t>RADIO PORTATIL ET-RICF18</t>
  </si>
  <si>
    <t>RADIO PORTATIL FM. USB.SD</t>
  </si>
  <si>
    <t>RADIO PORTATIL FM/AM RP-1240</t>
  </si>
  <si>
    <t>RADIO PORTATIL PHILCO IC-X15 CON AUDIFONO</t>
  </si>
  <si>
    <t>RADIO PORTATIL PHILCO IC-X60</t>
  </si>
  <si>
    <t>RADIO PORTATIL PHILCO IC-X60 COD 100319</t>
  </si>
  <si>
    <t>RADIO PORTATIL PHILCO ICX-20</t>
  </si>
  <si>
    <t>RADIO PORTATIL SONY ICF-P26</t>
  </si>
  <si>
    <t>RADIO PORTATIL VX-031TUF</t>
  </si>
  <si>
    <t>RADIO PORTATIL VX-047SL SOLAR</t>
  </si>
  <si>
    <t>RADIO PORTATIL VX-3103U</t>
  </si>
  <si>
    <t>RADIO PORTATIL VX-310USL SOLAR</t>
  </si>
  <si>
    <t>RADIO PORTATIL VX-322SL SOLAR</t>
  </si>
  <si>
    <t>RADIO PORTATIL VX-337SL SOLAR</t>
  </si>
  <si>
    <t>RADIO PORTATIL VX-341BT</t>
  </si>
  <si>
    <t>RADIO PORTATIL VX-346BT</t>
  </si>
  <si>
    <t>RADIO PORTATIL VX-359</t>
  </si>
  <si>
    <t>RADIO RELOJ</t>
  </si>
  <si>
    <t>RADIO SONY C.AUDIFONO SRF50- WALKMAN</t>
  </si>
  <si>
    <t>RADIO SONY P26</t>
  </si>
  <si>
    <t>RADIO YG-601 1716</t>
  </si>
  <si>
    <t>RECEPTOR BLUETOOTH AUDIO USB+PLUG COD.92084</t>
  </si>
  <si>
    <t>RECEPTOR BLUETOOTH BOCCINI BT350</t>
  </si>
  <si>
    <t>RECEPTOR BLUETOOTH BOCCINI BT360</t>
  </si>
  <si>
    <t>RECEPTOR BLUETOOTH BOCCINI BT600</t>
  </si>
  <si>
    <t>RECEPTOR BLUETOOTH BOCCINI M188</t>
  </si>
  <si>
    <t>RECEPTOR BLUETOOTH BOCCINI TX6</t>
  </si>
  <si>
    <t>RECEPTOR BLUETOOTH BT-450</t>
  </si>
  <si>
    <t>RECEPTOR BLUETOOTH CON AUXILIAR</t>
  </si>
  <si>
    <t>RECEPTOR BLUETOOTH IRM-01787</t>
  </si>
  <si>
    <t>RECEPTOR BLUETOOTH MICRO SD COD 2892</t>
  </si>
  <si>
    <t>RECEPTOR BLUETOOTH X6 BT-450</t>
  </si>
  <si>
    <t>RECEPTOR USB BLUETOOTH  HUBT02</t>
  </si>
  <si>
    <t>RELOJ DIGITAL CUADRADO LED 1019</t>
  </si>
  <si>
    <t>RELOJ PARA SMARTPHONE BLUETOOTH REDONDO COD 886</t>
  </si>
  <si>
    <t>RELOJ RADIO ET-K5027</t>
  </si>
  <si>
    <t>RELOJ SMART WACTH COD 10270</t>
  </si>
  <si>
    <t>RELOJ SMART WATCH COD 2926</t>
  </si>
  <si>
    <t>RELOJ SMART WATCH COD 2993</t>
  </si>
  <si>
    <t>REMATE</t>
  </si>
  <si>
    <t>REPETIDOR DE SEÑAL WIFI 600M DOBLE ANTENA</t>
  </si>
  <si>
    <t>REPETIDOR DE SEÑAL WIFI M300</t>
  </si>
  <si>
    <t>REPRODUCTOR MP3 MICRO SD TIPO SHUFFLE BLACK</t>
  </si>
  <si>
    <t>REPRODUCTOR MP3 MICRO SD TIPO SHUFFLE BLUE</t>
  </si>
  <si>
    <t>REPRODUCTOR MP3 MICRO SD TIPO SHUFFLE CON VISOR RED</t>
  </si>
  <si>
    <t>REPRODUCTOR MP3 MICRO SD TIPO SHUFFLE CON VISOR SILVER</t>
  </si>
  <si>
    <t>REPRODUCTOR MP3 MICRO SD TIPO SHUFFLE RED</t>
  </si>
  <si>
    <t>REPRODUCTOR MP3 MICRO SD TIPO SHUFFLE SILVER</t>
  </si>
  <si>
    <t>REPUESTO PANTALLA IPHONE 7</t>
  </si>
  <si>
    <t>RESPUESTO PANTALLA HUAWEI MATE 10 LITE</t>
  </si>
  <si>
    <t>REVISION SERVICIO TECNICO 3</t>
  </si>
  <si>
    <t>REVISION SERVICIO TECNICO 4</t>
  </si>
  <si>
    <t>REVISION SERVICIO TECNICO 5</t>
  </si>
  <si>
    <t>RING PARA CELULAR DISEÑOS</t>
  </si>
  <si>
    <t>RING PARA CELULAR IRM-06289</t>
  </si>
  <si>
    <t>RING PARA CELULAR IRM-06290</t>
  </si>
  <si>
    <t>ROKU EXPRESS</t>
  </si>
  <si>
    <t>REVISION SERVICIO TECNICO 2</t>
  </si>
  <si>
    <t>SANITIZANTE AMONIO CUATERNARIO</t>
  </si>
  <si>
    <t>SD 32 SANDISK EXTREME PRO</t>
  </si>
  <si>
    <t>SELFIE CON BLUETOOTH Z 07-5</t>
  </si>
  <si>
    <t>SELFIE CON DISPARADOR BLUETOOTH</t>
  </si>
  <si>
    <t>SELFIE CON TRIPODE MOD 01</t>
  </si>
  <si>
    <t>SELFIE DB SCM14BLUE</t>
  </si>
  <si>
    <t>SELFIE DB SCM14G</t>
  </si>
  <si>
    <t>SELFIE MAXELL RS-100</t>
  </si>
  <si>
    <t>SELFIE MONOPOD + CONTROL BLUETOOTH - FE</t>
  </si>
  <si>
    <t>SELFIE PARA GO PRO</t>
  </si>
  <si>
    <t>SELFIE PARA GO PRO 4 LARGO 1.2 M</t>
  </si>
  <si>
    <t>SELFIE PARA GOPRO CON TRIPODE 2929</t>
  </si>
  <si>
    <t>SELFIE PY 011 + DISPARADOR BLUETOOTH</t>
  </si>
  <si>
    <t>SELFIE STICK IRM-1599</t>
  </si>
  <si>
    <t>SELFIE ULTRA LARGO MOD 1288</t>
  </si>
  <si>
    <t>SELFIE Z 07-5 C. BLUETOOTH INCORPORADO</t>
  </si>
  <si>
    <t>SELFIE Z-07 C. BLUETOOTH - FE</t>
  </si>
  <si>
    <t>SELFIE Z07-5</t>
  </si>
  <si>
    <t>SENSOR DE MOVIMIENTO COD 2248</t>
  </si>
  <si>
    <t>SENSOR PARKING COD 1344</t>
  </si>
  <si>
    <t>SERVICIO TECNICO 2 ACT</t>
  </si>
  <si>
    <t>SERVICIO TECNICO 3 ACT</t>
  </si>
  <si>
    <t>SERVICIO TECNICO 4</t>
  </si>
  <si>
    <t>SERVICIO TECNICO 5</t>
  </si>
  <si>
    <t>SERVICIO TECNICO 6</t>
  </si>
  <si>
    <t>SET DESTORNILLADORES CELULAR COD 111836</t>
  </si>
  <si>
    <t>SET LIMPIADOR LCD 200 ML</t>
  </si>
  <si>
    <t>SET LIMPIADOR LCD 60 ML</t>
  </si>
  <si>
    <t>SET LIMPIEZA LCD 4 EN 1</t>
  </si>
  <si>
    <t>SET LUZ BICI COD 1689</t>
  </si>
  <si>
    <t>SET LUZ BICI COD 4218</t>
  </si>
  <si>
    <t>SILICONA POKEMON</t>
  </si>
  <si>
    <t>SINTONIZADOR BLUETOOTH FM EARLDOM ET-M26</t>
  </si>
  <si>
    <t>SMART BAND COD 14441</t>
  </si>
  <si>
    <t>SMART BAND COD 6103</t>
  </si>
  <si>
    <t>SMART TV</t>
  </si>
  <si>
    <t>SMART TV BOX X 96 ANDROID 10 COD 117809</t>
  </si>
  <si>
    <t>SMART WATCH</t>
  </si>
  <si>
    <t>SMART WATCH ET-K9004B</t>
  </si>
  <si>
    <t>SMART WATCH INALAMBRICO  DBSMB02</t>
  </si>
  <si>
    <t>SMARTWATCH COD 3020 BLUETOOTH. MICRO SD</t>
  </si>
  <si>
    <t>SMARTWATCH ET-K9009B</t>
  </si>
  <si>
    <t>SMARTWATCH ET-K9011B</t>
  </si>
  <si>
    <t>SMARTWATCH IRM-08316</t>
  </si>
  <si>
    <t>SMARTWATCH IRM-08317 FT80</t>
  </si>
  <si>
    <t>SMARTWATCH IRM-08636 K60</t>
  </si>
  <si>
    <t>SOBRE GRANDE</t>
  </si>
  <si>
    <t xml:space="preserve">SOBRE TABLET UNIVERSAL </t>
  </si>
  <si>
    <t>SOOWOOFER MICRO SISTEN  2.1</t>
  </si>
  <si>
    <t>SOPORTE CELULAR BRAZO AJUSTABLE AUTOMATICO</t>
  </si>
  <si>
    <t>SOPORTE CELULAR BRAZO IRM-5068</t>
  </si>
  <si>
    <t>SOPORTE CELULAR MAGNETICO 03821</t>
  </si>
  <si>
    <t>SOPORTE DE AUTO COD 2002 BRACKET</t>
  </si>
  <si>
    <t>SOPORTE DE AUTO COD 2492</t>
  </si>
  <si>
    <t>SOPORTE DE MESA PARA CELULAR</t>
  </si>
  <si>
    <t>SOPORTE DE TV ARTICULADO 17"-55" TARGET TT-STV8</t>
  </si>
  <si>
    <t>SOPORTE DE TV ARTICULADO 32"-70" CP502</t>
  </si>
  <si>
    <t>SOPORTE DE TV FIJO 23"-60" TARGET TT-STV6</t>
  </si>
  <si>
    <t>SOPORTE DE TV FIJO COD 111451 14" A 42"</t>
  </si>
  <si>
    <t>SOPORTE DE TV XTECH XTA-375 32" A 70"</t>
  </si>
  <si>
    <t>soporte go pro</t>
  </si>
  <si>
    <t>SOPORTE MAGNETICO COD 2220</t>
  </si>
  <si>
    <t>SOPORTE PARA LCD 14" A 55" COD 111440</t>
  </si>
  <si>
    <t xml:space="preserve">SOPORTE PARA LCD 37" A 84" PHILIPS </t>
  </si>
  <si>
    <t xml:space="preserve">SOPORTE PARA LCD 40" A 65" PHILIPS </t>
  </si>
  <si>
    <t>SOPORTE PARA MOTO O BICICLETA COD 331</t>
  </si>
  <si>
    <t>SOPORTE PARA TABLET ACCELLORIZE</t>
  </si>
  <si>
    <t>SOPORTE TABLET ASIENTO HU201</t>
  </si>
  <si>
    <t>SOPORTE TABLET PARA ASIENTO</t>
  </si>
  <si>
    <t>SOPORTE TRIPODE GOPRO C/TORN</t>
  </si>
  <si>
    <t>SOPORTE UNIVERSAL GOMA</t>
  </si>
  <si>
    <t>SOUND BAR C SUBWOOFER SB-5139BT</t>
  </si>
  <si>
    <t>SPINNER</t>
  </si>
  <si>
    <t>SPLITTER ADSL 2 SALIDAS COD 3973</t>
  </si>
  <si>
    <t>SPLITTER HDMI 1X4</t>
  </si>
  <si>
    <t>SPLITTER HDMI 2 SALIDAS</t>
  </si>
  <si>
    <t xml:space="preserve">SPLITTER HDMI 4 SALIDAS </t>
  </si>
  <si>
    <t>SPLITTER HDMI IRM-06040 2 SALIDAS</t>
  </si>
  <si>
    <t>SPLITTER HDMI IRM-06041 4 SALIDAS</t>
  </si>
  <si>
    <t>SUBWOOFER 2.1 PHILCO</t>
  </si>
  <si>
    <t>SWITCH HDMI 3 EN 1 1212-15</t>
  </si>
  <si>
    <t>SWITCH HDMI IRM-6029 3 ENTRADAS 1 SALIDA</t>
  </si>
  <si>
    <t>SERVICIO TECNICO 1</t>
  </si>
  <si>
    <t>servicio tecnico 2</t>
  </si>
  <si>
    <t>servicio tecnico 3</t>
  </si>
  <si>
    <t>SPINERS</t>
  </si>
  <si>
    <t>TAMA CELU</t>
  </si>
  <si>
    <t>TAPA  2.0 SAM J5 PRIME</t>
  </si>
  <si>
    <t>TAPA  BORDE COLOR SAM J5</t>
  </si>
  <si>
    <t>TAPA  G PLAY MINI</t>
  </si>
  <si>
    <t>TAPA  MOTOMO GOMA IPHONE 6 (4.7)</t>
  </si>
  <si>
    <t>TAPA  YOU YOU-SWAROSKY  MOTO G4</t>
  </si>
  <si>
    <t>TAPA + VIDRIO DISEÑO HUAWEI MATE 9 LITE</t>
  </si>
  <si>
    <t>TAPA + VIDRIO DISEÑO HUAWEI P9 LITE SMART</t>
  </si>
  <si>
    <t>TAPA + VIDRIO DISEÑO HUAWEI Y7</t>
  </si>
  <si>
    <t>TAPA + VIDRIO DISEÑO IPHONE 5</t>
  </si>
  <si>
    <t>TAPA + VIDRIO DISEÑO IPHONE 6G</t>
  </si>
  <si>
    <t>TAPA + VIDRIO DISEÑO IPHONE 7G</t>
  </si>
  <si>
    <t>TAPA + VIDRIO DISEÑO LG K10-2017</t>
  </si>
  <si>
    <t>TAPA + VIDRIO DISEÑO MOTO C</t>
  </si>
  <si>
    <t>TAPA + VIDRIO DISEÑO MOTO C PLUS</t>
  </si>
  <si>
    <t>TAPA + VIDRIO DISEÑO NOKIA 6</t>
  </si>
  <si>
    <t>TAPA + VIDRIO DISEÑO SAM J1 ACE</t>
  </si>
  <si>
    <t>TAPA + VIDRIO DISEÑO SAM J2 PRIME</t>
  </si>
  <si>
    <t>TAPA + VIDRIO DISEÑO SAM J5 PRIME</t>
  </si>
  <si>
    <t>TAPA + VIDRIO DISEÑO SAM J7 NEO</t>
  </si>
  <si>
    <t>TAPA + VIDRIO DISEÑO SAM J7 PRIME</t>
  </si>
  <si>
    <t>TAPA + VIDRIO DISEÑO SAM J7 PRO</t>
  </si>
  <si>
    <t>TAPA + VIDRIO DISEÑO SAM J7-2016</t>
  </si>
  <si>
    <t>TAPA + VIDRIO DISEÑO SAM S6 EDGE</t>
  </si>
  <si>
    <t>TAPA 2.0  MOTO C</t>
  </si>
  <si>
    <t>TAPA 2.0 ALCATEL C5</t>
  </si>
  <si>
    <t>TAPA 2.0 ALCATEL C7</t>
  </si>
  <si>
    <t>TAPA 2.0 ALCATEL C9</t>
  </si>
  <si>
    <t>TAPA 2.0 ALCATEL HERO 2C</t>
  </si>
  <si>
    <t>TAPA 2.0 ALCATEL IDOL 2 MINI</t>
  </si>
  <si>
    <t>TAPA 2.0 ALCATEL IDOL 3 4.7"</t>
  </si>
  <si>
    <t>TAPA 2.0 ALCATEL IDOL 4</t>
  </si>
  <si>
    <t>TAPA 2.0 ALCATEL IDOL MINI</t>
  </si>
  <si>
    <t>TAPA 2.0 ALCATEL OT 5025</t>
  </si>
  <si>
    <t>TAPA 2.0 ALCATEL PIXI</t>
  </si>
  <si>
    <t>TAPA 2.0 ALCATEL PIXI 3  5"</t>
  </si>
  <si>
    <t>TAPA 2.0 ALCATEL PIXI 3 4"</t>
  </si>
  <si>
    <t>TAPA 2.0 ALCATEL PIXI 3 4.5"</t>
  </si>
  <si>
    <t>TAPA 2.0 ALCATEL PIXI 3 4.7"</t>
  </si>
  <si>
    <t>TAPA 2.0 ALCATEL PIXI 3 5"</t>
  </si>
  <si>
    <t>TAPA 2.0 ALCATEL PIXI 4 4"</t>
  </si>
  <si>
    <t>TAPA 2.0 ALCATEL PIXI 4 5 CONECTOR ABAJO</t>
  </si>
  <si>
    <t>TAPA 2.0 ALCATEL PIXI 4 5"</t>
  </si>
  <si>
    <t>TAPA 2.0 ALCATEL PIXI 4 6"</t>
  </si>
  <si>
    <t>TAPA 2.0 ALCATEL POP 2</t>
  </si>
  <si>
    <t>TAPA 2.0 ALCATEL POP 3</t>
  </si>
  <si>
    <t>TAPA 2.0 ALCATEL POP 3 5"</t>
  </si>
  <si>
    <t>TAPA 2.0 ALCATEL POP 3 PREMIUM</t>
  </si>
  <si>
    <t>TAPA 2.0 ALCATEL POP 4  5.0</t>
  </si>
  <si>
    <t>TAPA 2.0 ALCATEL POP 4 PLUS</t>
  </si>
  <si>
    <t>TAPA 2.0 ALCATEL POP STAR</t>
  </si>
  <si>
    <t>TAPA 2.0 AZUMI A45T</t>
  </si>
  <si>
    <t>TAPA 2.0 AZUMI A50TQ</t>
  </si>
  <si>
    <t>TAPA 2.0 AZUMI A55T</t>
  </si>
  <si>
    <t>TAPA 2.0 DOBLE SONY E3</t>
  </si>
  <si>
    <t>TAPA 2.0 HTC 626 DESIRE</t>
  </si>
  <si>
    <t>TAPA 2.0 HUAWEI  Y5-II</t>
  </si>
  <si>
    <t>TAPA 2.0 HUAWEI G PLAY</t>
  </si>
  <si>
    <t>TAPA 2.0 HUAWEI G PLAY MINI</t>
  </si>
  <si>
    <t>TAPA 2.0 HUAWEI G610</t>
  </si>
  <si>
    <t>TAPA 2.0 HUAWEI G7</t>
  </si>
  <si>
    <t>TAPA 2.0 HUAWEI GR3</t>
  </si>
  <si>
    <t>TAPA 2.0 HUAWEI GR5</t>
  </si>
  <si>
    <t>TAPA 2.0 HUAWEI MATE 10</t>
  </si>
  <si>
    <t>TAPA 2.0 HUAWEI MATE 10 LITE</t>
  </si>
  <si>
    <t>TAPA 2.0 HUAWEI MATE 10 PRO</t>
  </si>
  <si>
    <t>TAPA 2.0 HUAWEI MATE 20</t>
  </si>
  <si>
    <t>TAPA 2.0 HUAWEI MATE 20 LITE</t>
  </si>
  <si>
    <t>TAPA 2.0 HUAWEI MATE 20 PRO</t>
  </si>
  <si>
    <t>TAPA 2.0 HUAWEI MATE 30 LITE</t>
  </si>
  <si>
    <t>TAPA 2.0 HUAWEI MATE 8</t>
  </si>
  <si>
    <t>TAPA 2.0 HUAWEI MATE 9</t>
  </si>
  <si>
    <t>TAPA 2.0 HUAWEI MATE 9 LITE</t>
  </si>
  <si>
    <t>TAPA 2.0 HUAWEI NOVA 7 SE</t>
  </si>
  <si>
    <t>TAPA 2.0 HUAWEI P10</t>
  </si>
  <si>
    <t>TAPA 2.0 HUAWEI P10 LITE</t>
  </si>
  <si>
    <t>TAPA 2.0 HUAWEI P20</t>
  </si>
  <si>
    <t>TAPA 2.0 HUAWEI P20 LITE</t>
  </si>
  <si>
    <t>TAPA 2.0 HUAWEI P20 PRO</t>
  </si>
  <si>
    <t>TAPA 2.0 HUAWEI P30</t>
  </si>
  <si>
    <t>TAPA 2.0 HUAWEI P30 LITE</t>
  </si>
  <si>
    <t>TAPA 2.0 HUAWEI P30 PRO</t>
  </si>
  <si>
    <t>TAPA 2.0 HUAWEI P40</t>
  </si>
  <si>
    <t>TAPA 2.0 HUAWEI P40 LITE</t>
  </si>
  <si>
    <t>TAPA 2.0 HUAWEI P8</t>
  </si>
  <si>
    <t>TAPA 2.0 HUAWEI P8 LITE</t>
  </si>
  <si>
    <t>TAPA 2.0 HUAWEI P8 LITE 2017</t>
  </si>
  <si>
    <t>TAPA 2.0 HUAWEI P9</t>
  </si>
  <si>
    <t>TAPA 2.0 HUAWEI P9 LITE</t>
  </si>
  <si>
    <t>TAPA 2.0 HUAWEI P9 LITE 2017</t>
  </si>
  <si>
    <t>TAPA 2.0 HUAWEI P9 LITE MINI</t>
  </si>
  <si>
    <t>TAPA 2.0 HUAWEI P9 LITE SMART</t>
  </si>
  <si>
    <t>TAPA 2.0 HUAWEI P9 PLUS</t>
  </si>
  <si>
    <t>TAPA 2.0 HUAWEI P9/P8 LITE 2017</t>
  </si>
  <si>
    <t>TAPA 2.0 HUAWEI PSMART</t>
  </si>
  <si>
    <t>TAPA 2.0 HUAWEI PSMART 2019</t>
  </si>
  <si>
    <t>TAPA 2.0 HUAWEI Y3</t>
  </si>
  <si>
    <t>TAPA 2.0 HUAWEI Y3-2017</t>
  </si>
  <si>
    <t>TAPA 2.0 HUAWEI Y3-II</t>
  </si>
  <si>
    <t>TAPA 2.0 HUAWEI Y5-2017</t>
  </si>
  <si>
    <t>TAPA 2.0 HUAWEI Y5-2018</t>
  </si>
  <si>
    <t>TAPA 2.0 HUAWEI Y5-II</t>
  </si>
  <si>
    <t>TAPA 2.0 HUAWEI Y5-II 2017</t>
  </si>
  <si>
    <t>TAPA 2.0 HUAWEI Y5II</t>
  </si>
  <si>
    <t>TAPA 2.0 HUAWEI Y6</t>
  </si>
  <si>
    <t>TAPA 2.0 HUAWEI Y6 II</t>
  </si>
  <si>
    <t>TAPA 2.0 HUAWEI Y6-2018</t>
  </si>
  <si>
    <t>TAPA 2.0 HUAWEI Y6-2019</t>
  </si>
  <si>
    <t>TAPA 2.0 HUAWEI Y6-II</t>
  </si>
  <si>
    <t>TAPA 2.0 HUAWEI Y620</t>
  </si>
  <si>
    <t>TAPA 2.0 HUAWEI Y625</t>
  </si>
  <si>
    <t>TAPA 2.0 HUAWEI Y635</t>
  </si>
  <si>
    <t>TAPA 2.0 HUAWEI Y635 ASCEND</t>
  </si>
  <si>
    <t>TAPA 2.0 HUAWEI Y6P</t>
  </si>
  <si>
    <t>TAPA 2.0 HUAWEI Y7</t>
  </si>
  <si>
    <t>TAPA 2.0 HUAWEI Y7-2018</t>
  </si>
  <si>
    <t>TAPA 2.0 HUAWEI Y7-2019</t>
  </si>
  <si>
    <t>TAPA 2.0 HUAWEI Y7P</t>
  </si>
  <si>
    <t>TAPA 2.0 HUAWEI Y8P</t>
  </si>
  <si>
    <t>TAPA 2.0 HUAWEI Y9-2018</t>
  </si>
  <si>
    <t>TAPA 2.0 HUAWEI Y9-2019</t>
  </si>
  <si>
    <t>TAPA 2.0 HUAWEI Y9-2019 PRIME</t>
  </si>
  <si>
    <t>TAPA 2.0 HUAWEI Y9S</t>
  </si>
  <si>
    <t>TAPA 2.0 IPHONE 11</t>
  </si>
  <si>
    <t>TAPA 2.0 IPHONE 11 PRO</t>
  </si>
  <si>
    <t>TAPA 2.0 IPHONE 11 PRO MAX</t>
  </si>
  <si>
    <t>TAPA 2.0 IPHONE 12 MINI</t>
  </si>
  <si>
    <t>TAPA 2.0 IPHONE 12 PRO MAX</t>
  </si>
  <si>
    <t>TAPA 2.0 IPHONE 12/12 PRO</t>
  </si>
  <si>
    <t>TAPA 2.0 IPHONE 4</t>
  </si>
  <si>
    <t>TAPA 2.0 IPHONE 5</t>
  </si>
  <si>
    <t>SIMPSON</t>
  </si>
  <si>
    <t>TAPA 2.0 IPHONE 6</t>
  </si>
  <si>
    <t>TAPA 2.0 IPHONE 6 5.5</t>
  </si>
  <si>
    <t>TAPA 2.0 IPHONE 6 PLUS</t>
  </si>
  <si>
    <t>TAPA 2.0 IPHONE 7</t>
  </si>
  <si>
    <t>TAPA BLINDADA</t>
  </si>
  <si>
    <t>TAPA 2.0 IPHONE 7 PLUS</t>
  </si>
  <si>
    <t>TAPA 2.0 IPHONE 8</t>
  </si>
  <si>
    <t>TAPA 2.0 IPHONE 8 PLUS</t>
  </si>
  <si>
    <t>TAPA 2.0 IPHONE X</t>
  </si>
  <si>
    <t>TAPA 2.0 IPHONE XR</t>
  </si>
  <si>
    <t>TAPA 2.0 IPHONE XS</t>
  </si>
  <si>
    <t>TAPA 2.0 IPHONE XS MAX</t>
  </si>
  <si>
    <t>TAPA 2.0 LENOVO 6020</t>
  </si>
  <si>
    <t>TAPA 2.0 LENOVO A2010</t>
  </si>
  <si>
    <t>TAPA 2.0 LENOVO K3</t>
  </si>
  <si>
    <t>TAPA 2.0 LENOVO K5</t>
  </si>
  <si>
    <t>TAPA 2.0 LENOVO K6</t>
  </si>
  <si>
    <t>TAPA 2.0 LENOVO K6 PLUS</t>
  </si>
  <si>
    <t>TAPA 2.0 LG  STYLUS II</t>
  </si>
  <si>
    <t>TAPA 2.0 LG BEAT G3</t>
  </si>
  <si>
    <t>TAPA 2.0 LG D337 PRIME 2</t>
  </si>
  <si>
    <t>TAPA 2.0 LG G2</t>
  </si>
  <si>
    <t>TAPA 2.0 LG G2 LITE</t>
  </si>
  <si>
    <t>TAPA 2.0 LG G3 BEAT</t>
  </si>
  <si>
    <t>TAPA 2.0 LG G3 MINI</t>
  </si>
  <si>
    <t>TAPA 2.0 LG G3 STYLUS</t>
  </si>
  <si>
    <t>TAPA 2.0 LG G3 STYLUS D690</t>
  </si>
  <si>
    <t>TAPA 2.0 LG G4</t>
  </si>
  <si>
    <t>TAPA 2.0 LG G4 STYLUS</t>
  </si>
  <si>
    <t>TAPA 2.0 LG G5</t>
  </si>
  <si>
    <t>TAPA 2.0 LG K10</t>
  </si>
  <si>
    <t>TAPA 2.0 LG K10-2017</t>
  </si>
  <si>
    <t>TAPA 2.0 LG K11</t>
  </si>
  <si>
    <t>TAPA 2.0 LG K11 PLUS</t>
  </si>
  <si>
    <t>TAPA 2.0 LG K4-2017</t>
  </si>
  <si>
    <t>TAPA 2.0 LG K40</t>
  </si>
  <si>
    <t>TAPA 2.0 LG K5</t>
  </si>
  <si>
    <t>TAPA 2.0 LG K50/Q60</t>
  </si>
  <si>
    <t>TAPA 2.0 LG K500</t>
  </si>
  <si>
    <t>TAPA 2.0 LG K500 SCREEN</t>
  </si>
  <si>
    <t>TAPA 2.0 LG K7</t>
  </si>
  <si>
    <t>TAPA 2.0 LG K8</t>
  </si>
  <si>
    <t>TAPA 2.0 LG K8-2017</t>
  </si>
  <si>
    <t>TAPA 2.0 LG L2 D337 II</t>
  </si>
  <si>
    <t>TAPA 2.0 LG L2 PRIME</t>
  </si>
  <si>
    <t>TAPA 2.0 LG L5</t>
  </si>
  <si>
    <t>TAPA 2.0 LG LEON</t>
  </si>
  <si>
    <t>TAPA 2.0 LG LEON C40</t>
  </si>
  <si>
    <t>TAPA 2.0 LG LIFT D290</t>
  </si>
  <si>
    <t>TAPA 2.0 LG MAGNA</t>
  </si>
  <si>
    <t>TAPA 2.0 LG MAGNA H502</t>
  </si>
  <si>
    <t>TAPA 2.0 LG NEW D 337-II PRIME 2</t>
  </si>
  <si>
    <t>TAPA 2.0 LG PRIME 2</t>
  </si>
  <si>
    <t>TAPA 2.0 LG Q STYLUS</t>
  </si>
  <si>
    <t>TAPA 2.0 LG Q6</t>
  </si>
  <si>
    <t>TAPA 2.0 LG Q7</t>
  </si>
  <si>
    <t>TAPA 2.0 LG STYLUS 2 PLUS</t>
  </si>
  <si>
    <t>TAPA 2.0 LG STYLUS 3</t>
  </si>
  <si>
    <t>TAPA 2.0 LG STYLUS II</t>
  </si>
  <si>
    <t>TAPA 2.0 LG STYLUS III</t>
  </si>
  <si>
    <t>TAPA 2.0 LG V10</t>
  </si>
  <si>
    <t>TAPA 2.0 LG X CAM</t>
  </si>
  <si>
    <t>TAPA 2.0 LG X MAX</t>
  </si>
  <si>
    <t>TAPA 2.0 LG X POWER</t>
  </si>
  <si>
    <t>TAPA 2.0 LG X POWER 2</t>
  </si>
  <si>
    <t>TAPA 2.0 LG X POWER II</t>
  </si>
  <si>
    <t>TAPA 2.0 LG X SCREEN</t>
  </si>
  <si>
    <t>TAPA 2.0 LG XCAM</t>
  </si>
  <si>
    <t xml:space="preserve">TAPA 2.0 MOTO C </t>
  </si>
  <si>
    <t>TAPA 2.0 MOTO C</t>
  </si>
  <si>
    <t>TAPA 2.0 MOTO C PLUS</t>
  </si>
  <si>
    <t>TAPA 2.0 MOTO E</t>
  </si>
  <si>
    <t>TAPA 2.0 MOTO E2</t>
  </si>
  <si>
    <t>TAPA 2.0 MOTO E4</t>
  </si>
  <si>
    <t>TAPA 2.0 MOTO E4 PLUS</t>
  </si>
  <si>
    <t>TAPA 2.0 MOTO E5</t>
  </si>
  <si>
    <t>TAPA 2.0 MOTO E5 PLAY</t>
  </si>
  <si>
    <t>TAPA 2.0 MOTO E5 PLUS</t>
  </si>
  <si>
    <t>TAPA 2.0 MOTO E6S</t>
  </si>
  <si>
    <t>TAPA 2.0 MOTO G</t>
  </si>
  <si>
    <t>TAPA 2.0 MOTO G2</t>
  </si>
  <si>
    <t>TAPA 2.0 MOTO G3</t>
  </si>
  <si>
    <t>TAPA 2.0 MOTO G4</t>
  </si>
  <si>
    <t>TAPA 2.0 MOTO G4 PLAY</t>
  </si>
  <si>
    <t>TAPA 2.0 MOTO G4 PLUS</t>
  </si>
  <si>
    <t>TAPA 2.0 MOTO G5</t>
  </si>
  <si>
    <t>TAPA 2.0 MOTO G5 PLUS</t>
  </si>
  <si>
    <t>TAPA 2.0 MOTO G5S</t>
  </si>
  <si>
    <t>TAPA 2.0 MOTO G5S PLUS</t>
  </si>
  <si>
    <t>TAPA 2.0 MOTO G6</t>
  </si>
  <si>
    <t>TAPA 2.0 MOTO G6 PLAY</t>
  </si>
  <si>
    <t>TAPA 2.0 MOTO G6 PLUS</t>
  </si>
  <si>
    <t>TAPA 2.0 MOTO G7</t>
  </si>
  <si>
    <t>TAPA 2.0 MOTO G7 PLAY</t>
  </si>
  <si>
    <t>TAPA 2.0 MOTO G7 POWER</t>
  </si>
  <si>
    <t>TAPA 2.0 MOTO G8 POWER LITE</t>
  </si>
  <si>
    <t>TAPA 2.0 MOTO ONE</t>
  </si>
  <si>
    <t>TAPA 2.0 MOTO ONE ACTION</t>
  </si>
  <si>
    <t>TAPA 2.0 MOTO X</t>
  </si>
  <si>
    <t>TAPA 2.0 MOTO X PLAY</t>
  </si>
  <si>
    <t>TAPA 2.0 MOTO X2</t>
  </si>
  <si>
    <t>TAPA 2.0 MOTO X4</t>
  </si>
  <si>
    <t>TAPA 2.0 MOTO Z</t>
  </si>
  <si>
    <t>TAPA 2.0 MOTO Z PLAY</t>
  </si>
  <si>
    <t>TAPA 2.0 MOTO Z2 PLAY</t>
  </si>
  <si>
    <t>TAPA 2.0 NOKIA 1</t>
  </si>
  <si>
    <t>TAPA 2.0 NOKIA 2</t>
  </si>
  <si>
    <t>TAPA 2.0 NOKIA 2.1</t>
  </si>
  <si>
    <t>TAPA 2.0 NOKIA 3</t>
  </si>
  <si>
    <t>TAPA 2.0 NOKIA 3.1</t>
  </si>
  <si>
    <t>TAPA 2.0 NOKIA 5</t>
  </si>
  <si>
    <t>TAPA 2.0 NOKIA 5.1</t>
  </si>
  <si>
    <t>TAPA 2.0 NOKIA 5.1 PLUS</t>
  </si>
  <si>
    <t>TAPA 2.0 NOKIA 6</t>
  </si>
  <si>
    <t xml:space="preserve">TAPA 2.0 NOKIA 6 </t>
  </si>
  <si>
    <t>TAPA 2.0 NOKIA 6.1</t>
  </si>
  <si>
    <t>TAPA 2.0 NOKIA 8</t>
  </si>
  <si>
    <t>TAPA 2.0 OWN 4035 4G</t>
  </si>
  <si>
    <t>TAPA 2.0 OWN 4040</t>
  </si>
  <si>
    <t>TAPA 2.0 OWN 5030</t>
  </si>
  <si>
    <t>TAPA 2.0 OWN S 4035</t>
  </si>
  <si>
    <t>TAPA 2.0 OWN S1</t>
  </si>
  <si>
    <t>TAPA 2.0 OWN STYLE</t>
  </si>
  <si>
    <t>TAPA 2.0 SAM 360</t>
  </si>
  <si>
    <t>TAPA 2.0 SAM 530</t>
  </si>
  <si>
    <t>TAPA 2.0 SAM 850 ALPHA</t>
  </si>
  <si>
    <t>TAPA 2.0 SAM 9600 S=5</t>
  </si>
  <si>
    <t>TAPA 2.0 SAM A01</t>
  </si>
  <si>
    <t>TAPA 2.0 SAM A01 CORE</t>
  </si>
  <si>
    <t>TAPA 2.0 SAM A02</t>
  </si>
  <si>
    <t>TAPA 2.0 SAM A02S</t>
  </si>
  <si>
    <t>TAPA 2.0 SAM A10</t>
  </si>
  <si>
    <t>TAPA 2.0 SAM A10S</t>
  </si>
  <si>
    <t>TAPA 2.0 SAM A11</t>
  </si>
  <si>
    <t>TAPA 2.0 SAM A12</t>
  </si>
  <si>
    <t>TAPA 2.0 SAM A20</t>
  </si>
  <si>
    <t>TAPA 2.0 SAM A20S</t>
  </si>
  <si>
    <t>TAPA 2.0 SAM A21S</t>
  </si>
  <si>
    <t>TAPA 2.0 SAM A3</t>
  </si>
  <si>
    <t>TAPA 2.0 SAM A3-2016</t>
  </si>
  <si>
    <t>TAPA 2.0 SAM A30</t>
  </si>
  <si>
    <t>TAPA 2.0 SAM A30S</t>
  </si>
  <si>
    <t>TAPA 2.0 SAM A31</t>
  </si>
  <si>
    <t>TAPA 2.0 SAM A32</t>
  </si>
  <si>
    <t>TAPA 2.0 SAM A40</t>
  </si>
  <si>
    <t>TAPA 2.0 SAM A5</t>
  </si>
  <si>
    <t>TAPA 2.0 SAM A5-2016</t>
  </si>
  <si>
    <t>TAPA 2.0 SAM A5-2017</t>
  </si>
  <si>
    <t>TAPA 2.0 SAM A50</t>
  </si>
  <si>
    <t>TAPA 2.0 SAM A51</t>
  </si>
  <si>
    <t>TAPA 2.0 SAM A52</t>
  </si>
  <si>
    <t>TAPA 2.0 SAM A6</t>
  </si>
  <si>
    <t>TAPA 2.0 SAM A6 PLUS</t>
  </si>
  <si>
    <t>TAPA 2.0 SAM A7-2016</t>
  </si>
  <si>
    <t>TAPA 2.0 SAM A7-2018</t>
  </si>
  <si>
    <t>TAPA 2.0 SAM A70</t>
  </si>
  <si>
    <t>TAPA 2.0 SAM A71</t>
  </si>
  <si>
    <t>TAPA 2.0 SAM A72</t>
  </si>
  <si>
    <t>TAPA 2.0 SAM A8</t>
  </si>
  <si>
    <t>TAPA 2.0 SAM A8 PLUS</t>
  </si>
  <si>
    <t>TAPA 2.0 SAM A9</t>
  </si>
  <si>
    <t>TAPA 2.0 SAM ACE 4</t>
  </si>
  <si>
    <t>TAPA 2.0 SAM CORE</t>
  </si>
  <si>
    <t>TAPA 2.0 SAM CORE 2</t>
  </si>
  <si>
    <t>TAPA 2.0 SAM CORE 2 6355</t>
  </si>
  <si>
    <t>TAPA 2.0 SAM CORE PRIME</t>
  </si>
  <si>
    <t>TAPA 2.0 SAM E5</t>
  </si>
  <si>
    <t>TAPA 2.0 SAM E7</t>
  </si>
  <si>
    <t>TAPA 2.0 SAM FAME</t>
  </si>
  <si>
    <t>TAPA 2.0 SAM G PRIME G530</t>
  </si>
  <si>
    <t>TAPA 2.0 SAM G355</t>
  </si>
  <si>
    <t>TAPA 2.0 SAM G360</t>
  </si>
  <si>
    <t>TAPA 2.0 SAM G530</t>
  </si>
  <si>
    <t>TAPA 2.0 SAM G530 GRAND PRIME</t>
  </si>
  <si>
    <t>TAPA 2.0 SAM G720</t>
  </si>
  <si>
    <t>TAPA 2.0 SAM GRAND</t>
  </si>
  <si>
    <t>TAPA 2.0 SAM GRAND 1480</t>
  </si>
  <si>
    <t>TAPA 2.0 SAM GRAND 3 G7200</t>
  </si>
  <si>
    <t>TAPA 2.0 SAM GRAND 9080</t>
  </si>
  <si>
    <t>TAPA 2.0 SAM GRAND PRIME</t>
  </si>
  <si>
    <t>TAPA 2.0 SAM GRAND PRIME 530</t>
  </si>
  <si>
    <t>TAPA 2.0 SAM GRAND PRIME G530</t>
  </si>
  <si>
    <t>TAPA 2.0 SAM J1</t>
  </si>
  <si>
    <t>TAPA 2.0 SAM J1 ACE</t>
  </si>
  <si>
    <t>TAPA 2.0 SAM J1 MINI</t>
  </si>
  <si>
    <t>TAPA 2.0 SAM J1 MINI PRIME</t>
  </si>
  <si>
    <t>TAPA 2.0 SAM J2</t>
  </si>
  <si>
    <t>TAPA 2.0 SAM J2 CORE</t>
  </si>
  <si>
    <t>TAPA 2.0 SAM J2 PRIME</t>
  </si>
  <si>
    <t>TAPA 2.0 SAM J2 PRO</t>
  </si>
  <si>
    <t>TAPA 2.0 SAM J2-2016</t>
  </si>
  <si>
    <t>TAPA 2.0 SAM J3</t>
  </si>
  <si>
    <t>TAPA 2.0 SAM J3-2015-2016</t>
  </si>
  <si>
    <t>TAPA 2.0 SAM J3-2016</t>
  </si>
  <si>
    <t>TAPA 2.0 SAM J4</t>
  </si>
  <si>
    <t>TAPA 2.0 SAM J5</t>
  </si>
  <si>
    <t>TAPA 2.0 SAM J5 PRIME</t>
  </si>
  <si>
    <t>TAPA 2.0 SAM J5 PRO</t>
  </si>
  <si>
    <t xml:space="preserve">TAPA 2.0 SAM J5 PRO </t>
  </si>
  <si>
    <t>TAPA 2.0 SAM J5-2016</t>
  </si>
  <si>
    <t>TAPA 2.0 SAM J5-2107</t>
  </si>
  <si>
    <t>TAPA 2.0 SAM J6 PLUS</t>
  </si>
  <si>
    <t>TAPA 2.0 SAM J7</t>
  </si>
  <si>
    <t>TAPA 2.0 SAM J7 DUO</t>
  </si>
  <si>
    <t>TAPA 2.0 SAM J7 NEO</t>
  </si>
  <si>
    <t>TAPA 2.0 SAM J7 PRIME</t>
  </si>
  <si>
    <t>TAPA 2.0 SAM J7 PRO</t>
  </si>
  <si>
    <t>TAPA 2.0 SAM J7-2016</t>
  </si>
  <si>
    <t>TAPA 2.0 SAM J8</t>
  </si>
  <si>
    <t>TAPA 2.0 SAM NOTE 10</t>
  </si>
  <si>
    <t>TAPA 2.0 SAM NOTE 10 LITE</t>
  </si>
  <si>
    <t>TAPA 2.0 SAM NOTE 3</t>
  </si>
  <si>
    <t>TAPA 2.0 SAM NOTE 4</t>
  </si>
  <si>
    <t>TAPA 2.0 SAM NOTE 8</t>
  </si>
  <si>
    <t>TAPA 2.0 SAM NOTE 9</t>
  </si>
  <si>
    <t>TAPA 2.0 SAM S10</t>
  </si>
  <si>
    <t>TAPA 2.0 SAM S10 EDGE</t>
  </si>
  <si>
    <t>TAPA 2.0 SAM S10 PLUS</t>
  </si>
  <si>
    <t>TAPA 2.0 SAM S20</t>
  </si>
  <si>
    <t>TAPA 2.0 SAM S20 PLUS</t>
  </si>
  <si>
    <t>TAPA 2.0 SAM S20 ULTRA</t>
  </si>
  <si>
    <t>TAPA 2.0 SAM S20FE</t>
  </si>
  <si>
    <t>TAPA 2.0 SAM S21</t>
  </si>
  <si>
    <t>TAPA 2.0 SAM S3</t>
  </si>
  <si>
    <t>TAPA 2.0 SAM S3 NEO</t>
  </si>
  <si>
    <t>TAPA 2.0 SAM S4</t>
  </si>
  <si>
    <t>TAPA 2.0 SAM S6</t>
  </si>
  <si>
    <t>TAPA 2.0 SAM S6 EDGE</t>
  </si>
  <si>
    <t>TAPA 2.0 SAM S6 EDGE PLUS</t>
  </si>
  <si>
    <t>TAPA 2.0 SAM S6 PLUS</t>
  </si>
  <si>
    <t>TAPA 2.0 SAM S7</t>
  </si>
  <si>
    <t>TAPA 2.0 SAM S7 EDGE</t>
  </si>
  <si>
    <t xml:space="preserve">TAPA 2.0 SAM S8 </t>
  </si>
  <si>
    <t>TAPA 2.0 SAM S8</t>
  </si>
  <si>
    <t>TAPA 2.0 SAM S8 PLUS</t>
  </si>
  <si>
    <t>TAPA 2.0 SAM S9</t>
  </si>
  <si>
    <t>TAPA 2.0 SAM S9 PLUS</t>
  </si>
  <si>
    <t>TAPA 2.0 SAMSUNG A3</t>
  </si>
  <si>
    <t>TAPA 2.0 SAMSUNG E5</t>
  </si>
  <si>
    <t>TAPA 2.0 SAMSUNG J2</t>
  </si>
  <si>
    <t>TAPA 2.0 SAMSUNG J7</t>
  </si>
  <si>
    <t>TAPA 2.0 SONY  C3</t>
  </si>
  <si>
    <t>TAPA 2.0 SONY  C5</t>
  </si>
  <si>
    <t>TAPA 2.0 SONY C 3</t>
  </si>
  <si>
    <t>TAPA 2.0 SONY C3</t>
  </si>
  <si>
    <t>TAPA 2.0 SONY C4</t>
  </si>
  <si>
    <t>TAPA 2.0 SONY E3</t>
  </si>
  <si>
    <t>TAPA 2.0 SONY E4</t>
  </si>
  <si>
    <t>TAPA 2.0 SONY E4G</t>
  </si>
  <si>
    <t>TAPA 2.0 SONY E5</t>
  </si>
  <si>
    <t>TAPA 2.0 SONY E7</t>
  </si>
  <si>
    <t>TAPA 2.0 SONY L1</t>
  </si>
  <si>
    <t>TAPA 2.0 SONY L2</t>
  </si>
  <si>
    <t>TAPA 2.0 SONY M2</t>
  </si>
  <si>
    <t>TAPA 2.0 SONY M4</t>
  </si>
  <si>
    <t>TAPA 2.0 SONY M4 AQUA</t>
  </si>
  <si>
    <t>TAPA 2.0 SONY T2 ULTRA</t>
  </si>
  <si>
    <t>TAPA 2.0 SONY XA</t>
  </si>
  <si>
    <t>TAPA 2.0 SONY XA ULTRA</t>
  </si>
  <si>
    <t>TAPA 2.0 SONY XA1</t>
  </si>
  <si>
    <t>TAPA 2.0 SONY XA1 ULTRA</t>
  </si>
  <si>
    <t>TAPA 2.0 SONY XA2 ULTRA</t>
  </si>
  <si>
    <t>TAPA 2.0 SONY XPERIA G3</t>
  </si>
  <si>
    <t>TAPA 2.0 SONY XPERIA T2 ULTRA</t>
  </si>
  <si>
    <t>TAPA 2.0 SONY Z PLAY</t>
  </si>
  <si>
    <t>TAPA 2.0 SONY Z4</t>
  </si>
  <si>
    <t>TAPA 2.0 SONY Z5</t>
  </si>
  <si>
    <t>TAPA 2.0 SONY Z5 PREMIUM</t>
  </si>
  <si>
    <t>TAPA 2.0 XIAOMI NOTE 8</t>
  </si>
  <si>
    <t>TAPA 2.0 XIAOMI NOTE 9</t>
  </si>
  <si>
    <t>TAPA 2.0 XIAOMI REDMI 6A</t>
  </si>
  <si>
    <t>TAPA 2.0 XIAOMI REDMI 9</t>
  </si>
  <si>
    <t>TAPA 2.0 XIAOMI REDMI 9A</t>
  </si>
  <si>
    <t>TAPA 2.0 XIAOMI REDMI 9C</t>
  </si>
  <si>
    <t>TAPA 2.0 XIAOMI REDMI NOTE 5</t>
  </si>
  <si>
    <t>TAPA 2.0 XIAOMI REDMI NOTE 5 PRO</t>
  </si>
  <si>
    <t>TAPA 2.0 XIAOMI REDMI NOTE 9</t>
  </si>
  <si>
    <t>TAPA 2.0 XIAOMI REDMI NOTE 9 PRO</t>
  </si>
  <si>
    <t>TAPA 2.0 XIAOMI REDMI5</t>
  </si>
  <si>
    <t>TAPA 2.0 ZTE A460</t>
  </si>
  <si>
    <t>TAPA 2.0 ZTE A510</t>
  </si>
  <si>
    <t>TAPA 2.0 ZTE A511</t>
  </si>
  <si>
    <t>TAPA 2.0 ZTE BLADE A460</t>
  </si>
  <si>
    <t>TAPA 2.0 ZTE C 370</t>
  </si>
  <si>
    <t>TAPA 2.0 ZTE L5</t>
  </si>
  <si>
    <t>TAPA 2.0 ZTE V6</t>
  </si>
  <si>
    <t>TAPA 2.0 ZTE V6 PLUS</t>
  </si>
  <si>
    <t>TAPA 360 +  VIDRIO IPHONE 7 PLUS</t>
  </si>
  <si>
    <t>AC TAPA ACRILICA</t>
  </si>
  <si>
    <t>TAPA 360 + VIDRIO IPHONE 5</t>
  </si>
  <si>
    <t>TAPA 360 + VIDRIO IPHONE 6 PLUS</t>
  </si>
  <si>
    <t>TAPA 360 + VIDRIO IPHONE 6G</t>
  </si>
  <si>
    <t>TAPA 360 + VIDRIO IPHONE 7G</t>
  </si>
  <si>
    <t>TAPA 360 + VIDRIO SAM J7</t>
  </si>
  <si>
    <t>TAPA 360 + VIDRIO SAM S7</t>
  </si>
  <si>
    <t>TAPA 360 + VIDRIO SAM S7 EDGE</t>
  </si>
  <si>
    <t>TAPA 360 DISEÑO SAM J1 ACE</t>
  </si>
  <si>
    <t xml:space="preserve">TAPA 360 HUAWEI P9 LITE </t>
  </si>
  <si>
    <t>TAPA 360 HUAWEI P9 LITE 2017</t>
  </si>
  <si>
    <t>AC TAPA 360°</t>
  </si>
  <si>
    <t>TAPA 360 HUAWEI Y6-II</t>
  </si>
  <si>
    <t>TAPA 360 HUAWEI Y7</t>
  </si>
  <si>
    <t>TAPA 360 IPHONE 5</t>
  </si>
  <si>
    <t>TAPA 360 IPHONE 6</t>
  </si>
  <si>
    <t>TAPA 360 IPHONE 6 PLUS</t>
  </si>
  <si>
    <t>TAPA 360 IPHONE 7</t>
  </si>
  <si>
    <t>TAPA 360 IPHONE 7G</t>
  </si>
  <si>
    <t>TAPA 360 LG K10-2017</t>
  </si>
  <si>
    <t>TAPA 360 LG K8-2017</t>
  </si>
  <si>
    <t>TAPA 360 LG STYLUS III</t>
  </si>
  <si>
    <t>TAPA 360 MOTO E4</t>
  </si>
  <si>
    <t>TAPA 360 MOTO E4 plus</t>
  </si>
  <si>
    <t>TAPA 360 MOTO G5</t>
  </si>
  <si>
    <t>TAPA 360 MOTO G5 PLUS</t>
  </si>
  <si>
    <t>TAPA 360 MOTO G5S</t>
  </si>
  <si>
    <t>TAPA 360 SAM A8</t>
  </si>
  <si>
    <t>TAPA 360 SAM A8 PLUS</t>
  </si>
  <si>
    <t>TAPA 360 SAM J2 PRIME</t>
  </si>
  <si>
    <t>TAPA 360 SAM J5 PRIME</t>
  </si>
  <si>
    <t>TAPA 360 SAM J5 PRO</t>
  </si>
  <si>
    <t>TAPA 360 SAM J5-2016</t>
  </si>
  <si>
    <t>TAPA 360 SAM J7 PRIME</t>
  </si>
  <si>
    <t>TAPA 360 SAM J7 PRO</t>
  </si>
  <si>
    <t>TAPA 360 SAM J7-2016</t>
  </si>
  <si>
    <t>TAPA 360 SAM S8</t>
  </si>
  <si>
    <t>TAPA 360 SAM S8 PLUS</t>
  </si>
  <si>
    <t>TAPA BORDE COLOR IPHONE 5</t>
  </si>
  <si>
    <t>TAPA BORDE COLOR IPHONE 6 -4.7</t>
  </si>
  <si>
    <t>TAPA BORDE COLOR MOTO G3</t>
  </si>
  <si>
    <t>TAPA BORDE COLOR MOTOM0 SAM J5 PRIME</t>
  </si>
  <si>
    <t>TAPA BORDE COLOR S7</t>
  </si>
  <si>
    <t>TAPA CASE IPHONE 8G</t>
  </si>
  <si>
    <t>TAPA COLOR LENOVO K5</t>
  </si>
  <si>
    <t>TAPA COLOR MOTOROLA MOTO E BLCO ORIGINAL</t>
  </si>
  <si>
    <t>TAPA CORE 2</t>
  </si>
  <si>
    <t>TAPA CUERO IPHONE 6</t>
  </si>
  <si>
    <t>TAPA CUERO SAM J7</t>
  </si>
  <si>
    <t>TAPA DISEÑO 2.0 SONY M4 AQUA</t>
  </si>
  <si>
    <t>TAPA DISEÑO ALCATEL PIXI 4 5"</t>
  </si>
  <si>
    <t>TAPA DISEÑO LG K8</t>
  </si>
  <si>
    <t>TAPA DISEÑO MANZANA IPH 6 -4.7</t>
  </si>
  <si>
    <t>TAPA DISEÑO MOTO E4</t>
  </si>
  <si>
    <t>TAPA DISEÑO SAM GRAND PRIME</t>
  </si>
  <si>
    <t xml:space="preserve">TAPA DISEÑO SAM J1 ACE </t>
  </si>
  <si>
    <t>TAPA DISNEY HUAWEI Y6-II</t>
  </si>
  <si>
    <t>TAPA DISNEY IPHONE 7G</t>
  </si>
  <si>
    <t>TAPA DISNEY LG K10</t>
  </si>
  <si>
    <t>TAPA DISNEY SAM GRAND PRIME G530</t>
  </si>
  <si>
    <t>TAPA DISNEY SAM J2 PRIME</t>
  </si>
  <si>
    <t>TAPA DISNEY SAM J5</t>
  </si>
  <si>
    <t>TAPA DISNEY SAM J5 PRIME</t>
  </si>
  <si>
    <t>TAPA DISNEY SAM J5-2016</t>
  </si>
  <si>
    <t>TAPA DISNEY SAM J7</t>
  </si>
  <si>
    <t>TAPA DISNEY SAM J7-2016</t>
  </si>
  <si>
    <t>TAPA DOBLE C. DISEÑO MOTO G 3</t>
  </si>
  <si>
    <t>TAPA DOBLE DISEÑO 2.0 MOTO G 3</t>
  </si>
  <si>
    <t>TAPA DOBLE DISEÑO HUAWEI SHOT X</t>
  </si>
  <si>
    <t>TAPA DOBLE DISEÑO HUAWEI Y6-2</t>
  </si>
  <si>
    <t>TAPA DOBLE DISEÑO MOTO G4</t>
  </si>
  <si>
    <t>TAPA DOBLE DISEÑO SAM A5-2016</t>
  </si>
  <si>
    <t>TAPA DOBLE DISEÑO SAM CORE 2</t>
  </si>
  <si>
    <t>TAPA DOBLE DISEÑO SAM CORE 2 G 355</t>
  </si>
  <si>
    <t>TAPA DOBLE DISEÑO SAM G 323</t>
  </si>
  <si>
    <t>TAPA DOBLE DISEÑO SAM J5 -2016</t>
  </si>
  <si>
    <t>TAPA DOBLE DISEÑO SAM J7</t>
  </si>
  <si>
    <t>TAPA DOBLE DISEÑO SAM S3</t>
  </si>
  <si>
    <t>TAPA DOBLE DISEÑO SAMSUNG I9190 S4 MINI</t>
  </si>
  <si>
    <t>TAPA DOBLE DISEÑO SAMSUNG S3 MINI I8190</t>
  </si>
  <si>
    <t>TAPA DOBLE DISEÑO SONY XA ULTRA</t>
  </si>
  <si>
    <t>TAPA GLISTTER SAMS J3</t>
  </si>
  <si>
    <t>TAPA GOMA  DISEÑO SAM GRAND</t>
  </si>
  <si>
    <t>TAPA GOMA  SAMSUNG G360</t>
  </si>
  <si>
    <t>TAPA GOMA ALCATEL C9</t>
  </si>
  <si>
    <t>TAPA GOMA BORDE COLOR SAM 9080</t>
  </si>
  <si>
    <t>TAPA GOMA BORDE COLOR SAM J7</t>
  </si>
  <si>
    <t>TAPA GOMA COLOR SAM A10S</t>
  </si>
  <si>
    <t>TAPA GOMA COLOR SAM A20S</t>
  </si>
  <si>
    <t>TAPA GOMA DISEÑO  SONY E 4</t>
  </si>
  <si>
    <t>TAPA GOMA DISEÑO ALCATEL PIXI 3 4.5"</t>
  </si>
  <si>
    <t>TAPA GOMA DISEÑO ALCATEL PIXI 3 4.7"</t>
  </si>
  <si>
    <t>TAPA GOMA DISEÑO ALCATEL PIXI 4 3.5"</t>
  </si>
  <si>
    <t>TAPA GOMA DISEÑO ALCATEL POP 3</t>
  </si>
  <si>
    <t>TAPA GOMA DISEÑO DISNEY 5 PULG</t>
  </si>
  <si>
    <t>TAPA GOMA DISEÑO FASHION MOTO G5 PLUS</t>
  </si>
  <si>
    <t>TAPA GOMA DISEÑO HTC M9</t>
  </si>
  <si>
    <t>TAPA GOMA DISEÑO HTC ONE</t>
  </si>
  <si>
    <t>TAPA GOMA DISEÑO HUAWEI G PLAY MINI</t>
  </si>
  <si>
    <t>TAPA GOMA DISEÑO HUAWEI G7</t>
  </si>
  <si>
    <t>TAPA GOMA DISEÑO HUAWEI GR 5</t>
  </si>
  <si>
    <t>TAPA GOMA DISEÑO HUAWEI MATE 10 LITE</t>
  </si>
  <si>
    <t>TAPA GOMA DISEÑO HUAWEI MATE 10 PRO</t>
  </si>
  <si>
    <t>TAPA GOMA DISEÑO HUAWEI MATE 20 LITE</t>
  </si>
  <si>
    <t>TAPA GOMA DISEÑO HUAWEI MATE 7</t>
  </si>
  <si>
    <t>TAPA GOMA DISEÑO HUAWEI MATE 9 LITE</t>
  </si>
  <si>
    <t>TAPA GOMA DISEÑO HUAWEI NOVA 5T</t>
  </si>
  <si>
    <t>TAPA GOMA DISEÑO HUAWEI P10</t>
  </si>
  <si>
    <t>TAPA GOMA DISEÑO HUAWEI P20</t>
  </si>
  <si>
    <t>TAPA GOMA DISEÑO HUAWEI P20 LITE</t>
  </si>
  <si>
    <t>TAPA GOMA DISEÑO HUAWEI P40</t>
  </si>
  <si>
    <t>TAPA GOMA DISEÑO HUAWEI P8 LITE</t>
  </si>
  <si>
    <t>TAPA GOMA DISEÑO HUAWEI P8 LITE 2017</t>
  </si>
  <si>
    <t>TAPA GOMA DISEÑO HUAWEI P9</t>
  </si>
  <si>
    <t>TAPA GOMA DISEÑO HUAWEI P9 LITE</t>
  </si>
  <si>
    <t>TAPA GOMA DISEÑO HUAWEI P9 LITE 2017</t>
  </si>
  <si>
    <t xml:space="preserve">TAPA GOMA DISEÑO HUAWEI P9 LITE SMART </t>
  </si>
  <si>
    <t>TAPA GOMA DISEÑO HUAWEI PSMART</t>
  </si>
  <si>
    <t>TAPA GOMA DISEÑO HUAWEI Y PLAY MINI</t>
  </si>
  <si>
    <t>TAPA GOMA DISEÑO HUAWEI Y3-II</t>
  </si>
  <si>
    <t>TAPA GOMA DISEÑO HUAWEI Y360</t>
  </si>
  <si>
    <t>TAPA GOMA DISEÑO HUAWEI Y5-2018</t>
  </si>
  <si>
    <t>TAPA GOMA DISEÑO HUAWEI Y6-2018</t>
  </si>
  <si>
    <t>TAPA GOMA DISEÑO HUAWEI Y6-II</t>
  </si>
  <si>
    <t>TAPA GOMA DISEÑO HUAWEI Y7-2018</t>
  </si>
  <si>
    <t>TAPA GOMA DISEÑO HUAWEI Y7-2019</t>
  </si>
  <si>
    <t>TAPA GOMA DISEÑO HUAWEI Y9 PRIME 2019</t>
  </si>
  <si>
    <t>TAPA GOMA DISEÑO HUAWEI Y9-2018</t>
  </si>
  <si>
    <t>TAPA GOMA DISEÑO HUAWEI Y9-2019</t>
  </si>
  <si>
    <t>TAPA GOMA DISEÑO IPHONE 11</t>
  </si>
  <si>
    <t>TAPA GOMA DISEÑO IPHONE 3</t>
  </si>
  <si>
    <t>TAPA GOMA DISEÑO IPHONE 4</t>
  </si>
  <si>
    <t>TAPA GOMA DISEÑO IPHONE 4G</t>
  </si>
  <si>
    <t>TAPA GOMA DISEÑO IPHONE 5</t>
  </si>
  <si>
    <t>TAPA GOMA DISEÑO IPHONE 5C</t>
  </si>
  <si>
    <t>TAPA GOMA DISEÑO IPHONE 6</t>
  </si>
  <si>
    <t>TAPA GOMA DISEÑO IPHONE 6   4.7</t>
  </si>
  <si>
    <t>TAPA GOMA DISEÑO IPHONE 6 4.7</t>
  </si>
  <si>
    <t>TAPA GOMA DISEÑO IPHONE 6 PLUS</t>
  </si>
  <si>
    <t>TAPA GOMA DISEÑO IPHONE 7</t>
  </si>
  <si>
    <t>TAPA GOMA DISEÑO IPHONE 7 PLUS</t>
  </si>
  <si>
    <t>TAPA GOMA DISEÑO IPHONE 7G</t>
  </si>
  <si>
    <t>TAPA GOMA DISEÑO IPHONE 8</t>
  </si>
  <si>
    <t>TAPA GOMA DISEÑO IPHONE X</t>
  </si>
  <si>
    <t>TAPA GOMA DISEÑO LENOVO A7010</t>
  </si>
  <si>
    <t>TAPA GOMA DISEÑO LENOVO K5</t>
  </si>
  <si>
    <t>TAPA GOMA DISEÑO LG G3 BEAT</t>
  </si>
  <si>
    <t>TAPA GOMA DISEÑO LG G4</t>
  </si>
  <si>
    <t>TAPA GOMA DISEÑO LG G4 STYLUS</t>
  </si>
  <si>
    <t>TAPA GOMA DISEÑO LG G5</t>
  </si>
  <si>
    <t>TAPA GOMA DISEÑO LG G7</t>
  </si>
  <si>
    <t>TAPA GOMA DISEÑO LG K10</t>
  </si>
  <si>
    <t>TAPA GOMA DISEÑO LG K10-2017</t>
  </si>
  <si>
    <t>TAPA GOMA DISEÑO LG K11</t>
  </si>
  <si>
    <t>TAPA GOMA DISEÑO LG K20</t>
  </si>
  <si>
    <t>TAPA GOMA DISEÑO LG K5</t>
  </si>
  <si>
    <t>TAPA GOMA DISEÑO LG K8</t>
  </si>
  <si>
    <t>TAPA GOMA DISEÑO LG LEON</t>
  </si>
  <si>
    <t>TAPA GOMA DISEÑO LG LEON H 502 MAGNA</t>
  </si>
  <si>
    <t>TAPA GOMA DISEÑO LG PRIME 2 D337</t>
  </si>
  <si>
    <t>TAPA GOMA DISEÑO LG STYLUS 2 PLUS</t>
  </si>
  <si>
    <t>TAPA GOMA DISEÑO LG STYLUS 3</t>
  </si>
  <si>
    <t>TAPA GOMA DISEÑO MOTO C</t>
  </si>
  <si>
    <t>TAPA GOMA DISEÑO MOTO C PLUS</t>
  </si>
  <si>
    <t>TAPA GOMA DISEÑO MOTO E</t>
  </si>
  <si>
    <t>TAPA GOMA DISEÑO MOTO E4</t>
  </si>
  <si>
    <t>TAPA GOMA DISEÑO MOTO E5</t>
  </si>
  <si>
    <t>TAPA GOMA DISEÑO MOTO E6 PLUS</t>
  </si>
  <si>
    <t>TAPA GOMA DISEÑO MOTO G</t>
  </si>
  <si>
    <t>TAPA GOMA DISEÑO MOTO G2</t>
  </si>
  <si>
    <t>TAPA GOMA DISEÑO MOTO G4</t>
  </si>
  <si>
    <t>TAPA GOMA DISEÑO MOTO G4 PLAY</t>
  </si>
  <si>
    <t>TAPA GOMA DISEÑO MOTO G4 PLUS</t>
  </si>
  <si>
    <t>TAPA GOMA DISEÑO MOTO G5</t>
  </si>
  <si>
    <t>TAPA GOMA DISEÑO MOTO G5S</t>
  </si>
  <si>
    <t>TAPA GOMA DISEÑO MOTO G5S PLUS</t>
  </si>
  <si>
    <t>TAPA GOMA DISEÑO MOTO G6</t>
  </si>
  <si>
    <t>TAPA GOMA DISEÑO MOTO G6 PLAY</t>
  </si>
  <si>
    <t>TAPA GOMA DISEÑO MOTO G8 PLAY</t>
  </si>
  <si>
    <t>TAPA GOMA DISEÑO MOTO G8 PLUS</t>
  </si>
  <si>
    <t>TAPA GOMA DISEÑO MOTO MAXX</t>
  </si>
  <si>
    <t>TAPA GOMA DISEÑO MOTO ONE ACTION</t>
  </si>
  <si>
    <t>TAPA GOMA DISEÑO MOTO X 2</t>
  </si>
  <si>
    <t>TAPA GOMA DISEÑO MOTO X2</t>
  </si>
  <si>
    <t>TAPA GOMA DISEÑO NOKIA 3</t>
  </si>
  <si>
    <t>TAPA GOMA DISEÑO NOKIA 3.1</t>
  </si>
  <si>
    <t>TAPA GOMA DISEÑO NOKIA 5.1 PLUS</t>
  </si>
  <si>
    <t>TAPA GOMA DISEÑO NOKIA 6</t>
  </si>
  <si>
    <t>TAPA GOMA DISEÑO NOKIA 6.1</t>
  </si>
  <si>
    <t>TAPA GOMA DISEÑO NOKIA LUMIA 505</t>
  </si>
  <si>
    <t>TAPA GOMA DISEÑO OWN 3030</t>
  </si>
  <si>
    <t>TAPA GOMA DISEÑO OWN 5030</t>
  </si>
  <si>
    <t>TAPA GOMA DISEÑO OWN FUN</t>
  </si>
  <si>
    <t>TAPA GOMA DISEÑO OWN ONE</t>
  </si>
  <si>
    <t>TAPA GOMA DISEÑO OWN SELF</t>
  </si>
  <si>
    <t>TAPA GOMA DISEÑO SAM 6 EDGE</t>
  </si>
  <si>
    <t>TAPA GOMA DISEÑO SAM A10S</t>
  </si>
  <si>
    <t>TAPA GOMA DISEÑO SAM A20</t>
  </si>
  <si>
    <t>TAPA GOMA DISEÑO SAM A20S</t>
  </si>
  <si>
    <t>TAPA GOMA DISEÑO SAM A3-2016</t>
  </si>
  <si>
    <t>TAPA GOMA DISEÑO SAM A30</t>
  </si>
  <si>
    <t>TAPA GOMA DISEÑO SAM A30S</t>
  </si>
  <si>
    <t>TAPA GOMA DISEÑO SAM A5-2016</t>
  </si>
  <si>
    <t>TAPA GOMA DISEÑO SAM A5-2017</t>
  </si>
  <si>
    <t>TAPA GOMA DISEÑO SAM A50</t>
  </si>
  <si>
    <t>TAPA GOMA DISEÑO SAM A7-2016</t>
  </si>
  <si>
    <t>TAPA GOMA DISEÑO SAM A7-2017</t>
  </si>
  <si>
    <t>TAPA GOMA DISEÑO SAM A70</t>
  </si>
  <si>
    <t>TAPA GOMA DISEÑO SAM A8</t>
  </si>
  <si>
    <t>TAPA GOMA DISEÑO SAM A8 PLUS</t>
  </si>
  <si>
    <t>TAPA GOMA DISEÑO SAM ACE 4 G 313</t>
  </si>
  <si>
    <t>TAPA GOMA DISEÑO SAM CORE 2</t>
  </si>
  <si>
    <t>TAPA GOMA DISEÑO SAM CORE 2 G 355</t>
  </si>
  <si>
    <t>TAPA GOMA DISEÑO SAM CORE PRIME</t>
  </si>
  <si>
    <t>TAPA GOMA DISEÑO SAM E5</t>
  </si>
  <si>
    <t>TAPA GOMA DISEÑO SAM GRAND</t>
  </si>
  <si>
    <t>TAPA GOMA DISEÑO SAM GRAND 9080</t>
  </si>
  <si>
    <t>TAPA GOMA DISEÑO SAM GRAND PRIME G 530</t>
  </si>
  <si>
    <t>TAPA GOMA DISEÑO SAM GRAND PRIME G530</t>
  </si>
  <si>
    <t>TAPA GOMA DISEÑO SAM J1</t>
  </si>
  <si>
    <t>TAPA GOMA DISEÑO SAM J1 ACE</t>
  </si>
  <si>
    <t>TAPA GOMA DISEÑO SAM J1-2016</t>
  </si>
  <si>
    <t>TAPA GOMA DISEÑO SAM J2 PRIME</t>
  </si>
  <si>
    <t>TAPA GOMA DISEÑO SAM J2-2016</t>
  </si>
  <si>
    <t>TAPA GOMA DISEÑO SAM J3</t>
  </si>
  <si>
    <t>TAPA GOMA DISEÑO SAM J4</t>
  </si>
  <si>
    <t>TAPA GOMA DISEÑO SAM J5</t>
  </si>
  <si>
    <t>TAPA GOMA DISEÑO SAM J5 PRIME</t>
  </si>
  <si>
    <t>TAPA GOMA DISEÑO SAM J5-2016</t>
  </si>
  <si>
    <t>TAPA GOMA DISEÑO SAM J6</t>
  </si>
  <si>
    <t>TAPA GOMA DISEÑO SAM J7</t>
  </si>
  <si>
    <t>TAPA GOMA DISEÑO SAM J7 NEO</t>
  </si>
  <si>
    <t>TAPA GOMA DISEÑO SAM J7 PRIME</t>
  </si>
  <si>
    <t>TAPA GOMA DISEÑO SAM J7-2016</t>
  </si>
  <si>
    <t>TAPA GOMA DISEÑO SAM J8</t>
  </si>
  <si>
    <t>TAPA GOMA DISEÑO SAM NOTE 3</t>
  </si>
  <si>
    <t>TAPA GOMA DISEÑO SAM NOTE 8</t>
  </si>
  <si>
    <t>TAPA GOMA DISEÑO SAM S2</t>
  </si>
  <si>
    <t>TAPA GOMA DISEÑO SAM S3</t>
  </si>
  <si>
    <t>TAPA GOMA DISEÑO SAM S6</t>
  </si>
  <si>
    <t>TAPA GOMA DISEÑO SAM S7</t>
  </si>
  <si>
    <t>TAPA GOMA DISEÑO SAM S7 EDGE</t>
  </si>
  <si>
    <t>TAPA GOMA DISEÑO SAM S8</t>
  </si>
  <si>
    <t>TAPA GOMA DISEÑO SAM S8 PLUS</t>
  </si>
  <si>
    <t>TAPA GOMA DISEÑO SAM S9</t>
  </si>
  <si>
    <t>TAPA GOMA DISEÑO SAMSUNG A3</t>
  </si>
  <si>
    <t>TAPA GOMA DISEÑO SAMSUNG G360 CORE PRIME</t>
  </si>
  <si>
    <t>TAPA GOMA DISEÑO SHOT X</t>
  </si>
  <si>
    <t>TAPA GOMA DISEÑO SONY C 3</t>
  </si>
  <si>
    <t>TAPA GOMA DISEÑO SONY C3</t>
  </si>
  <si>
    <t>TAPA GOMA DISEÑO SONY E3</t>
  </si>
  <si>
    <t>TAPA GOMA DISEÑO SONY M2</t>
  </si>
  <si>
    <t>TAPA GOMA DISEÑO SONY XA ULTRA</t>
  </si>
  <si>
    <t>TAPA GOMA DISEÑO SONY XPERIA Z2</t>
  </si>
  <si>
    <t>TAPA GOMA DISEÑO SONY Z4</t>
  </si>
  <si>
    <t>TAPA GOMA DISEÑO ZTE BLADE L3</t>
  </si>
  <si>
    <t>TAPA GOMA DISEÑO ZTE C6265</t>
  </si>
  <si>
    <t>TAPA GOMA DISSEÑO SAM S6</t>
  </si>
  <si>
    <t>TAPA GOMA DOBLE DISEÑO LG G4 STYLUS</t>
  </si>
  <si>
    <t>TAPA GOMA DOBLE DISEÑO LG LEON</t>
  </si>
  <si>
    <t>TAPA GOMA DOBLE DISEÑO MOTO X PLAY</t>
  </si>
  <si>
    <t>TAPA GOMA G3 MINI</t>
  </si>
  <si>
    <t>TAPA GOMA HUAWEI Y5-II</t>
  </si>
  <si>
    <t>TAPA GOMA HUAWEY G 7200</t>
  </si>
  <si>
    <t>TAPA GOMA IPHONE 6 G/S</t>
  </si>
  <si>
    <t>TAPA GOMA IPHONE 6 PLUS</t>
  </si>
  <si>
    <t>TAPA GOMA LENOVO K-5</t>
  </si>
  <si>
    <t>TAPA GOMA LG C3</t>
  </si>
  <si>
    <t>TAPA GOMA LG G2</t>
  </si>
  <si>
    <t>TAPA GOMA LG G2 MINI</t>
  </si>
  <si>
    <t>TAPA GOMA LG K10-2017</t>
  </si>
  <si>
    <t>TAPA GOMA LG K4-2017</t>
  </si>
  <si>
    <t>TAPA GOMA LG POWER</t>
  </si>
  <si>
    <t>TAPA GOMA LG STYLUS 3</t>
  </si>
  <si>
    <t>TAPA GOMA METAL SAM GRAND 9082</t>
  </si>
  <si>
    <t>TAPA GOMA MOTO G</t>
  </si>
  <si>
    <t>TAPA GOMA MOTO G3</t>
  </si>
  <si>
    <t>TAPA GOMA MOTO X</t>
  </si>
  <si>
    <t>TAPA GOMA MOTOMO IPHONE 6 4.7</t>
  </si>
  <si>
    <t>TAPA GOMA NOKIA 3 DISEÑO</t>
  </si>
  <si>
    <t>TAPA GOMA OWN SMART PLUS</t>
  </si>
  <si>
    <t>TAPA GOMA SAM 9080 GRAND</t>
  </si>
  <si>
    <t>TAPA GOMA SAM 9300 C3</t>
  </si>
  <si>
    <t>TAPA GOMA SAM WIN 8550</t>
  </si>
  <si>
    <t>TAPA GOMA SAMSUNG J7 PRIME</t>
  </si>
  <si>
    <t>TAPA GOMA SAMSUNG S6 EDGE</t>
  </si>
  <si>
    <t>TAPA GOMA SAWROSKY IPHONE 5 C</t>
  </si>
  <si>
    <t>TAPA GOMA SWAROSKY P8 LITE</t>
  </si>
  <si>
    <t>Tapa Goma Tras Moto X Play</t>
  </si>
  <si>
    <t>TAPA GOMO SAMG 530</t>
  </si>
  <si>
    <t>TAPA HAUWEI P8</t>
  </si>
  <si>
    <t>TAPA HUAWEI  P8</t>
  </si>
  <si>
    <t>TAPA HUAWEI GR3</t>
  </si>
  <si>
    <t>TAPA HUAWEI P9</t>
  </si>
  <si>
    <t>TAPA HUAWEI Y5-II</t>
  </si>
  <si>
    <t>TAPA HUAWEI YS2</t>
  </si>
  <si>
    <t>TAPA I9500</t>
  </si>
  <si>
    <t>TAPA IFACE MOTOMO J2</t>
  </si>
  <si>
    <t>TAPA IFACE MOTOMO SAM J1 ACE</t>
  </si>
  <si>
    <t>TAPA IFACE SAM J7</t>
  </si>
  <si>
    <t>TAPA INCIPIO HUAWEI P8</t>
  </si>
  <si>
    <t>TAPA INCIPIO HUAWEI P8 LITE</t>
  </si>
  <si>
    <t>TAPA INCIPIO IPHONE 4</t>
  </si>
  <si>
    <t>TAPA INCIPIO SAM J1 ACE</t>
  </si>
  <si>
    <t>TAPA INCIPIO SWAROSKY  IPHONE 5 G</t>
  </si>
  <si>
    <t>TAPA INCIPIO-SWAROSKY IPHONE 6 - 4.7</t>
  </si>
  <si>
    <t>TAPA IPEFET HUAWEI P8 LITE</t>
  </si>
  <si>
    <t>TAPA IPEFET HUAWEI P9 LITE</t>
  </si>
  <si>
    <t>TAPA IPEFET HUAWEI Y6-II</t>
  </si>
  <si>
    <t>TAPA IPEFET MOTO G5</t>
  </si>
  <si>
    <t>TAPA IPHONE 4</t>
  </si>
  <si>
    <t>TAPA IPHONE 5</t>
  </si>
  <si>
    <t>TAPA IPHONE 5 C</t>
  </si>
  <si>
    <t>TAPA IPHONE 5 G ORI</t>
  </si>
  <si>
    <t>TAPA IPHONE 6 (4.7)</t>
  </si>
  <si>
    <t>TAPA LG  G3</t>
  </si>
  <si>
    <t>TAPA LG G4 STYLUS</t>
  </si>
  <si>
    <t>TAPA LG K10</t>
  </si>
  <si>
    <t>TAPA METAL MOTOMO SAMSUNG G360 CORE PRIME</t>
  </si>
  <si>
    <t>TAPA METAL MOTOMO SAMSUNG I8190 S3 MINI</t>
  </si>
  <si>
    <t>TAPA MOTO G3</t>
  </si>
  <si>
    <t>TAPA MOTO G4 PLUS</t>
  </si>
  <si>
    <t>TAPA MOTOMO CAJA BLANCA LENOVO K5</t>
  </si>
  <si>
    <t>TAPA MOTOMO CAJA BLANCA MOTO G4 PLAY</t>
  </si>
  <si>
    <t>TAPA MOTOMO DISEÑO SAM J7</t>
  </si>
  <si>
    <t>TAPA MOTOMO HUA GR 5</t>
  </si>
  <si>
    <t>TAPA MOTOMO HUAWEI MATE 10 LITE</t>
  </si>
  <si>
    <t>TAPA MOTOMO HUAWEI MATE 9 LITE</t>
  </si>
  <si>
    <t>TAPA MOTOMO HUAWEI P10</t>
  </si>
  <si>
    <t>TAPA MOTOMO HUAWEI P9 LITE</t>
  </si>
  <si>
    <t>TAPA MOTOMO HUAWEI P9 LITE 2017</t>
  </si>
  <si>
    <t>TAPA MOTOMO HUAWEI P9 LITE MINI</t>
  </si>
  <si>
    <t>TAPA MOTOMO HUAWEI Y3 II</t>
  </si>
  <si>
    <t>TAPA MOTOMO HUAWEI Y5 II</t>
  </si>
  <si>
    <t>TAPA MOTOMO HUAWEI Y6 II</t>
  </si>
  <si>
    <t>Tapa Motomo Huawei Y6-II</t>
  </si>
  <si>
    <t>TAPA MOTOMO HUAWEI Y7</t>
  </si>
  <si>
    <t>TAPA MOTOMO IFACE SAM J5</t>
  </si>
  <si>
    <t>TAPA MOTOMO INCIPIO LG G4 STYLUS</t>
  </si>
  <si>
    <t>TAPA MOTOMO LENOVO K5</t>
  </si>
  <si>
    <t xml:space="preserve">TAPA MOTOMO LENOVO K6 </t>
  </si>
  <si>
    <t>TAPA MOTOMO LG G4 STYLUS</t>
  </si>
  <si>
    <t>TAPA MOTOMO LG K10</t>
  </si>
  <si>
    <t>TAPA MOTOMO LG K10-2017</t>
  </si>
  <si>
    <t>TAPA MOTOMO LG K4 2017</t>
  </si>
  <si>
    <t>TAPA MOTOMO LG Q6</t>
  </si>
  <si>
    <t>TAPA MOTOMO LG STYLUS III</t>
  </si>
  <si>
    <t>TAPA MOTOMO METAL</t>
  </si>
  <si>
    <t>TAPA MOTOMO METALICA HUAWEI GR 5</t>
  </si>
  <si>
    <t>TAPA MOTOMO METALLG K10</t>
  </si>
  <si>
    <t>TAPA MOTOMO MOTO C</t>
  </si>
  <si>
    <t>TAPA MOTOMO MOTO C PLUS</t>
  </si>
  <si>
    <t xml:space="preserve">TAPA MOTOMO MOTO E4 </t>
  </si>
  <si>
    <t>TAPA MOTOMO MOTO E4 PLUS</t>
  </si>
  <si>
    <t>TAPA MOTOMO MOTO G4</t>
  </si>
  <si>
    <t>Tapa Motomo Moto G4 Play</t>
  </si>
  <si>
    <t>Tapa Motomo Moto G5</t>
  </si>
  <si>
    <t>TAPA MOTOMO MOTO G5 PLUS</t>
  </si>
  <si>
    <t>TAPA MOTOMO MOTO G5S</t>
  </si>
  <si>
    <t>TAPA MOTOMO MOTO G5S PLUS</t>
  </si>
  <si>
    <t>TAPA MOTOMO MOTO X4</t>
  </si>
  <si>
    <t>TAPA MOTOMO MOTO Z</t>
  </si>
  <si>
    <t>TAPA MOTOMO MOTO-SWAROSKY MOTO G 3</t>
  </si>
  <si>
    <t>TAPA MOTOMO NEW LG K10</t>
  </si>
  <si>
    <t>TAPA MOTOMO NEW SAM GRAN PRIME 5 G 530</t>
  </si>
  <si>
    <t>TAPA MOTOMO NEW SAM J5</t>
  </si>
  <si>
    <t>TAPA MOTOMO NEW SAM J7 II</t>
  </si>
  <si>
    <t>TAPA MOTOMO NOKIA 6</t>
  </si>
  <si>
    <t>TAPA MOTOMO SAM A5-2017</t>
  </si>
  <si>
    <t>TAPA MOTOMO SAM A7-2017</t>
  </si>
  <si>
    <t>TAPA MOTOMO SAM J2 PRIME</t>
  </si>
  <si>
    <t>TAPA MOTOMO SAM J3</t>
  </si>
  <si>
    <t>TAPA MOTOMO SAM J5 2016</t>
  </si>
  <si>
    <t>TAPA MOTOMO SAM J5 PRIME</t>
  </si>
  <si>
    <t>TAPA MOTOMO SAM J7</t>
  </si>
  <si>
    <t>TAPA MOTOMO SAM J7 PRIME</t>
  </si>
  <si>
    <t>TAPA MOTOMO SAM J7 PRO</t>
  </si>
  <si>
    <t>TAPA MOTOMO SAM S7 EDGE</t>
  </si>
  <si>
    <t>TAPA MOTOMO SAM S8</t>
  </si>
  <si>
    <t>TAPA MOTOMO SAMSUNG J5 2016</t>
  </si>
  <si>
    <t>TAPA MOTOMO SAMSUNG J5 PRIME</t>
  </si>
  <si>
    <t>TAPA MOTOMO SAMSUNG J7 PRIME</t>
  </si>
  <si>
    <t>TAPA MOTOMO SAMSUNG S6</t>
  </si>
  <si>
    <t>TAPA MOTOMO SLIM FIT MOTO G4 PLUS</t>
  </si>
  <si>
    <t>TAPA MOTOMO SLIPPER FIT SAM J5</t>
  </si>
  <si>
    <t>TAPA MOTOMO SONY L1</t>
  </si>
  <si>
    <t>Tapa Motomo Sony Xa 1 ultra</t>
  </si>
  <si>
    <t>TAPA MOTOMO YOU NEED MOTO G4 PLAY</t>
  </si>
  <si>
    <t>TAPA MOTOMO YOU YOU MOTO G2 - FE</t>
  </si>
  <si>
    <t>TAPA MOTOMO YOU YOU SAM 530 G. PRIME</t>
  </si>
  <si>
    <t>TAPA NEW CASE HUAWEI P9</t>
  </si>
  <si>
    <t>TAPA NEW CASE IPH0NE 7 G</t>
  </si>
  <si>
    <t>TAPA NICE HUAWEI GR5</t>
  </si>
  <si>
    <t>TAPA NICE SAM GRAND PRIME G 530</t>
  </si>
  <si>
    <t>TAPA NICE SAM J3</t>
  </si>
  <si>
    <t>TAPA NOKIA LUMIA X10</t>
  </si>
  <si>
    <t>TAPA RELIEVE AZUMI SPEED 5.5.</t>
  </si>
  <si>
    <t>TAPA RELIEVE IPHONE 7</t>
  </si>
  <si>
    <t>TAPA RELIEVE J2</t>
  </si>
  <si>
    <t>TAPA RELIEVE J5 PRIME</t>
  </si>
  <si>
    <t>TAPA RELIEVE LG X CAM</t>
  </si>
  <si>
    <t>TAPA RELIEVE LG X POWER</t>
  </si>
  <si>
    <t>TAPA RELIEVE MOTO G3</t>
  </si>
  <si>
    <t>TAPA RELIEVE SAM J1 ACE</t>
  </si>
  <si>
    <t>TAPA RELIEVE SAMSUNG J7 PRIME</t>
  </si>
  <si>
    <t>TAPA RELIEVE SAMSUNG J7-2016</t>
  </si>
  <si>
    <t>TAPA RELIEVE SAMSUNG S3</t>
  </si>
  <si>
    <t>TAPA RELIEVE SAMSUNG S5</t>
  </si>
  <si>
    <t>TAPA RELIEVE SAMSUNG WIN</t>
  </si>
  <si>
    <t>TAPA SAWROSKY HUAWEI P8 LITE</t>
  </si>
  <si>
    <t>TAPA SAWROSKY J7 PRIME</t>
  </si>
  <si>
    <t>TAPA SAWROSKY LENOVO K5</t>
  </si>
  <si>
    <t>TAPA SHELL  IPH 5 G/S</t>
  </si>
  <si>
    <t>TAPA SHELL  MOTO X PLAY</t>
  </si>
  <si>
    <t>TAPA SHELL IPH 6 G/S</t>
  </si>
  <si>
    <t>TAPA SHELL IPHONE 5C</t>
  </si>
  <si>
    <t>TAPA SHELL LENOVO K5</t>
  </si>
  <si>
    <t>TAPA SHELL LG K8</t>
  </si>
  <si>
    <t>TAPA SHELL MOTO G</t>
  </si>
  <si>
    <t>TAPA SHELL MOTO G 4 PLUS</t>
  </si>
  <si>
    <t>TAPA SHELL MOTO G4</t>
  </si>
  <si>
    <t>TAPA SHELL/ FASHION LG K10</t>
  </si>
  <si>
    <t>TAPA SILICONA TABLET SAMSUNG P3200 7"</t>
  </si>
  <si>
    <t>TAPA SILICONA TABLET T 230 7"</t>
  </si>
  <si>
    <t>TAPA SLIM ARMOR HUAWEI G PLAY</t>
  </si>
  <si>
    <t>TAPA SLIM ARMOR LG MAGNA H 502</t>
  </si>
  <si>
    <t>TAPA SLIM ARMOR MOTO X 2</t>
  </si>
  <si>
    <t>TAPA SLIM ARMOR MOTO X PLAY</t>
  </si>
  <si>
    <t>TAPA SLIM ARMOR SONY M4 AQUA</t>
  </si>
  <si>
    <t>TAPA SLIM FIT MOTO G4</t>
  </si>
  <si>
    <t>TAPA SOFT IPHONE 4 G/S</t>
  </si>
  <si>
    <t>TAPA SOFT IPHONE 5</t>
  </si>
  <si>
    <t>TAPA SOFT IPHONE 6G</t>
  </si>
  <si>
    <t>TAPA SOFT SAM  J1 ACE</t>
  </si>
  <si>
    <t>TAPA SOFT SAM GRAND 9080</t>
  </si>
  <si>
    <t>TAPA SWAROSKY HUAWEI GR5</t>
  </si>
  <si>
    <t>TAPA SWAROSKY J5 PRIME</t>
  </si>
  <si>
    <t>TAPA SWAROSKY MOTO C</t>
  </si>
  <si>
    <t>TAPA SWAROSKY SAMSUNG J5</t>
  </si>
  <si>
    <t>TAPA SWAROVSKI  HUAWEI  GR5</t>
  </si>
  <si>
    <t>TAPA SWAROVSKI MOTO G3</t>
  </si>
  <si>
    <t>TAPA SWAROVSKI MOTO G4 PLUS</t>
  </si>
  <si>
    <t>TAPA SYMMETRY IPHONE 6 PLUS</t>
  </si>
  <si>
    <t>TAPA SYMMETRY IPHONE 6G</t>
  </si>
  <si>
    <t>TAPA T.ARMOUR IPHONE 4</t>
  </si>
  <si>
    <t>TAPA TRANSAPARENTE SAM J7-2016</t>
  </si>
  <si>
    <t>TAPA TRANSPARENTE ALCATEL C5</t>
  </si>
  <si>
    <t>TAPA TRANSPARENTE ALCATEL C7</t>
  </si>
  <si>
    <t>TAPA TRANSPARENTE ALCATEL IDOL 2 MINI</t>
  </si>
  <si>
    <t>TAPA TRANSPARENTE ALCATEL IDOL 3 4.7"</t>
  </si>
  <si>
    <t>TAPA TRANSPARENTE ALCATEL IDOL 5.5"</t>
  </si>
  <si>
    <t>TAPA TRANSPARENTE AZUMI A50C</t>
  </si>
  <si>
    <t>TAPA TRANSPARENTE HTC 626</t>
  </si>
  <si>
    <t>TAPA TRANSPARENTE HTC 626 DESIRE</t>
  </si>
  <si>
    <t>TAPA TRANSPARENTE HTC 820</t>
  </si>
  <si>
    <t>TAPA TRANSPARENTE HUAWEI G PLAY</t>
  </si>
  <si>
    <t>TAPA TRANSPARENTE HUAWEI G PLAY MINI</t>
  </si>
  <si>
    <t>TAPA TRANSPARENTE HUAWEI G7</t>
  </si>
  <si>
    <t>TAPA TRANSPARENTE HUAWEI GR3</t>
  </si>
  <si>
    <t>TAPA TRANSPARENTE HUAWEI GR5</t>
  </si>
  <si>
    <t>TAPA TRANSPARENTE HUAWEI GR5-2017</t>
  </si>
  <si>
    <t>TAPA TRANSPARENTE HUAWEI MATE 10 LITE</t>
  </si>
  <si>
    <t>TAPA TRANSPARENTE HUAWEI MATE 10 PRO</t>
  </si>
  <si>
    <t>TAPA TRANSPARENTE HUAWEI MATE 20 LITE</t>
  </si>
  <si>
    <t>TAPA TRANSPARENTE HUAWEI MATE 7</t>
  </si>
  <si>
    <t>TAPA TRANSPARENTE HUAWEI MATE 9</t>
  </si>
  <si>
    <t>TAPA TRANSPARENTE HUAWEI MATE 9 LITE</t>
  </si>
  <si>
    <t>TAPA TRANSPARENTE HUAWEI P 8</t>
  </si>
  <si>
    <t>TAPA TRANSPARENTE HUAWEI P10</t>
  </si>
  <si>
    <t>TAPA TRANSPARENTE HUAWEI P10 LITE</t>
  </si>
  <si>
    <t>TAPA TRANSPARENTE HUAWEI P20</t>
  </si>
  <si>
    <t>TAPA TRANSPARENTE HUAWEI P20 PRO</t>
  </si>
  <si>
    <t>TAPA TRANSPARENTE HUAWEI P30 LITE</t>
  </si>
  <si>
    <t>TAPA TRANSPARENTE HUAWEI P40 LITE</t>
  </si>
  <si>
    <t>TAPA TRANSPARENTE HUAWEI P8</t>
  </si>
  <si>
    <t>TAPA TRANSPARENTE HUAWEI P8 LITE</t>
  </si>
  <si>
    <t>TAPA TRANSPARENTE HUAWEI P9 LITE</t>
  </si>
  <si>
    <t>TAPA TRANSPARENTE HUAWEI P9 LITE 2017</t>
  </si>
  <si>
    <t>TAPA TRANSPARENTE HUAWEI P9 LITE MINI</t>
  </si>
  <si>
    <t>TAPA TRANSPARENTE HUAWEI P9 LITE SMART</t>
  </si>
  <si>
    <t>TAPA TRANSPARENTE HUAWEI PSMART</t>
  </si>
  <si>
    <t>TAPA TRANSPARENTE HUAWEI PSMART 2019</t>
  </si>
  <si>
    <t>TAPA TRANSPARENTE HUAWEI Y360</t>
  </si>
  <si>
    <t>TAPA TRANSPARENTE HUAWEI Y6-2018</t>
  </si>
  <si>
    <t>TAPA TRANSPARENTE HUAWEI Y6-2019</t>
  </si>
  <si>
    <t>TAPA TRANSPARENTE HUAWEI Y6-II</t>
  </si>
  <si>
    <t xml:space="preserve">TAPA TRANSPARENTE HUAWEI Y6-II </t>
  </si>
  <si>
    <t>TAPA TRANSPARENTE HUAWEI Y600</t>
  </si>
  <si>
    <t>TAPA TRANSPARENTE HUAWEI Y635</t>
  </si>
  <si>
    <t>TAPA TRANSPARENTE HUAWEI Y6P</t>
  </si>
  <si>
    <t>TAPA TRANSPARENTE HUAWEI Y6S</t>
  </si>
  <si>
    <t>TAPA TRANSPARENTE HUAWEI Y7</t>
  </si>
  <si>
    <t>TAPA TRANSPARENTE HUAWEI Y7-2018</t>
  </si>
  <si>
    <t>TAPA TRANSPARENTE HUAWEI Y7-2019</t>
  </si>
  <si>
    <t>TAPA TRANSPARENTE HUAWEI Y7P</t>
  </si>
  <si>
    <t>TAPA TRANSPARENTE HUAWEI Y8P</t>
  </si>
  <si>
    <t>TAPA TRANSPARENTE HUAWEI Y8S</t>
  </si>
  <si>
    <t>TAPA TRANSPARENTE HUAWEI Y9 PRIME 2019</t>
  </si>
  <si>
    <t>TAPA TRANSPARENTE HUAWEI Y9-2018</t>
  </si>
  <si>
    <t>TAPA TRANSPARENTE HUAWEI Y9-2019</t>
  </si>
  <si>
    <t>TAPA TRANSPARENTE HUAWEI Y9S</t>
  </si>
  <si>
    <t>TAPA TRANSPARENTE IPAD 9.7</t>
  </si>
  <si>
    <t>TAPA TRANSPARENTE IPHONE 11</t>
  </si>
  <si>
    <t>TAPA TRANSPARENTE IPHONE 11 PRO</t>
  </si>
  <si>
    <t>TAPA TRANSPARENTE IPHONE 11 PRO MAX</t>
  </si>
  <si>
    <t>TAPA TRANSPARENTE IPHONE 12</t>
  </si>
  <si>
    <t>TAPA TRANSPARENTE IPHONE 12 MINI</t>
  </si>
  <si>
    <t>TAPA TRANSPARENTE IPHONE 12 PRO</t>
  </si>
  <si>
    <t>TAPA TRANSPARENTE IPHONE 12 PRO MAX</t>
  </si>
  <si>
    <t>TAPA TRANSPARENTE IPHONE 4</t>
  </si>
  <si>
    <t>TAPA TRANSPARENTE IPHONE 5</t>
  </si>
  <si>
    <t>TAPA TRANSPARENTE IPHONE 6</t>
  </si>
  <si>
    <t>TAPA TRANSPARENTE IPHONE 6 PLUS</t>
  </si>
  <si>
    <t>TAPA TRANSPARENTE IPHONE 7</t>
  </si>
  <si>
    <t>TAPA TRANSPARENTE IPHONE 7 PLUS</t>
  </si>
  <si>
    <t>TAPA TRANSPARENTE IPHONE 8</t>
  </si>
  <si>
    <t>TAPA TRANSPARENTE IPHONE 8 PLUS</t>
  </si>
  <si>
    <t>TAPA TRANSPARENTE IPHONE X</t>
  </si>
  <si>
    <t>TAPA TRANSPARENTE IPHONE XR</t>
  </si>
  <si>
    <t>TAPA TRANSPARENTE IPHONE XS</t>
  </si>
  <si>
    <t>TAPA TRANSPARENTE IPHONE XS MAX</t>
  </si>
  <si>
    <t>TAPA TRANSPARENTE LENOVO A 7010</t>
  </si>
  <si>
    <t>TAPA TRANSPARENTE LENOVO K6</t>
  </si>
  <si>
    <t>TAPA TRANSPARENTE LENOVO K6 PLUS</t>
  </si>
  <si>
    <t>TAPA TRANSPARENTE LENOVO VIBE C2</t>
  </si>
  <si>
    <t>TAPA TRANSPARENTE LENOVO VIKE B</t>
  </si>
  <si>
    <t>TAPA TRANSPARENTE LG G3</t>
  </si>
  <si>
    <t>TAPA TRANSPARENTE LG G3 STYLE</t>
  </si>
  <si>
    <t>TAPA TRANSPARENTE LG G6</t>
  </si>
  <si>
    <t>TAPA TRANSPARENTE LG K10</t>
  </si>
  <si>
    <t>TAPA TRANSPARENTE LG K10-2017</t>
  </si>
  <si>
    <t>TAPA TRANSPARENTE LG K11</t>
  </si>
  <si>
    <t>TAPA TRANSPARENTE LG K40</t>
  </si>
  <si>
    <t>TAPA TRANSPARENTE LG K50</t>
  </si>
  <si>
    <t>TAPA TRANSPARENTE LG K7</t>
  </si>
  <si>
    <t>TAPA TRANSPARENTE LG K8</t>
  </si>
  <si>
    <t>TAPA TRANSPARENTE LG K8-2017</t>
  </si>
  <si>
    <t>TAPA TRANSPARENTE LG K9</t>
  </si>
  <si>
    <t>TAPA TRANSPARENTE LG LEON</t>
  </si>
  <si>
    <t>TAPA TRANSPARENTE LG Q6</t>
  </si>
  <si>
    <t>TAPA TRANSPARENTE LG Q7</t>
  </si>
  <si>
    <t>TAPA TRANSPARENTE LG STYLE</t>
  </si>
  <si>
    <t>TAPA TRANSPARENTE LG STYLUS 3</t>
  </si>
  <si>
    <t>TAPA TRANSPARENTE LG STYLUS II</t>
  </si>
  <si>
    <t>TAPA TRANSPARENTE LG X CAM</t>
  </si>
  <si>
    <t>TAPA TRANSPARENTE LG X POWER</t>
  </si>
  <si>
    <t>TAPA TRANSPARENTE MATE 10 LITE</t>
  </si>
  <si>
    <t>TAPA TRANSPARENTE MOTO C PLUS</t>
  </si>
  <si>
    <t>TAPA TRANSPARENTE MOTO E4 PLUS</t>
  </si>
  <si>
    <t>TAPA TRANSPARENTE MOTO E5</t>
  </si>
  <si>
    <t>TAPA TRANSPARENTE MOTO E5 PLUS</t>
  </si>
  <si>
    <t>TAPA TRANSPARENTE MOTO G</t>
  </si>
  <si>
    <t>TAPA TRANSPARENTE MOTO G3</t>
  </si>
  <si>
    <t>TAPA TRANSPARENTE MOTO G4</t>
  </si>
  <si>
    <t>TAPA TRANSPARENTE MOTO G4 PLAY</t>
  </si>
  <si>
    <t>TAPA TRANSPARENTE MOTO G4 PLUS</t>
  </si>
  <si>
    <t>TAPA TRANSPARENTE MOTO G5</t>
  </si>
  <si>
    <t>TAPA TRANSPARENTE MOTO G5 PLUS</t>
  </si>
  <si>
    <t>TAPA TRANSPARENTE MOTO G5S</t>
  </si>
  <si>
    <t>TAPA TRANSPARENTE MOTO G5S PLUS</t>
  </si>
  <si>
    <t>TAPA TRANSPARENTE MOTO G6</t>
  </si>
  <si>
    <t>TAPA TRANSPARENTE MOTO G6 PLAY</t>
  </si>
  <si>
    <t>TAPA TRANSPARENTE MOTO G6 PLUS</t>
  </si>
  <si>
    <t>TAPA TRANSPARENTE MOTO G7</t>
  </si>
  <si>
    <t>TAPA TRANSPARENTE MOTO G7 PLAY</t>
  </si>
  <si>
    <t>TAPA TRANSPARENTE MOTO ONE</t>
  </si>
  <si>
    <t>TAPA TRANSPARENTE MOTO X PLAY</t>
  </si>
  <si>
    <t>TAPA TRANSPARENTE MOTO X2</t>
  </si>
  <si>
    <t>TAPA TRANSPARENTE MOTO X4</t>
  </si>
  <si>
    <t>TAPA TRANSPARENTE MOTO Z2 PLAY</t>
  </si>
  <si>
    <t>TAPA TRANSPARENTE NOKIA 1</t>
  </si>
  <si>
    <t>TAPA TRANSPARENTE NOKIA 3</t>
  </si>
  <si>
    <t>TAPA TRANSPARENTE NOKIA 3.1</t>
  </si>
  <si>
    <t>TAPA TRANSPARENTE NOKIA 5</t>
  </si>
  <si>
    <t>TAPA TRANSPARENTE NOKIA 5.1</t>
  </si>
  <si>
    <t>TAPA TRANSPARENTE NOKIA 5.1 PLUS</t>
  </si>
  <si>
    <t>TAPA TRANSPARENTE NOKIA 6</t>
  </si>
  <si>
    <t>TAPA TRANSPARENTE NOKIA 6.1</t>
  </si>
  <si>
    <t>TAPA TRANSPARENTE NOKIA 7.1 PLUS</t>
  </si>
  <si>
    <t>TAPA TRANSPARENTE NOKIA 8</t>
  </si>
  <si>
    <t>TAPA TRANSPARENTE OWN 4020</t>
  </si>
  <si>
    <t>TAPA TRANSPARENTE SAM A10</t>
  </si>
  <si>
    <t>TAPA TRANSPARENTE SAM A10S</t>
  </si>
  <si>
    <t>TAPA TRANSPARENTE SAM A3-2016</t>
  </si>
  <si>
    <t>TAPA TRANSPARENTE SAM A31</t>
  </si>
  <si>
    <t>TAPA TRANSPARENTE SAM A5</t>
  </si>
  <si>
    <t>TAPA TRANSPARENTE SAM A5-2016</t>
  </si>
  <si>
    <t>TAPA TRANSPARENTE SAM A5-2017</t>
  </si>
  <si>
    <t>TAPA TRANSPARENTE SAM A51</t>
  </si>
  <si>
    <t>TAPA TRANSPARENTE SAM A6</t>
  </si>
  <si>
    <t>TAPA TRANSPARENTE SAM A6 PLUS</t>
  </si>
  <si>
    <t>TAPA TRANSPARENTE SAM A7-2016</t>
  </si>
  <si>
    <t>TAPA TRANSPARENTE SAM A7-2017</t>
  </si>
  <si>
    <t>TAPA TRANSPARENTE SAM A7-2018</t>
  </si>
  <si>
    <t>TAPA TRANSPARENTE SAM A70</t>
  </si>
  <si>
    <t>TAPA TRANSPARENTE SAM A8</t>
  </si>
  <si>
    <t>TAPA TRANSPARENTE SAM A8 PLUS</t>
  </si>
  <si>
    <t>TAPA TRANSPARENTE SAM A9</t>
  </si>
  <si>
    <t>TAPA TRANSPARENTE SAM ACE 4</t>
  </si>
  <si>
    <t>TAPA TRANSPARENTE SAM CORE</t>
  </si>
  <si>
    <t>TAPA TRANSPARENTE SAM CORE 2</t>
  </si>
  <si>
    <t>TAPA TRANSPARENTE SAM CORE PRIME</t>
  </si>
  <si>
    <t>TAPA TRANSPARENTE SAM E5</t>
  </si>
  <si>
    <t>TAPA TRANSPARENTE SAM GALAXY GRAND</t>
  </si>
  <si>
    <t>TAPA TRANSPARENTE SAM GRAND</t>
  </si>
  <si>
    <t>TAPA TRANSPARENTE SAM GRAND 9080</t>
  </si>
  <si>
    <t>TAPA TRANSPARENTE SAM GRAND 9082</t>
  </si>
  <si>
    <t>TAPA TRANSPARENTE SAM GRAND PRIME</t>
  </si>
  <si>
    <t>TAPA TRANSPARENTE SAM J1</t>
  </si>
  <si>
    <t>TAPA TRANSPARENTE SAM J1 ACE</t>
  </si>
  <si>
    <t>TAPA TRANSPARENTE SAM J1-2016</t>
  </si>
  <si>
    <t>TAPA TRANSPARENTE SAM J2</t>
  </si>
  <si>
    <t>TAPA TRANSPARENTE SAM J2 CORE</t>
  </si>
  <si>
    <t>TAPA TRANSPARENTE SAM J2 PRIME</t>
  </si>
  <si>
    <t>TAPA TRANSPARENTE SAM J2 PRO</t>
  </si>
  <si>
    <t>TAPA TRANSPARENTE SAM J4</t>
  </si>
  <si>
    <t>TAPA TRANSPARENTE SAM J4 PLUS</t>
  </si>
  <si>
    <t>TAPA TRANSPARENTE SAM J5</t>
  </si>
  <si>
    <t>TAPA TRANSPARENTE SAM J5 PRIME</t>
  </si>
  <si>
    <t>TAPA TRANSPARENTE SAM J5 PRO</t>
  </si>
  <si>
    <t>TAPA TRANSPARENTE SAM J5-2016</t>
  </si>
  <si>
    <t>TAPA TRANSPARENTE SAM J5-2017</t>
  </si>
  <si>
    <t>TAPA TRANSPARENTE SAM J6</t>
  </si>
  <si>
    <t>TAPA TRANSPARENTE SAM J6 PLUS</t>
  </si>
  <si>
    <t>TAPA TRANSPARENTE SAM J7</t>
  </si>
  <si>
    <t>TAPA TRANSPARENTE SAM J7 DUO</t>
  </si>
  <si>
    <t>TAPA TRANSPARENTE SAM J7 NEO</t>
  </si>
  <si>
    <t>TAPA TRANSPARENTE SAM J7 PRIME</t>
  </si>
  <si>
    <t>TAPA TRANSPARENTE SAM J7 PRO</t>
  </si>
  <si>
    <t>TAPA TRANSPARENTE SAM J7-2016</t>
  </si>
  <si>
    <t>TAPA TRANSPARENTE SAM J7-2017</t>
  </si>
  <si>
    <t>TAPA TRANSPARENTE SAM J8</t>
  </si>
  <si>
    <t>TAPA TRANSPARENTE SAM NOTE 8</t>
  </si>
  <si>
    <t>TAPA TRANSPARENTE SAM NOTE 9</t>
  </si>
  <si>
    <t>TAPA TRANSPARENTE SAM S10</t>
  </si>
  <si>
    <t>TAPA TRANSPARENTE SAM S10 LITE</t>
  </si>
  <si>
    <t>TAPA TRANSPARENTE SAM S10 PLUS</t>
  </si>
  <si>
    <t>TAPA TRANSPARENTE SAM S3 MINI</t>
  </si>
  <si>
    <t>TAPA TRANSPARENTE SAM S4 MINI</t>
  </si>
  <si>
    <t>TAPA TRANSPARENTE SAM S6</t>
  </si>
  <si>
    <t>TAPA TRANSPARENTE SAM S6 EDGE</t>
  </si>
  <si>
    <t>TAPA TRANSPARENTE SAM S7</t>
  </si>
  <si>
    <t>TAPA TRANSPARENTE SAM S7 EDGE</t>
  </si>
  <si>
    <t>TAPA TRANSPARENTE SAM S8</t>
  </si>
  <si>
    <t>TAPA TRANSPARENTE SAM S8 EDGE</t>
  </si>
  <si>
    <t>TAPA TRANSPARENTE SAM S8 PLUS</t>
  </si>
  <si>
    <t>TAPA TRANSPARENTE SAM S9</t>
  </si>
  <si>
    <t>TAPA TRANSPARENTE SAM S9 PLUS</t>
  </si>
  <si>
    <t>TAPA TRANSPARENTE SAMS</t>
  </si>
  <si>
    <t>TAPA TRANSPARENTE SONY C4</t>
  </si>
  <si>
    <t>TAPA TRANSPARENTE SONY E 4</t>
  </si>
  <si>
    <t>TAPA TRANSPARENTE SONY L1</t>
  </si>
  <si>
    <t>TAPA TRANSPARENTE SONY M4</t>
  </si>
  <si>
    <t>TAPA TRANSPARENTE SONY M4 AQUA</t>
  </si>
  <si>
    <t>TAPA TRANSPARENTE SONY M5</t>
  </si>
  <si>
    <t>TAPA TRANSPARENTE SONY X</t>
  </si>
  <si>
    <t>TAPA TRANSPARENTE SONY XA1</t>
  </si>
  <si>
    <t>TAPA TRANSPARENTE SONY XA1 ULTRA</t>
  </si>
  <si>
    <t>TAPA TRANSPARENTE SONY XZ</t>
  </si>
  <si>
    <t>TAPA TRANSPARENTE SONY XZ PREMIUM</t>
  </si>
  <si>
    <t>TAPA TRANSPARENTE SONY Z3</t>
  </si>
  <si>
    <t>TAPA TRANSPARENTE SONY Z5</t>
  </si>
  <si>
    <t>TAPA TRANSPARENTE SONY Z5 PREMIUN</t>
  </si>
  <si>
    <t>TAPA TRANSPARENTE XIAOMI MI A1</t>
  </si>
  <si>
    <t>TAPA TRANSPARENTE XIAOMI REDMI 9</t>
  </si>
  <si>
    <t>TAPA TRANSPARENTE XIAOMI REDMI 9C</t>
  </si>
  <si>
    <t>TAPA TRANSPARENTE XIAOMI REDMI NOTE 5</t>
  </si>
  <si>
    <t>TAPA TRANSPARENTE XIAOMI REDMI NOTE 9</t>
  </si>
  <si>
    <t>TAPA TRANSPARENTE ZTE L2</t>
  </si>
  <si>
    <t>TARJETA DE AUDIO USB 7.1</t>
  </si>
  <si>
    <t>TARJETA DE AUDIO USB 7.1 COD 1684 DOBLE</t>
  </si>
  <si>
    <t>TARJETA MEMEORIA MAXELL 16 GB</t>
  </si>
  <si>
    <t>TARJETA MEMORIA 8 GB</t>
  </si>
  <si>
    <t>TARJETA MEMORIA KINGSTON 32 GB</t>
  </si>
  <si>
    <t>TARJETA MULTILECTORA METALICA 15 EN 1</t>
  </si>
  <si>
    <t>TECLADO</t>
  </si>
  <si>
    <t>TECLADO  ALAMBRICO CON USB T-100</t>
  </si>
  <si>
    <t>TECLADO + MOUSE C. CABLE T-201</t>
  </si>
  <si>
    <t>TECLADO + MOUSE INALAMBRICO TM-400</t>
  </si>
  <si>
    <t>TECLADO ALAMBRICO COD 1538</t>
  </si>
  <si>
    <t>TECLADO ALAMBRICO GENIUS KB-100</t>
  </si>
  <si>
    <t>TECLADO ALAMBRICO GENIUS KB-102</t>
  </si>
  <si>
    <t>TECLADO ALAMBRICO GENIUS KB-116</t>
  </si>
  <si>
    <t>TECLADO ALAMBRICO GENIUS KB-125 BASICO</t>
  </si>
  <si>
    <t>TECLADO ALAMBRICO GENIUS KM-160</t>
  </si>
  <si>
    <t>TECLADO ALAMBRICO GENIUS LUXEMATE 100</t>
  </si>
  <si>
    <t>TECLADO ALAMBRICO GENIUS SLIMSTAR 126</t>
  </si>
  <si>
    <t>TECLADO ALAMBRICO GENIUS SLIMSTAR 230</t>
  </si>
  <si>
    <t>TECLADO ALAMBRICO GENIUS SMART KB-101</t>
  </si>
  <si>
    <t>TECLADO ALAMBRICO JX-123</t>
  </si>
  <si>
    <t>TECLADO ALAMBRICO KLIP XTREME KKS-050S</t>
  </si>
  <si>
    <t>TECLADO ALAMBRICO MECANICO TARGET PREDATOR</t>
  </si>
  <si>
    <t xml:space="preserve">TECLADO ALAMBRICO NUMERICO KLIP EXTREME KNP-100 </t>
  </si>
  <si>
    <t>TECLADO ALAMBRICO ULTRA UT-K100U</t>
  </si>
  <si>
    <t>TECLADO ALAMBRICO XTECH XTK-160S</t>
  </si>
  <si>
    <t>TECLADO BLUETOOTH T-500B</t>
  </si>
  <si>
    <t>TECLADO BLUETOOTH TM-450WL</t>
  </si>
  <si>
    <t>TECLADO BLUETOOTH VERBATIM PLEGABLE</t>
  </si>
  <si>
    <t>TECLADO C. CABLE MULTIMEDIA T-150</t>
  </si>
  <si>
    <t>TECLADO GAMER AOAS M-600 HAOMAI-04906</t>
  </si>
  <si>
    <t>TECLADO GAMER AOAS M-888 HAOMAI-05033</t>
  </si>
  <si>
    <t xml:space="preserve">TECLADO GAMER GENIUS SCORPION K215 RETROILUMINADO </t>
  </si>
  <si>
    <t>TECLADO GAMER GENIUS SCORPION K220 RETROILUMINADO</t>
  </si>
  <si>
    <t>TECLADO GAMER JX-K8 39 TECLAS</t>
  </si>
  <si>
    <t>TECLADO GAMER KW-900 MECANICO RETROILUMINADO</t>
  </si>
  <si>
    <t>TECLADO GAMER MECANICO K-30</t>
  </si>
  <si>
    <t>TECLADO GAMER TRUST AVONN GXT 830RW</t>
  </si>
  <si>
    <t>TECLADO INALAMBRICO BLUETOOTH 59002</t>
  </si>
  <si>
    <t>TECLADO INALAMBRICO BLUETOOTH BK3001</t>
  </si>
  <si>
    <t>TECLADO INALAMBRICO PARA APPLE</t>
  </si>
  <si>
    <t>TECLADO MAGIC GAMING GM 700</t>
  </si>
  <si>
    <t>TECLADO NUMERICO ALAMBRICO ULTRA</t>
  </si>
  <si>
    <t>TECLADO NUMERICO COD 2162</t>
  </si>
  <si>
    <t>TECLADO NUMERICO INALAMBRICO</t>
  </si>
  <si>
    <t>TECLADO NUMERICO ULTRA UT-K200U</t>
  </si>
  <si>
    <t>TECLADO PARA SMART TV</t>
  </si>
  <si>
    <t>TECLADO PARA SMART TV COD 1351</t>
  </si>
  <si>
    <t>TECLADO PC CONECC USB 1538</t>
  </si>
  <si>
    <t>TECLADO PC GAMER COD 2123</t>
  </si>
  <si>
    <t>TECLADO TABLET 10.1" FCT010</t>
  </si>
  <si>
    <t>TECLADO TABLET 7" FCB008</t>
  </si>
  <si>
    <t>TECLADO ULTRA UT0-K50UP</t>
  </si>
  <si>
    <t>TECLADO Y MOUSE ALAMBRICO GENIUS KM-130</t>
  </si>
  <si>
    <t>TECLADO Y MOUSE ALAMBRICO GENIUS KM-160</t>
  </si>
  <si>
    <t>TECLADO Y MOUSE ALAMBRICO GENIUS SLIMSTAR C130</t>
  </si>
  <si>
    <t>TECLADO Y MOUSE ALAMBRICO PHILIPS C234</t>
  </si>
  <si>
    <t>TECLADO Y MOUSE ALAMBRICO XTECH XTK-301S</t>
  </si>
  <si>
    <t>TECLADO Y MOUSE GAMER PHILIPS SPT8264/00</t>
  </si>
  <si>
    <t>TECLADO Y MOUSE GAMER TRUST AZOR GXT 838</t>
  </si>
  <si>
    <t>TECLADO Y MOUSE INALAMBRICO GENIUS KB-8000X</t>
  </si>
  <si>
    <t>TECLADO Y MOUSE INALAMBRICO GENIUS SLIMSTAR 8006</t>
  </si>
  <si>
    <t>TECLADO Y MOUSE INALAMBRICO GENIUS SMART KM-8100</t>
  </si>
  <si>
    <t>TECLADO Y MOUSE INALAMBRICO GENIUS SMART KM-8200</t>
  </si>
  <si>
    <t>TECLADO Y MOUSE INALAMBRICO PHILIPS C134 COD 100099</t>
  </si>
  <si>
    <t>TECLADO Y MOUSE INALAMBRICO TARGET TT-CW500</t>
  </si>
  <si>
    <t>TECLADO Y MOUSE INALAMBRICO TRUST NOVA</t>
  </si>
  <si>
    <t>TECLADO Y MOUSE INALAMBRICO TRUST ZIVA</t>
  </si>
  <si>
    <t>TECLADO Y MOUSE INALAMBRICO XTECH XTK-301S</t>
  </si>
  <si>
    <t>TECLADO Y MOUSE TIPO GAMER ALAMBRICO COD 966</t>
  </si>
  <si>
    <t>TECLADO Y MOUSE TIPO GAMER INALAMBRICO COD 966</t>
  </si>
  <si>
    <t>TECLADO Y MOUSE XTECH XTK-300S</t>
  </si>
  <si>
    <t>TELEFONO INALAMBRICO MOTOROLA M700 NEGRO</t>
  </si>
  <si>
    <t>TELEFONO INALAMBRICO MOTOROLA MODELO M700 COD 1685</t>
  </si>
  <si>
    <t>TERMOMETRO DIGITAL CON DISPENSADOR DE ALCOHOL GEL IRM-08899</t>
  </si>
  <si>
    <t>TERMOMETRO DIGITAL IRM-07672</t>
  </si>
  <si>
    <t>TESTEADOR REDES</t>
  </si>
  <si>
    <t>TESTER DIGITAL DT9205A COD 3787</t>
  </si>
  <si>
    <t>TGAPA MOTOMO YOU YOU SAM S6</t>
  </si>
  <si>
    <t>TOALLA DE PAPEL LA PATRONA 100 MTS</t>
  </si>
  <si>
    <t>TOALLA DESINFECTANTE BELUX 72 UN</t>
  </si>
  <si>
    <t>TOALLA DESINFECTANTE VIRUTEX LIMON 35 UDS</t>
  </si>
  <si>
    <t>TOALLA DESINFECTANTE VIRUTEX LIMON 50 UDS</t>
  </si>
  <si>
    <t>TOALLA NOVA UNIDAD</t>
  </si>
  <si>
    <t>TOALLA OSO CLASICA 12.6 MTS</t>
  </si>
  <si>
    <t>TRABA VOLANTE TIPO T COD 3322</t>
  </si>
  <si>
    <t>TRANSFORMADOR 12V IRM-00729</t>
  </si>
  <si>
    <t>TRANSFORMADOR 2.5 A 12V COD 2393</t>
  </si>
  <si>
    <t>TRANSFORMADOR 220-110V COD 2628</t>
  </si>
  <si>
    <t>TRANSFORMADOR 3 A 12V IRM-06039</t>
  </si>
  <si>
    <t>TRANSMIDOR FM 8 EN 1 DEZZER</t>
  </si>
  <si>
    <t>TRANSMISOR AUTO BLUETOOTH COD 520</t>
  </si>
  <si>
    <t>TRANSMISOR BLUETOOTH AUTO COD 522</t>
  </si>
  <si>
    <t>TRANSMISOR BLUETOOTH BT600 PHILCO</t>
  </si>
  <si>
    <t>TRANSMISOR BLUETOOTH DAIKU FM-29B</t>
  </si>
  <si>
    <t>TRANSMISOR BLUETOOTH FM  COD 1094</t>
  </si>
  <si>
    <t>TRANSMISOR BLUETOOTH FM IRM-04909</t>
  </si>
  <si>
    <t>TRANSMISOR BLUETOOTH FM IRM-05829 T10</t>
  </si>
  <si>
    <t>TRANSMISOR BLUETOOTH FM IRM-05840</t>
  </si>
  <si>
    <t>TRANSMISOR BLUETOOTH FM IRM-06374 X22</t>
  </si>
  <si>
    <t>TRANSMISOR BLUETOOTH FM IRM-07293</t>
  </si>
  <si>
    <t>TRANSMISOR FM 5476 C. CABLE V8. DC. AUX.</t>
  </si>
  <si>
    <t>TRANSMISOR FM BLUETOOH IRM-03198</t>
  </si>
  <si>
    <t>TRANSMISOR FM BLUETOOTH COD 118139</t>
  </si>
  <si>
    <t>TRANSMISOR FM BLUETOOTH COD 118205</t>
  </si>
  <si>
    <t>TRANSMISOR FM BLUETOOTH COD 37</t>
  </si>
  <si>
    <t>TRANSMISOR FM BLUETOOTH COD 4217</t>
  </si>
  <si>
    <t>TRANSMISOR FM BLUETOOTH MAXELL FMT-21</t>
  </si>
  <si>
    <t>TRANSMISOR FM BLUETOOTH PHILCO X1</t>
  </si>
  <si>
    <t>TRANSMISOR FM BT 3.4 A PHILCO</t>
  </si>
  <si>
    <t>TRANSMISOR Y RECEPTOR BLUETOOTH RX TX T11 2 EN 1</t>
  </si>
  <si>
    <t>TRIPLE ELECTRICO COD 117710</t>
  </si>
  <si>
    <t>TRIPODE 1.0 MT 3110</t>
  </si>
  <si>
    <t>TRIPODE 1.0 MT CON CONTROL IRM-07586</t>
  </si>
  <si>
    <t>TRIPODE 1.1MT CAMARA REFLEX COD 42</t>
  </si>
  <si>
    <t>TRIPODE 1.3 MT 330A</t>
  </si>
  <si>
    <t>TRIPODE 1.5 MTS COD 14815 MOD 330A</t>
  </si>
  <si>
    <t>TRIPODE 2.1 MTS PARA ARO DE LUZ</t>
  </si>
  <si>
    <t>TRIPODE CAMARA REFLEX COD 1346</t>
  </si>
  <si>
    <t>TRIPODE CAMARA REFLEX COD 629 1.5 MTS</t>
  </si>
  <si>
    <t>TRIPODE CAMARA REFLEX IRM-06297</t>
  </si>
  <si>
    <t>TRIPODE CON CONTROL 128 CMS IRM-06295</t>
  </si>
  <si>
    <t>TRIPODE FIJO COD 116236</t>
  </si>
  <si>
    <t>TRIPODE GORILAPOD CABALLO</t>
  </si>
  <si>
    <t>TRIPODE GORILAPOD PATA FLEXIBLE</t>
  </si>
  <si>
    <t>TRIPODE MINI EXTENSIBLE COD 2312</t>
  </si>
  <si>
    <t>TRIPODE MINI FLEXIBLE COD 2417</t>
  </si>
  <si>
    <t>TRIPODE PARA CAMARA 1.50 MTS</t>
  </si>
  <si>
    <t>TRIPODE PARA CAMARA 120 CMS SXC-00549</t>
  </si>
  <si>
    <t>TRIPODE PARA CAMARA 150 CMS IRM-07629 3110</t>
  </si>
  <si>
    <t>TRIPODE PARA CAMARA IRM-02268</t>
  </si>
  <si>
    <t>TRIPODE PARA CAMARA IRM-02269</t>
  </si>
  <si>
    <t>TRIPODE PARA CAMARA PEQ 1.2 MTS</t>
  </si>
  <si>
    <t>TRIPODE PARA CAMARA SXC-00554 160 CMS</t>
  </si>
  <si>
    <t>TRIPODE PARA CELULAR IRM-05110</t>
  </si>
  <si>
    <t>TRIPODE PARA CELULAR IRM-06505 PATA EXTENSIBLE</t>
  </si>
  <si>
    <t>TRIPODE PARA CELULAR IRM-07716 330A</t>
  </si>
  <si>
    <t>TRIPODE PARA CELULAR PATA METALICA</t>
  </si>
  <si>
    <t>TRIPODE PATA FIJA IRM-03096</t>
  </si>
  <si>
    <t>TRIPODE PATA FIJA IRM-07988</t>
  </si>
  <si>
    <t>TRIPODE PATA FIJA YUNTFNG</t>
  </si>
  <si>
    <t xml:space="preserve">TRIPODE PATA FLEXIBLE </t>
  </si>
  <si>
    <t>IRM-02113</t>
  </si>
  <si>
    <t>TRIPODE PATA FLEXIBLE BA-1028</t>
  </si>
  <si>
    <t>TRIPODE PATA FLEXIBLE IRM-06413</t>
  </si>
  <si>
    <t>TRIPODE TRIPLE IRM-07558</t>
  </si>
  <si>
    <t>TV BOX ANDROID 8.1 COD 2890</t>
  </si>
  <si>
    <t>TV BOX ANDROID 9.0 IRM-07235</t>
  </si>
  <si>
    <t>TV BOX ANDROID 9.0 IRM-07236</t>
  </si>
  <si>
    <t>TV BOX ANDROID 9.0 MXQ-4K</t>
  </si>
  <si>
    <t>TV BOX ANDROID X96 MATE 4K</t>
  </si>
  <si>
    <t>TAPA DURA NEGRA SAM MOTO X 2</t>
  </si>
  <si>
    <t>V. T 3D + TAPA GOMA IPHONE 7 PLUS ESTUCHE EXCLUSIV</t>
  </si>
  <si>
    <t>V. T 3D + TAPA GOMA IPHONE 7G ESTUCHE EXCLUSIVO</t>
  </si>
  <si>
    <t>V. T BORDE COLOR IPH 7G</t>
  </si>
  <si>
    <t>VIDRIO PEGAMENTO COMPLETO</t>
  </si>
  <si>
    <t>V.T BORDE COLOR IPHONE 4</t>
  </si>
  <si>
    <t xml:space="preserve">V.T BORDE COLOR SAM S3 </t>
  </si>
  <si>
    <t>VENTILADOR C/ AGUA</t>
  </si>
  <si>
    <t>VENTILADOR MINI PORTABLE COD 2938</t>
  </si>
  <si>
    <t>VENTILADOR NOTEBOOK CL-022BK</t>
  </si>
  <si>
    <t>VENTILADOR NOTEBOOK CL-022BL</t>
  </si>
  <si>
    <t>VENTILADOR NOTEBOOK FIDDLER FD-YL025</t>
  </si>
  <si>
    <t>VENTILADOR PARA NOTEBOOK 10" A 15" 883</t>
  </si>
  <si>
    <t>VENTILADOR PARA NOTEBOOK 10" A 15" N18</t>
  </si>
  <si>
    <t>VENTILADOR SOLAR COD 2457 PARA AUTO</t>
  </si>
  <si>
    <t>VENTILADOR USB DE ESCRITORIO COD 2687</t>
  </si>
  <si>
    <t>VENTILADOR USB ULTRA</t>
  </si>
  <si>
    <t>VIDEO JUEGO MINI COD 6323 PORTATIL A TV</t>
  </si>
  <si>
    <t>VIDEO PORTERO 4.3 CITOFONO INALAMBRICO</t>
  </si>
  <si>
    <t>VIDRIO 3D BORDE COLOR IPHONE 7</t>
  </si>
  <si>
    <t>VIDRIO 3D CURVA S6 EDGE</t>
  </si>
  <si>
    <t>VIDRIO 3D CURVO SAM NOTE 8</t>
  </si>
  <si>
    <t>VIDRIO 3D CURVO SAM S6 EDGE</t>
  </si>
  <si>
    <t>VIDRIO 3D CURVO SAM S7 EDGE</t>
  </si>
  <si>
    <t>VIDRIO 3D CURVO SAM S8</t>
  </si>
  <si>
    <t>VIDRIO 3D CURVO SAM S8 PLUS</t>
  </si>
  <si>
    <t>VIDRIO 3D HUAWEI MATE 20 LITE</t>
  </si>
  <si>
    <t>VIDRIO 3D HUAWEI MATE 20 PRO</t>
  </si>
  <si>
    <t>VIDRIO 3D HUAWEI P9 LITE</t>
  </si>
  <si>
    <t>VIDRIO PEGAMENTO EN BORDE</t>
  </si>
  <si>
    <t>VIDRIO 3D HUAWEI PSMART</t>
  </si>
  <si>
    <t>VIDRIO 3D NOKIA 6.1</t>
  </si>
  <si>
    <t>VIDRIO 3D SAM A8 PLUS</t>
  </si>
  <si>
    <t>VIDRIO 3D SAM J5</t>
  </si>
  <si>
    <t>VIDRIO 3D SAM J5 PRIME</t>
  </si>
  <si>
    <t>VIDRIO 3D SAM J5-2016</t>
  </si>
  <si>
    <t>VIDRIO 3D SAM J6</t>
  </si>
  <si>
    <t>VIDRIO 3D SAM J7</t>
  </si>
  <si>
    <t>VIDRIO 3D SAM J7-2016</t>
  </si>
  <si>
    <t>VIDRIO 3D SAM J8</t>
  </si>
  <si>
    <t>VIDRIO 3D SAM NOTE 9</t>
  </si>
  <si>
    <t>VIDRIO 3D SAM S6 EDGE PLUS</t>
  </si>
  <si>
    <t>VIDRIO 3D SAM S7 EDGE</t>
  </si>
  <si>
    <t>VIDRIO 3D SAM S8 PLUS</t>
  </si>
  <si>
    <t>VIDRIO 3D SAM S9</t>
  </si>
  <si>
    <t>VIDRIO 3D SAM S9 PLUS</t>
  </si>
  <si>
    <t>VIDRIO 4D HUAWEI P SMART</t>
  </si>
  <si>
    <t>VIDRIO 4D IPHONE 6</t>
  </si>
  <si>
    <t>VIDRIO CON BORDE METALICO</t>
  </si>
  <si>
    <t>VIDRIO 4D IPHONE 6 PLUS</t>
  </si>
  <si>
    <t>VIDRIO 4D IPHONE 7</t>
  </si>
  <si>
    <t>VIDRIO 4D IPHONE 7 PLUS</t>
  </si>
  <si>
    <t>VIDRIO 4D IPHONE 8</t>
  </si>
  <si>
    <t>VIDRIO 4D IPHONE 8 PLUS</t>
  </si>
  <si>
    <t>VIDRIO 4D IPHONE X</t>
  </si>
  <si>
    <t>VIDRIO 4D LG K10</t>
  </si>
  <si>
    <t>VIDRIO 4D SAM J5 PRIME</t>
  </si>
  <si>
    <t>VIDRIO 4D SAM J5 PRO</t>
  </si>
  <si>
    <t>VIDRIO 4D SAM J7 NEO</t>
  </si>
  <si>
    <t>VIDRIO 4D SAM J7 PRIME</t>
  </si>
  <si>
    <t>VIDRIO 4D SAM J7 PRO</t>
  </si>
  <si>
    <t>VIDRIO 4D SAM J7-2016</t>
  </si>
  <si>
    <t>VIDRIO 4D SAM NOTE 8</t>
  </si>
  <si>
    <t>VIDRIO 4D SAM S6 EDGE</t>
  </si>
  <si>
    <t>VIDRIO 4D SAM S7 EDGE</t>
  </si>
  <si>
    <t>VIDRIO 5 D SAM NOTE 9</t>
  </si>
  <si>
    <t>VIDRIO 5D HUAWEI MATE 10 LITE</t>
  </si>
  <si>
    <t>VIDRIO 5D HUAWEI MATE 10 PRO</t>
  </si>
  <si>
    <t>VIDRIO 5D HUAWEI MATE 20 LITE</t>
  </si>
  <si>
    <t>VIDRIO 5D HUAWEI MATE 30 LITE</t>
  </si>
  <si>
    <t>VIDRIO 5D HUAWEI MATE 9 LITE</t>
  </si>
  <si>
    <t>VIDRIO 5D HUAWEI NOVA 5T</t>
  </si>
  <si>
    <t>VIDRIO 5D HUAWEI NOVA 7 SE</t>
  </si>
  <si>
    <t>VIDRIO 5D HUAWEI P20</t>
  </si>
  <si>
    <t>VIDRIO 5D HUAWEI P20 LITE</t>
  </si>
  <si>
    <t>VIDRIO 5D HUAWEI P30</t>
  </si>
  <si>
    <t>VIDRIO 5D HUAWEI P30 LITE</t>
  </si>
  <si>
    <t>VIDRIO 5D HUAWEI P40 LITE</t>
  </si>
  <si>
    <t>VIDRIO 5D HUAWEI P40 PRO</t>
  </si>
  <si>
    <t>VIDRIO 5D HUAWEI PSMART 2019</t>
  </si>
  <si>
    <t>VIDRIO 5D HUAWEI Y5S</t>
  </si>
  <si>
    <t>VIDRIO 5D HUAWEI Y6-2019</t>
  </si>
  <si>
    <t>VIDRIO 5D HUAWEI Y6P</t>
  </si>
  <si>
    <t>VIDRIO 5D HUAWEI Y6S</t>
  </si>
  <si>
    <t>VIDRIO 5D HUAWEI Y7-2019</t>
  </si>
  <si>
    <t>VIDRIO 5D HUAWEI Y8S</t>
  </si>
  <si>
    <t>VIDRIO 5D HUAWEI Y9-2018</t>
  </si>
  <si>
    <t>VIDRIO 5D HUAWEI Y9-2019</t>
  </si>
  <si>
    <t>VIDRIO 5D HUAWEI Y9-2019 PRIME</t>
  </si>
  <si>
    <t>VIDRIO 5D HUAWEI Y9S</t>
  </si>
  <si>
    <t>VIDRIO 5D IPHONE 11</t>
  </si>
  <si>
    <t>VIDRIO 5D IPHONE 11 PRO</t>
  </si>
  <si>
    <t>VIDRIO 5D IPHONE 11 PRO MAX</t>
  </si>
  <si>
    <t>VIDRIO 5D IPHONE 12</t>
  </si>
  <si>
    <t>VIDRIO 5D IPHONE 12 MINI</t>
  </si>
  <si>
    <t>VIDRIO 5D IPHONE 12 PRO</t>
  </si>
  <si>
    <t>VIDRIO 5D IPHONE 12 PRO MAX</t>
  </si>
  <si>
    <t>VIDRIO 5D IPHONE 6</t>
  </si>
  <si>
    <t>VIDRIO 5D IPHONE 6 PLUS</t>
  </si>
  <si>
    <t>VIDRIO 5D IPHONE 7</t>
  </si>
  <si>
    <t>VIDRIO 5D IPHONE 7 PLUS</t>
  </si>
  <si>
    <t>VIDRIO 5D IPHONE 7 WHITE</t>
  </si>
  <si>
    <t>VIDRIO 5D IPHONE 8 PLUS</t>
  </si>
  <si>
    <t>VIDRIO 5D IPHONE SE 2020</t>
  </si>
  <si>
    <t>VIDRIO 5D IPHONE X</t>
  </si>
  <si>
    <t>VIDRIO 5D IPHONE XR</t>
  </si>
  <si>
    <t>VIDRIO 5D IPHONE XS MAX</t>
  </si>
  <si>
    <t>VIDRIO 5D LG K22/K22 PLUS</t>
  </si>
  <si>
    <t>VIDRIO 5D LG K40S</t>
  </si>
  <si>
    <t>VIDRIO 5D LG K41S</t>
  </si>
  <si>
    <t>VIDRIO 5D LG K50</t>
  </si>
  <si>
    <t>VIDRIO 5D LG K50S</t>
  </si>
  <si>
    <t>VIDRIO 5D LG K51S</t>
  </si>
  <si>
    <t>VIDRIO 5D MOTO E6S</t>
  </si>
  <si>
    <t>VIDRIO 5D MOTO E6S PLUS</t>
  </si>
  <si>
    <t>VIDRIO 5D MOTO G30</t>
  </si>
  <si>
    <t>VIDRIO 5D MOTO G7</t>
  </si>
  <si>
    <t>VIDRIO 5D MOTO G7 PLAY</t>
  </si>
  <si>
    <t>VIDRIO 5D MOTO G8 PLUS</t>
  </si>
  <si>
    <t>VIDRIO 5D MOTO G8 POWER</t>
  </si>
  <si>
    <t>VIDRIO 5D MOTO G9 PLAY</t>
  </si>
  <si>
    <t>VIDRIO 5D MOTO G9 POWER</t>
  </si>
  <si>
    <t>VIDRIO 5D MOTO ONE</t>
  </si>
  <si>
    <t>VIDRIO 5D MOTO ONE FUSION</t>
  </si>
  <si>
    <t>VIDRIO 5D NOKIA 7.2</t>
  </si>
  <si>
    <t>VIDRIO 5D SAM A01</t>
  </si>
  <si>
    <t>VIDRIO 5D SAM A02S</t>
  </si>
  <si>
    <t>VIDRIO 5D SAM A10</t>
  </si>
  <si>
    <t>VIDRIO 5D SAM A10S</t>
  </si>
  <si>
    <t>VIDRIO 5D SAM A11</t>
  </si>
  <si>
    <t>VIDRIO 5D SAM A12</t>
  </si>
  <si>
    <t>VIDRIO 5D SAM A20</t>
  </si>
  <si>
    <t>VIDRIO 5D SAM A20S</t>
  </si>
  <si>
    <t>VIDRIO 5D SAM A21S</t>
  </si>
  <si>
    <t>VIDRIO 5D SAM A30</t>
  </si>
  <si>
    <t>VIDRIO 5D SAM A30/A50</t>
  </si>
  <si>
    <t>VIDRIO 5D SAM A30S/A50S</t>
  </si>
  <si>
    <t>VIDRIO 5D SAM A31</t>
  </si>
  <si>
    <t>VIDRIO 5D SAM A32</t>
  </si>
  <si>
    <t>VIDRIO 5D SAM A32 4G</t>
  </si>
  <si>
    <t>VIDRIO 5D SAM A50</t>
  </si>
  <si>
    <t>VIDRIO 5D SAM A51</t>
  </si>
  <si>
    <t>VIDRIO 5D SAM A52</t>
  </si>
  <si>
    <t>VIDRIO 5D SAM A7-2018</t>
  </si>
  <si>
    <t>VIDRIO 5D SAM A70</t>
  </si>
  <si>
    <t>VIDRIO 5D SAM A71</t>
  </si>
  <si>
    <t>VIDRIO 5D SAM A72</t>
  </si>
  <si>
    <t>VIDRIO 5D SAM A8-2018</t>
  </si>
  <si>
    <t>VIDRIO 5D SAM A80</t>
  </si>
  <si>
    <t>VIDRIO 5D SAM J4</t>
  </si>
  <si>
    <t>VIDRIO 5D SAM J6</t>
  </si>
  <si>
    <t>VIDRIO 5D SAM J6 PLUS</t>
  </si>
  <si>
    <t>VIDRIO 5D SAM J7 NEO</t>
  </si>
  <si>
    <t>VIDRIO 5D SAM J7 PRIME</t>
  </si>
  <si>
    <t>VIDRIO 5D SAM J8</t>
  </si>
  <si>
    <t>VIDRIO 5D SAM M31</t>
  </si>
  <si>
    <t>VIDRIO 5D SAM NOTE 9</t>
  </si>
  <si>
    <t>VIDRIO 5D SAM S10</t>
  </si>
  <si>
    <t>LAMINA PET</t>
  </si>
  <si>
    <t>VIDRIO 5D SAM S10 EDGE</t>
  </si>
  <si>
    <t>VIDRIO 5D SAM S10 LITE</t>
  </si>
  <si>
    <t>VIDRIO 5D SAM S10 PLUS</t>
  </si>
  <si>
    <t>VIDRIO 5D SAM S20</t>
  </si>
  <si>
    <t>VIDRIO 5D SAM S20 PLUS</t>
  </si>
  <si>
    <t>VIDRIO 5D SAM S20FE</t>
  </si>
  <si>
    <t>VIDRIO 5D SAM S6 EDGE</t>
  </si>
  <si>
    <t>VIDRIO PEGAMENTO EN LOS BORDES</t>
  </si>
  <si>
    <t>VIDRIO 5D SAM S7</t>
  </si>
  <si>
    <t xml:space="preserve"> VIDRIO PEGAMENTO EN BORDE</t>
  </si>
  <si>
    <t>VIDRIO 5D SAM S7 EDGE</t>
  </si>
  <si>
    <t>VIDRIO 5D SAM S8</t>
  </si>
  <si>
    <t xml:space="preserve">VIDRIO 5D SAM S8 </t>
  </si>
  <si>
    <t>VIDRIO 5D SAM S8 PLUS</t>
  </si>
  <si>
    <t>VIDRIO 5D SAM S9</t>
  </si>
  <si>
    <t>VIDRIO 5D SAM S9 PLUS</t>
  </si>
  <si>
    <t>VIDRIO 5D SONY XA2</t>
  </si>
  <si>
    <t>VIDRIO 5D SONY XA2 ULTRA</t>
  </si>
  <si>
    <t>VIDRIO 5D XIAOMI MI 10T</t>
  </si>
  <si>
    <t>VIDRIO 5D XIAOMI MI A1</t>
  </si>
  <si>
    <t>VIDRIO 5D XIAOMI NOTE 8</t>
  </si>
  <si>
    <t>VIDRIO 5D XIAOMI NOTE 8 PRO</t>
  </si>
  <si>
    <t>VIDRIO 5D XIAOMI NOTE 9</t>
  </si>
  <si>
    <t>VIDRIO 5D XIAOMI NOTE 9 PRO</t>
  </si>
  <si>
    <t>VIDRIO 5D XIAOMI NOTE 9S</t>
  </si>
  <si>
    <t>VIDRIO 5D XIAOMI REDMI 9</t>
  </si>
  <si>
    <t>VIDRIO 5D XIAOMI REDMI 9C</t>
  </si>
  <si>
    <t>VIDRIO 5D XIAOMI REDMI NOTE 8</t>
  </si>
  <si>
    <t>VIDRIO 5D XIAOMI REDMI NOTE 9</t>
  </si>
  <si>
    <t>VIDRIO BORDE COLOR IPHONE 6</t>
  </si>
  <si>
    <t>VIDRIO CURVO SAM NOTE 8</t>
  </si>
  <si>
    <t xml:space="preserve">VIDRIO CURVO SAM S7 </t>
  </si>
  <si>
    <t>VIDRIO CURVO SAM S7 EDGE</t>
  </si>
  <si>
    <t>VIDRIO CURVO SAM S8</t>
  </si>
  <si>
    <t>VIDRIO CURVO SAM S8 PLUS</t>
  </si>
  <si>
    <t>VIDRIO TEMPLADO ALCATEL  C7 (4.7)</t>
  </si>
  <si>
    <t>VIDRIO TEMPLADO ALCATEL  IDOL 3 5.5"</t>
  </si>
  <si>
    <t>VIDRIO TEMPLADO ALCATEL  PIXI 3 5.5"</t>
  </si>
  <si>
    <t>VIDRIO TEMPLADO ALCATEL C2</t>
  </si>
  <si>
    <t>VIDRIO TEMPLADO ALCATEL C3</t>
  </si>
  <si>
    <t>VIDRIO TEMPLADO ALCATEL C5</t>
  </si>
  <si>
    <t>VIDRIO TEMPLADO ALCATEL C7</t>
  </si>
  <si>
    <t>VIDRIO TEMPLADO ALCATEL C9</t>
  </si>
  <si>
    <t>VIDRIO TEMPLADO ALCATEL IDOL 2 MINI</t>
  </si>
  <si>
    <t>VIDRIO TEMPLADO ALCATEL IDOL 3  5.5"</t>
  </si>
  <si>
    <t>VIDRIO TEMPLADO ALCATEL IDOL 3 4.7</t>
  </si>
  <si>
    <t>VIDRIO TEMPLADO ALCATEL IDOL 3 4.7"</t>
  </si>
  <si>
    <t>VIDRIO TEMPLADO ALCATEL IDOL 3 5.5"</t>
  </si>
  <si>
    <t>VIDRIO TEMPLADO ALCATEL IDOL 4</t>
  </si>
  <si>
    <t xml:space="preserve">VIDRIO TEMPLADO ALCATEL IDOL 4 </t>
  </si>
  <si>
    <t>VIDRIO TEMPLADO ALCATEL IDOL 5.5 "</t>
  </si>
  <si>
    <t>VIDRIO TEMPLADO ALCATEL IDOL S</t>
  </si>
  <si>
    <t>VIDRIO TEMPLADO ALCATEL IDOL S - 6036</t>
  </si>
  <si>
    <t>VIDRIO TEMPLADO ALCATEL PIX 3 4.5"</t>
  </si>
  <si>
    <t>VIDRIO TEMPLADO ALCATEL PIXI 3  4.5"</t>
  </si>
  <si>
    <t>VIDRIO TEMPLADO ALCATEL PIXI 3 3.5"</t>
  </si>
  <si>
    <t>VIDRIO TEMPLADO ALCATEL PIXI 3 3.5</t>
  </si>
  <si>
    <t>VIDRIO TEMPLADO ALCATEL PIXI 3 4"</t>
  </si>
  <si>
    <t>VIDRIO TEMPLADO ALCATEL PIXI 3 4.5"</t>
  </si>
  <si>
    <t>VIDRIO TEMPLADO ALCATEL PIXI 3 4.7</t>
  </si>
  <si>
    <t>VIDRIO TEMPLADO ALCATEL PIXI 3 5"</t>
  </si>
  <si>
    <t>VIDRIO TEMPLADO ALCATEL PIXI 4 . 6.0</t>
  </si>
  <si>
    <t>VIDRIO TEMPLADO ALCATEL PIXI 4 4"</t>
  </si>
  <si>
    <t>VIDRIO TEMPLADO ALCATEL PIXI 4 4.5</t>
  </si>
  <si>
    <t>VIDRIO TEMPLADO ALCATEL PIXI 4 5"</t>
  </si>
  <si>
    <t>VIDRIO TEMPLADO ALCATEL PIXI 4 6 OT 6.0</t>
  </si>
  <si>
    <t>VIDRIO TEMPLADO ALCATEL PIXI 4 6"</t>
  </si>
  <si>
    <t>VIDRIO TEMPLADO ALCATEL PIXI 4.0</t>
  </si>
  <si>
    <t>VIDRIO TEMPLADO ALCATEL PIXI 4.5"</t>
  </si>
  <si>
    <t>VIDRIO TEMPLADO ALCATEL PIXI FIRST 4024 CONECTOR ABAJO</t>
  </si>
  <si>
    <t>VIDRIO TEMPLADO ALCATEL POP 2</t>
  </si>
  <si>
    <t>VIDRIO TEMPLADO ALCATEL POP 2 4.5"</t>
  </si>
  <si>
    <t>VIDRIO TEMPLADO ALCATEL POP 2 5" PREMIUM</t>
  </si>
  <si>
    <t>VIDRIO TEMPLADO ALCATEL POP 3</t>
  </si>
  <si>
    <t>VIDRIO TEMPLADO ALCATEL POP 3 - 5.0</t>
  </si>
  <si>
    <t>VIDRIO TEMPLADO ALCATEL POP 3 5</t>
  </si>
  <si>
    <t>VIDRIO TEMPLADO ALCATEL POP 4 PLUS</t>
  </si>
  <si>
    <t>VIDRIO TEMPLADO ALCATEL POP STAR</t>
  </si>
  <si>
    <t>VIDRIO TEMPLADO AZUMI  A55 T</t>
  </si>
  <si>
    <t>VIDRIO TEMPLADO AZUMI A40C</t>
  </si>
  <si>
    <t>VIDRIO TEMPLADO AZUMI A45 TV</t>
  </si>
  <si>
    <t>VIDRIO TEMPLADO AZUMI A50 TQ</t>
  </si>
  <si>
    <t>VIDRIO TEMPLADO AZUMI A50C</t>
  </si>
  <si>
    <t>VIDRIO TEMPLADO AZUMI A50C PLUS</t>
  </si>
  <si>
    <t>VIDRIO TEMPLADO AZUMI SPEED</t>
  </si>
  <si>
    <t>VIDRIO TEMPLADO AZUMI SPEED 5.5</t>
  </si>
  <si>
    <t>VIDRIO TEMPLADO AZUMI ULTRA</t>
  </si>
  <si>
    <t>VIDRIO TEMPLADO HTC 530</t>
  </si>
  <si>
    <t>VIDRIO TEMPLADO HTC 626 DESIRE</t>
  </si>
  <si>
    <t>VIDRIO TEMPLADO HTC 66626 DESIRE</t>
  </si>
  <si>
    <t>VIDRIO TEMPLADO HTC D 530</t>
  </si>
  <si>
    <t>VIDRIO TEMPLADO HTC DESIRE 820</t>
  </si>
  <si>
    <t>VIDRIO TEMPLADO HTC M7</t>
  </si>
  <si>
    <t>VIDRIO TEMPLADO HTC M9</t>
  </si>
  <si>
    <t>VIDRIO TEMPLADO HTC MB</t>
  </si>
  <si>
    <t>VIDRIO TEMPLADO HUAWEI  Y630</t>
  </si>
  <si>
    <t>VIDRIO TEMPLADO HUAWEI G PLAY</t>
  </si>
  <si>
    <t>VIDRIO TEMPLADO HUAWEI G PLAY 4X</t>
  </si>
  <si>
    <t>VIDRIO TEMPLADO HUAWEI G PLAY MINI</t>
  </si>
  <si>
    <t>VIDRIO TEMPLADO HUAWEI G620</t>
  </si>
  <si>
    <t>VIDRIO TEMPLADO HUAWEI G620-S</t>
  </si>
  <si>
    <t>VIDRIO TEMPLADO HUAWEI G630</t>
  </si>
  <si>
    <t>VIDRIO TEMPLADO HUAWEI G7</t>
  </si>
  <si>
    <t xml:space="preserve">VIDRIO TEMPLADO HUAWEI G7 </t>
  </si>
  <si>
    <t>VIDRIO TEMPLADO HUAWEI G730</t>
  </si>
  <si>
    <t>VIDRIO TEMPLADO HUAWEI G8</t>
  </si>
  <si>
    <t>VIDRIO TEMPLADO HUAWEI GR3</t>
  </si>
  <si>
    <t>VIDRIO TEMPLADO HUAWEI GR5</t>
  </si>
  <si>
    <t>VIDRIO TEMPLADO HUAWEI MATE 10</t>
  </si>
  <si>
    <t>VIDRIO TEMPLADO HUAWEI MATE 10 PRO</t>
  </si>
  <si>
    <t>VIDRIO TEMPLADO HUAWEI MATE 20</t>
  </si>
  <si>
    <t>VIDRIO TEMPLADO HUAWEI MATE 20 LITE</t>
  </si>
  <si>
    <t>VIDRIO TEMPLADO HUAWEI MATE 20 PRO</t>
  </si>
  <si>
    <t>VIDRIO TEMPLADO HUAWEI MATE 30 LITE</t>
  </si>
  <si>
    <t>VIDRIO TEMPLADO HUAWEI MATE 7</t>
  </si>
  <si>
    <t>VIDRIO TEMPLADO HUAWEI MATE 8</t>
  </si>
  <si>
    <t>VIDRIO TEMPLADO HUAWEI MATE 9</t>
  </si>
  <si>
    <t>VIDRIO TEMPLADO HUAWEI MATE 9 LITE</t>
  </si>
  <si>
    <t>VIDRIO TEMPLADO HUAWEI NOVA 2 PLUS</t>
  </si>
  <si>
    <t>VIDRIO TEMPLADO HUAWEI NOVA 5T</t>
  </si>
  <si>
    <t>VIDRIO TEMPLADO HUAWEI P10</t>
  </si>
  <si>
    <t>VIDRIO TEMPLADO HUAWEI P10 LITE</t>
  </si>
  <si>
    <t xml:space="preserve">VIDRIO TEMPLADO HUAWEI P10 LITE </t>
  </si>
  <si>
    <t xml:space="preserve">VIDRIO TEMPLADO HUAWEI P10 PLUS </t>
  </si>
  <si>
    <t>VIDRIO TEMPLADO HUAWEI P10 SELFIE</t>
  </si>
  <si>
    <t>VIDRIO TEMPLADO HUAWEI P20</t>
  </si>
  <si>
    <t>VIDRIO TEMPLADO HUAWEI P20 LITE</t>
  </si>
  <si>
    <t>VIDRIO TEMPLADO HUAWEI P20 PRO</t>
  </si>
  <si>
    <t>VIDRIO TEMPLADO HUAWEI P30</t>
  </si>
  <si>
    <t>VIDRIO TEMPLADO HUAWEI P30 LITE</t>
  </si>
  <si>
    <t>VIDRIO TEMPLADO HUAWEI P40</t>
  </si>
  <si>
    <t>VIDRIO TEMPLADO HUAWEI P40 LITE</t>
  </si>
  <si>
    <t>VIDRIO TEMPLADO HUAWEI P8</t>
  </si>
  <si>
    <t>VIDRIO TEMPLADO HUAWEI P8 LITE</t>
  </si>
  <si>
    <t>VIDRIO TEMPLADO HUAWEI P9</t>
  </si>
  <si>
    <t>VIDRIO TEMPLADO HUAWEI P9 LITE</t>
  </si>
  <si>
    <t>VIDRIO TEMPLADO HUAWEI P9 LITE 2017</t>
  </si>
  <si>
    <t>VIDRIO TEMPLADO HUAWEI P9 LITE MINI</t>
  </si>
  <si>
    <t>VIDRIO TEMPLADO HUAWEI P9 LITE SMART</t>
  </si>
  <si>
    <t>VIDRIO TEMPLADO HUAWEI P9 PLUS</t>
  </si>
  <si>
    <t>VIDRIO TEMPLADO HUAWEI PSMART 2019</t>
  </si>
  <si>
    <t>VIDRIO TEMPLADO HUAWEI SHOT X</t>
  </si>
  <si>
    <t>VIDRIO TEMPLADO HUAWEI Y3</t>
  </si>
  <si>
    <t>VIDRIO TEMPLADO HUAWEI Y3-II</t>
  </si>
  <si>
    <t>VIDRIO TEMPLADO HUAWEI Y360</t>
  </si>
  <si>
    <t>VIDRIO TEMPLADO HUAWEI Y5 2017</t>
  </si>
  <si>
    <t>VIDRIO TEMPLADO HUAWEI Y5 II</t>
  </si>
  <si>
    <t>VIDRIO TEMPLADO HUAWEI Y5 LITE 2017</t>
  </si>
  <si>
    <t>VIDRIO TEMPLADO HUAWEI Y5-2017</t>
  </si>
  <si>
    <t>VIDRIO TEMPLADO HUAWEI Y5-2018</t>
  </si>
  <si>
    <t>VIDRIO TEMPLADO HUAWEI Y5-II</t>
  </si>
  <si>
    <t>VIDRIO TEMPLADO HUAWEI Y5-II 2017</t>
  </si>
  <si>
    <t>VIDRIO TEMPLADO HUAWEI Y6</t>
  </si>
  <si>
    <t>VIDRIO TEMPLADO HUAWEI Y6 2017</t>
  </si>
  <si>
    <t>VIDRIO TEMPLADO HUAWEI Y6 II</t>
  </si>
  <si>
    <t>VIDRIO TEMPLADO HUAWEI Y6-2018</t>
  </si>
  <si>
    <t>VIDRIO TEMPLADO HUAWEI Y6-II</t>
  </si>
  <si>
    <t>VIDRIO TEMPLADO HUAWEI Y625</t>
  </si>
  <si>
    <t>VIDRIO TEMPLADO HUAWEI Y635</t>
  </si>
  <si>
    <t>VIDRIO TEMPLADO HUAWEI Y6P</t>
  </si>
  <si>
    <t>VIDRIO TEMPLADO HUAWEI Y6S</t>
  </si>
  <si>
    <t>VIDRIO TEMPLADO HUAWEI Y7</t>
  </si>
  <si>
    <t>VIDRIO TEMPLADO HUAWEI Y7 PRIME</t>
  </si>
  <si>
    <t>VIDRIO TEMPLADO HUAWEI Y7-2019</t>
  </si>
  <si>
    <t>VIDRIO TEMPLADO HUAWEI Y7P</t>
  </si>
  <si>
    <t>VIDRIO TEMPLADO HUAWEI Y8P</t>
  </si>
  <si>
    <t>VIDRIO TEMPLADO HUAWEI Y9 PRIME 2019</t>
  </si>
  <si>
    <t>VIDRIO TEMPLADO HUAWEI Y9-2018</t>
  </si>
  <si>
    <t>VIDRIO TEMPLADO HUAWEI Y9-2019</t>
  </si>
  <si>
    <t>VIDRIO TEMPLADO HUAWEI Y9-2019 PRIME</t>
  </si>
  <si>
    <t>VIDRIO TEMPLADO IDOL 3 5.5"</t>
  </si>
  <si>
    <t>VIDRIO TEMPLADO IPAD 2018 9.7"</t>
  </si>
  <si>
    <t>VIDRIO TEMPLADO IPAD AIR</t>
  </si>
  <si>
    <t>VIDRIO TEMPLADO IPAD MINI</t>
  </si>
  <si>
    <t>VIDRIO TEMPLADO IPAD PRO</t>
  </si>
  <si>
    <t>VIDRIO TEMPLADO IPHON 5 FE</t>
  </si>
  <si>
    <t>VIDRIO TEMPLADO IPHONE 11 PRO</t>
  </si>
  <si>
    <t>VIDRIO TEMPLADO IPHONE 4</t>
  </si>
  <si>
    <t>VIDRIO TEMPLADO IPHONE 5</t>
  </si>
  <si>
    <t>VIDRIO TEMPLADO IPHONE 5/5S</t>
  </si>
  <si>
    <t>VIDRIO TEMPLADO IPHONE 6</t>
  </si>
  <si>
    <t>VIDRIO TEMPLADO IPHONE 6 (4.7)</t>
  </si>
  <si>
    <t>VIDRIO TEMPLADO IPHONE 6 - 5.5</t>
  </si>
  <si>
    <t>VIDRIO TEMPLADO IPHONE 6 PLUS</t>
  </si>
  <si>
    <t>VIDRIO TEMPLADO IPHONE 6/7/8</t>
  </si>
  <si>
    <t>VIDRIO TEMPLADO IPHONE 7</t>
  </si>
  <si>
    <t>VIDRIO TEMPLADO IPHONE 7 PLUS</t>
  </si>
  <si>
    <t>VIDRIO TEMPLADO IPHONE 7G</t>
  </si>
  <si>
    <t>VIDRIO TEMPLADO IPHONE 8 PLUS</t>
  </si>
  <si>
    <t>VIDRIO TEMPLADO IPHONE X</t>
  </si>
  <si>
    <t>VIDRIO TEMPLADO IPHONE XR</t>
  </si>
  <si>
    <t>VIDRIO TEMPLADO IPHONE XS</t>
  </si>
  <si>
    <t>VIDRIO TEMPLADO IPHONE XS MAX</t>
  </si>
  <si>
    <t>VIDRIO TEMPLADO LENOVO 2010</t>
  </si>
  <si>
    <t>VIDRIO TEMPLADO LENOVO 600</t>
  </si>
  <si>
    <t>VIDRIO TEMPLADO LENOVO 820</t>
  </si>
  <si>
    <t>VIDRIO TEMPLADO LENOVO A2010</t>
  </si>
  <si>
    <t>VIDRIO TEMPLADO LENOVO A7010</t>
  </si>
  <si>
    <t>VIDRIO TEMPLADO LENOVO K 5</t>
  </si>
  <si>
    <t>VIDRIO TEMPLADO LENOVO K4</t>
  </si>
  <si>
    <t>VIDRIO TEMPLADO LENOVO K5</t>
  </si>
  <si>
    <t>VIDRIO TEMPLADO LENOVO K6</t>
  </si>
  <si>
    <t>VIDRIO TEMPLADO LENOVO K6 PLUS</t>
  </si>
  <si>
    <t>VIDRIO TEMPLADO LENOVO K8</t>
  </si>
  <si>
    <t>VIDRIO TEMPLADO LENOVO K900</t>
  </si>
  <si>
    <t>VIDRIO TEMPLADO LENOVO VIBE B</t>
  </si>
  <si>
    <t>VIDRIO TEMPLADO LENOVO VIBE C2</t>
  </si>
  <si>
    <t>VIDRIO TEMPLADO LG  K10</t>
  </si>
  <si>
    <t>VIDRIO TEMPLADO LG C9</t>
  </si>
  <si>
    <t>VIDRIO TEMPLADO LG D290 LIFT</t>
  </si>
  <si>
    <t>VIDRIO TEMPLADO LG D3 PRIME</t>
  </si>
  <si>
    <t>VIDRIO TEMPLADO LG G2</t>
  </si>
  <si>
    <t>VIDRIO TEMPLADO LG G2 MINI</t>
  </si>
  <si>
    <t>VIDRIO TEMPLADO LG G3</t>
  </si>
  <si>
    <t>VIDRIO TEMPLADO LG G3 BEAT</t>
  </si>
  <si>
    <t>VIDRIO TEMPLADO LG G3 BEAT D722</t>
  </si>
  <si>
    <t>VIDRIO TEMPLADO LG G3 MINI</t>
  </si>
  <si>
    <t>VIDRIO TEMPLADO LG G3 STYLUS</t>
  </si>
  <si>
    <t>VIDRIO TEMPLADO LG G4</t>
  </si>
  <si>
    <t>VIDRIO TEMPLADO LG G4 STYLUS</t>
  </si>
  <si>
    <t>VIDRIO TEMPLADO LG G5</t>
  </si>
  <si>
    <t>VIDRIO TEMPLADO LG G6</t>
  </si>
  <si>
    <t>VIDRIO TEMPLADO LG K10</t>
  </si>
  <si>
    <t>VIDRIO TEMPLADO LG K10-2017</t>
  </si>
  <si>
    <t>VIDRIO TEMPLADO LG K11</t>
  </si>
  <si>
    <t>VIDRIO TEMPLADO LG K4-2017</t>
  </si>
  <si>
    <t>VIDRIO TEMPLADO LG K40</t>
  </si>
  <si>
    <t>VIDRIO TEMPLADO LG K5</t>
  </si>
  <si>
    <t>VIDRIO TEMPLADO LG K7</t>
  </si>
  <si>
    <t>VIDRIO TEMPLADO LG K8</t>
  </si>
  <si>
    <t>VIDRIO TEMPLADO LG K8-2017</t>
  </si>
  <si>
    <t>VIDRIO TEMPLADO LG K8-2018</t>
  </si>
  <si>
    <t>VIDRIO TEMPLADO LG K9</t>
  </si>
  <si>
    <t>VIDRIO TEMPLADO LG L LIFT</t>
  </si>
  <si>
    <t>VIDRIO TEMPLADO LG L PRIME 2</t>
  </si>
  <si>
    <t>VIDRIO TEMPLADO LG LEON 340</t>
  </si>
  <si>
    <t>VIDRIO TEMPLADO LG LIFT</t>
  </si>
  <si>
    <t>VIDRIO TEMPLADO LG LIFT D 290</t>
  </si>
  <si>
    <t>VIDRIO TEMPLADO LG MAGNA</t>
  </si>
  <si>
    <t>VIDRIO TEMPLADO LG Q STYLUS</t>
  </si>
  <si>
    <t>VIDRIO TEMPLADO LG Q6</t>
  </si>
  <si>
    <t>VIDRIO TEMPLADO LG Q60</t>
  </si>
  <si>
    <t>VIDRIO TEMPLADO LG Q60/K50</t>
  </si>
  <si>
    <t>VIDRIO TEMPLADO LG SCREEN</t>
  </si>
  <si>
    <t>VIDRIO TEMPLADO LG STYLUS 2</t>
  </si>
  <si>
    <t>VIDRIO TEMPLADO LG STYLUS 2 PLUS</t>
  </si>
  <si>
    <t>VIDRIO TEMPLADO LG STYLUS 3</t>
  </si>
  <si>
    <t>VIDRIO TEMPLADO LG STYLUS 4</t>
  </si>
  <si>
    <t>VIDRIO TEMPLADO LG STYLUS D 690</t>
  </si>
  <si>
    <t>VIDRIO TEMPLADO LG V10</t>
  </si>
  <si>
    <t>VIDRIO TEMPLADO LG X CAM</t>
  </si>
  <si>
    <t>VIDRIO TEMPLADO LG X MAX</t>
  </si>
  <si>
    <t>VIDRIO TEMPLADO LG X POWER</t>
  </si>
  <si>
    <t>VIDRIO TEMPLADO LG X POWER 2</t>
  </si>
  <si>
    <t>VIDRIO TEMPLADO LG X SCREE</t>
  </si>
  <si>
    <t>VIDRIO TEMPLADO LG X SCREEN</t>
  </si>
  <si>
    <t>VIDRIO TEMPLADO LG X STYLE</t>
  </si>
  <si>
    <t>VIDRIO TEMPLADO LG XMAX</t>
  </si>
  <si>
    <t>VIDRIO TEMPLADO MOGO Z PLAY</t>
  </si>
  <si>
    <t>VIDRIO TEMPLADO MOTO  G4</t>
  </si>
  <si>
    <t>VIDRIO TEMPLADO MOTO  X  PLAY</t>
  </si>
  <si>
    <t>VIDRIO TEMPLADO MOTO C</t>
  </si>
  <si>
    <t>VIDRIO TEMPLADO MOTO C PLUS</t>
  </si>
  <si>
    <t>VIDRIO TEMPLADO MOTO E</t>
  </si>
  <si>
    <t>VIDRIO TEMPLADO MOTO E2</t>
  </si>
  <si>
    <t>VIDRIO TEMPLADO MOTO E4</t>
  </si>
  <si>
    <t>VIDRIO TEMPLADO MOTO E4 PLUS</t>
  </si>
  <si>
    <t>VIDRIO TEMPLADO MOTO E5 PLAY</t>
  </si>
  <si>
    <t>VIDRIO TEMPLADO MOTO E5 PLUS</t>
  </si>
  <si>
    <t>VIDRIO TEMPLADO MOTO E6 PLUS</t>
  </si>
  <si>
    <t>VIDRIO TEMPLADO MOTO E6S</t>
  </si>
  <si>
    <t>VIDRIO TEMPLADO MOTO G</t>
  </si>
  <si>
    <t>VIDRIO TEMPLADO MOTO G 2</t>
  </si>
  <si>
    <t>VIDRIO TEMPLADO MOTO G 3</t>
  </si>
  <si>
    <t>VIDRIO TEMPLADO MOTO G 4</t>
  </si>
  <si>
    <t>VIDRIO TEMPLADO MOTO G2</t>
  </si>
  <si>
    <t>VIDRIO TEMPLADO MOTO G3</t>
  </si>
  <si>
    <t>VIDRIO TEMPLADO MOTO G4</t>
  </si>
  <si>
    <t>VIDRIO TEMPLADO MOTO G4 PLAY</t>
  </si>
  <si>
    <t>VIDRIO TEMPLADO MOTO G4 PLUS</t>
  </si>
  <si>
    <t>VIDRIO TEMPLADO MOTO G5</t>
  </si>
  <si>
    <t>VIDRIO TEMPLADO MOTO G5 PLUS</t>
  </si>
  <si>
    <t>VIDRIO TEMPLADO MOTO G5S</t>
  </si>
  <si>
    <t>VIDRIO TEMPLADO MOTO G5S PLUS</t>
  </si>
  <si>
    <t>VIDRIO TEMPLADO MOTO G6 PLAY</t>
  </si>
  <si>
    <t>VIDRIO TEMPLADO MOTO G6 PLUS</t>
  </si>
  <si>
    <t>VIDRIO TEMPLADO MOTO G7 PLAY</t>
  </si>
  <si>
    <t>VIDRIO TEMPLADO MOTO G7 POWER</t>
  </si>
  <si>
    <t>VIDRIO TEMPLADO MOTO G8 PLUS</t>
  </si>
  <si>
    <t>VIDRIO TEMPLADO MOTO G8 POWER LITE</t>
  </si>
  <si>
    <t>VIDRIO TEMPLADO MOTO MAXX</t>
  </si>
  <si>
    <t>VIDRIO TEMPLADO MOTO ONE</t>
  </si>
  <si>
    <t>VIDRIO TEMPLADO MOTO ONE ACTION</t>
  </si>
  <si>
    <t>VIDRIO TEMPLADO MOTO X</t>
  </si>
  <si>
    <t>VIDRIO TEMPLADO MOTO X 2</t>
  </si>
  <si>
    <t>VIDRIO TEMPLADO MOTO X PLAY</t>
  </si>
  <si>
    <t>VIDRIO TEMPLADO MOTO X STYLE</t>
  </si>
  <si>
    <t>VIDRIO TEMPLADO MOTO X STYLUS</t>
  </si>
  <si>
    <t>VIDRIO TEMPLADO MOTO X2</t>
  </si>
  <si>
    <t>VIDRIO TEMPLADO MOTO X4</t>
  </si>
  <si>
    <t>VIDRIO TEMPLADO MOTO Z</t>
  </si>
  <si>
    <t xml:space="preserve">VIDRIO TEMPLADO MOTO Z </t>
  </si>
  <si>
    <t>VIDRIO TEMPLADO MOTO Z PLAY</t>
  </si>
  <si>
    <t>VIDRIO TEMPLADO MOTO Z2 PLAY</t>
  </si>
  <si>
    <t>VIDRIO TEMPLADO MOTO Z3 PLAY</t>
  </si>
  <si>
    <t>VIDRIO TEMPLADO NINTENDO SWITCH IRM-08294</t>
  </si>
  <si>
    <t>VIDRIO TEMPLADO NOKIA 1</t>
  </si>
  <si>
    <t>VIDRIO TEMPLADO NOKIA 2</t>
  </si>
  <si>
    <t>VIDRIO TEMPLADO NOKIA 2.1</t>
  </si>
  <si>
    <t>VIDRIO TEMPLADO NOKIA 3</t>
  </si>
  <si>
    <t>VIDRIO TEMPLADO NOKIA 3.1</t>
  </si>
  <si>
    <t>VIDRIO TEMPLADO NOKIA 3.1 PLUS</t>
  </si>
  <si>
    <t>VIDRIO TEMPLADO NOKIA 5</t>
  </si>
  <si>
    <t>VIDRIO TEMPLADO NOKIA 5.1</t>
  </si>
  <si>
    <t>VIDRIO TEMPLADO NOKIA 5.1 PLUS</t>
  </si>
  <si>
    <t>VIDRIO TEMPLADO NOKIA 6</t>
  </si>
  <si>
    <t>VIDRIO TEMPLADO NOKIA 6-2018</t>
  </si>
  <si>
    <t>VIDRIO TEMPLADO NOKIA 6.1</t>
  </si>
  <si>
    <t>VIDRIO TEMPLADO NOKIA 8</t>
  </si>
  <si>
    <t>VIDRIO TEMPLADO OWN 4035</t>
  </si>
  <si>
    <t>VIDRIO TEMPLADO OWN 4035 -4.7</t>
  </si>
  <si>
    <t>VIDRIO TEMPLADO OWN 4035 -5.5</t>
  </si>
  <si>
    <t>VIDRIO TEMPLADO OWN 4040</t>
  </si>
  <si>
    <t>VIDRIO TEMPLADO OWN 5030</t>
  </si>
  <si>
    <t>VIDRIO TEMPLADO OWN FUN</t>
  </si>
  <si>
    <t>VIDRIO TEMPLADO OWN FUN PLUS</t>
  </si>
  <si>
    <t>Vidrio Templado OWN Fun PLUS</t>
  </si>
  <si>
    <t>VIDRIO TEMPLADO OWN ONE</t>
  </si>
  <si>
    <t>VIDRIO TEMPLADO OWN S3030</t>
  </si>
  <si>
    <t>VIDRIO TEMPLADO OWN SELFIE</t>
  </si>
  <si>
    <t>VIDRIO TEMPLADO OWN SMART PLUS</t>
  </si>
  <si>
    <t>VIDRIO TEMPLADO PIXI 3 4"</t>
  </si>
  <si>
    <t>VIDRIO TEMPLADO PIXI 3 4.5"</t>
  </si>
  <si>
    <t>VIDRIO TEMPLADO PIXI 3 4.7"</t>
  </si>
  <si>
    <t>VIDRIO TEMPLADO PIXI 3 5"</t>
  </si>
  <si>
    <t>VIDRIO TEMPLADO POP 3 -5.0</t>
  </si>
  <si>
    <t>VIDRIO TEMPLADO PRIME 2</t>
  </si>
  <si>
    <t>VIDRIO TEMPLADO SAM 355 CORE 2</t>
  </si>
  <si>
    <t>VIDRIO TEMPLADO SAM 530</t>
  </si>
  <si>
    <t>VIDRIO TEMPLADO SAM 7560 TREND</t>
  </si>
  <si>
    <t>VIDRIO TEMPLADO SAM A01</t>
  </si>
  <si>
    <t>VIDRIO TEMPLADO SAM A10</t>
  </si>
  <si>
    <t>VIDRIO TEMPLADO SAM A10S</t>
  </si>
  <si>
    <t>VIDRIO TEMPLADO SAM A11</t>
  </si>
  <si>
    <t>VIDRIO TEMPLADO SAM A20</t>
  </si>
  <si>
    <t>VIDRIO TEMPLADO SAM A20S</t>
  </si>
  <si>
    <t>VIDRIO TEMPLADO SAM A3</t>
  </si>
  <si>
    <t>VIDRIO TEMPLADO SAM A3-2016</t>
  </si>
  <si>
    <t>VIDRIO TEMPLADO SAM A3-2017</t>
  </si>
  <si>
    <t>VIDRIO TEMPLADO SAM A30</t>
  </si>
  <si>
    <t>VIDRIO TEMPLADO SAM A30S</t>
  </si>
  <si>
    <t>VIDRIO TEMPLADO SAM A30S/A50S</t>
  </si>
  <si>
    <t>VIDRIO TEMPLADO SAM A40</t>
  </si>
  <si>
    <t>VIDRIO TEMPLADO SAM A5</t>
  </si>
  <si>
    <t>VIDRIO TEMPLADO SAM A5-2016</t>
  </si>
  <si>
    <t>VIDRIO TEMPLADO SAM A5-2017</t>
  </si>
  <si>
    <t>VIDRIO TEMPLADO SAM A50</t>
  </si>
  <si>
    <t>VIDRIO TEMPLADO SAM A51</t>
  </si>
  <si>
    <t>VIDRIO TEMPLADO SAM A6 PLUS</t>
  </si>
  <si>
    <t>VIDRIO TEMPLADO SAM A7</t>
  </si>
  <si>
    <t>VIDRIO TEMPLADO SAM A7-2015</t>
  </si>
  <si>
    <t>VIDRIO TEMPLADO SAM A7-2016</t>
  </si>
  <si>
    <t>VIDRIO TEMPLADO SAM A7-2017</t>
  </si>
  <si>
    <t>VIDRIO TEMPLADO SAM A70</t>
  </si>
  <si>
    <t>VIDRIO TEMPLADO SAM A71</t>
  </si>
  <si>
    <t>VIDRIO TEMPLADO SAM A8</t>
  </si>
  <si>
    <t>VIDRIO TEMPLADO SAM A8 PLUS 2018</t>
  </si>
  <si>
    <t>VIDRIO TEMPLADO SAM A80</t>
  </si>
  <si>
    <t>VIDRIO TEMPLADO SAM A9</t>
  </si>
  <si>
    <t>VIDRIO TEMPLADO SAM ACE 4</t>
  </si>
  <si>
    <t>VIDRIO TEMPLADO SAM ACE 4 G 313</t>
  </si>
  <si>
    <t>VIDRIO TEMPLADO SAM ACE 4 G313</t>
  </si>
  <si>
    <t>VIDRIO TEMPLADO SAM CORE 2</t>
  </si>
  <si>
    <t>VIDRIO TEMPLADO SAM CORE 2 G 355</t>
  </si>
  <si>
    <t>VIDRIO TEMPLADO SAM CORE 8060</t>
  </si>
  <si>
    <t>VIDRIO TEMPLADO SAM CORE 8260</t>
  </si>
  <si>
    <t>VIDRIO TEMPLADO SAM CORE PLUS G 350</t>
  </si>
  <si>
    <t>VIDRIO TEMPLADO SAM CORE PRIME</t>
  </si>
  <si>
    <t>VIDRIO TEMPLADO SAM E4</t>
  </si>
  <si>
    <t>VIDRIO TEMPLADO SAM E5</t>
  </si>
  <si>
    <t>VIDRIO TEMPLADO SAM E7</t>
  </si>
  <si>
    <t>VIDRIO TEMPLADO SAM G 530 GRAND PRIME</t>
  </si>
  <si>
    <t>VIDRIO TEMPLADO SAM G355 CORE DOS</t>
  </si>
  <si>
    <t>VIDRIO TEMPLADO SAM G360 CORE PRIME</t>
  </si>
  <si>
    <t>VIDRIO TEMPLADO SAM G530</t>
  </si>
  <si>
    <t>VIDRIO TEMPLADO SAM GRAN3 / G7200</t>
  </si>
  <si>
    <t>VIDRIO TEMPLADO SAM GRAND 2</t>
  </si>
  <si>
    <t>VIDRIO TEMPLADO SAM GRAND 2 7106</t>
  </si>
  <si>
    <t>VIDRIO TEMPLADO SAM GRAND 9080</t>
  </si>
  <si>
    <t>VIDRIO TEMPLADO SAM GRAND NEO</t>
  </si>
  <si>
    <t>VIDRIO TEMPLADO SAM GRAND NEO 9080</t>
  </si>
  <si>
    <t>VIDRIO TEMPLADO SAM GRAND PRIME</t>
  </si>
  <si>
    <t>VIDRIO TEMPLADO SAM GRAND PRIME  G 530</t>
  </si>
  <si>
    <t>VIDRIO TEMPLADO SAM GRAND PRIME 530</t>
  </si>
  <si>
    <t>VIDRIO TEMPLADO SAM GRAND3 / G7200</t>
  </si>
  <si>
    <t>VIDRIO TEMPLADO SAM J1</t>
  </si>
  <si>
    <t>VIDRIO TEMPLADO SAM J1 ACE</t>
  </si>
  <si>
    <t>VIDRIO TEMPLADO SAM J1 MINI PRIME</t>
  </si>
  <si>
    <t>VIDRIO TEMPLADO SAM J1-2016</t>
  </si>
  <si>
    <t>VIDRIO TEMPLADO SAM J2</t>
  </si>
  <si>
    <t>VIDRIO TEMPLADO SAM J2 CORE</t>
  </si>
  <si>
    <t>VIDRIO TEMPLADO SAM J2 PRIME</t>
  </si>
  <si>
    <t>VIDRIO TEMPLADO SAM J2 PRO</t>
  </si>
  <si>
    <t>VIDRIO TEMPLADO SAM J2-2016</t>
  </si>
  <si>
    <t>VIDRIO TEMPLADO SAM J3</t>
  </si>
  <si>
    <t>VIDRIO TEMPLADO SAM J3 PRO</t>
  </si>
  <si>
    <t>VIDRIO TEMPLADO SAM J3-2015</t>
  </si>
  <si>
    <t>VIDRIO TEMPLADO SAM J3-2016</t>
  </si>
  <si>
    <t>VIDRIO TEMPLADO SAM J4</t>
  </si>
  <si>
    <t>VIDRIO TEMPLADO SAM J4 CORE</t>
  </si>
  <si>
    <t>VIDRIO TEMPLADO SAM J4 PLUS</t>
  </si>
  <si>
    <t>VIDRIO TEMPLADO SAM J5</t>
  </si>
  <si>
    <t>VIDRIO TEMPLADO SAM J5 PRIME</t>
  </si>
  <si>
    <t>VIDRIO TEMPLADO SAM J5 PRIME 2016</t>
  </si>
  <si>
    <t>VIDRIO TEMPLADO SAM J5 PRO</t>
  </si>
  <si>
    <t>VIDRIO TEMPLADO SAM J5-2016</t>
  </si>
  <si>
    <t>VIDRIO TEMPLADO SAM J5-2017</t>
  </si>
  <si>
    <t>VIDRIO TEMPLADO SAM J6</t>
  </si>
  <si>
    <t>VIDRIO TEMPLADO SAM J6 PLUS</t>
  </si>
  <si>
    <t>VIDRIO TEMPLADO SAM J7</t>
  </si>
  <si>
    <t>VIDRIO TEMPLADO SAM J7 DUO</t>
  </si>
  <si>
    <t>VIDRIO TEMPLADO SAM J7 NEO</t>
  </si>
  <si>
    <t>VIDRIO TEMPLADO SAM J7 PRIME</t>
  </si>
  <si>
    <t>VIDRIO TEMPLADO SAM J7 PRIME 2</t>
  </si>
  <si>
    <t>VIDRIO TEMPLADO SAM J7 PRIME 2016</t>
  </si>
  <si>
    <t>VIDRIO TEMPLADO SAM J7 PRO</t>
  </si>
  <si>
    <t>VIDRIO TEMPLADO SAM J7-2016</t>
  </si>
  <si>
    <t>VIDRIO TEMPLADO SAM MEGA 5.8</t>
  </si>
  <si>
    <t>VIDRIO TEMPLADO SAM MEGA 9150</t>
  </si>
  <si>
    <t>VIDRIO TEMPLADO SAM NOTE 2</t>
  </si>
  <si>
    <t>VIDRIO TEMPLADO SAM NOTE 4</t>
  </si>
  <si>
    <t>VIDRIO TEMPLADO SAM NOTE 5</t>
  </si>
  <si>
    <t>VIDRIO TEMPLADO SAM S3</t>
  </si>
  <si>
    <t>VIDRIO TEMPLADO SAM S3 MINI</t>
  </si>
  <si>
    <t>VIDRIO TEMPLADO SAM S3 MINI  8190</t>
  </si>
  <si>
    <t>VIDRIO TEMPLADO SAM S3 MINI 8190</t>
  </si>
  <si>
    <t>VIDRIO TEMPLADO SAM S4</t>
  </si>
  <si>
    <t>VIDRIO TEMPLADO SAM S4 MINI</t>
  </si>
  <si>
    <t>VIDRIO TEMPLADO SAM S5</t>
  </si>
  <si>
    <t>VIDRIO TEMPLADO SAM S5 MINI</t>
  </si>
  <si>
    <t>VIDRIO TEMPLADO SAM S6</t>
  </si>
  <si>
    <t>VIDRIO TEMPLADO SAM S6 EDGE</t>
  </si>
  <si>
    <t>VIDRIO TEMPLADO SAM S7</t>
  </si>
  <si>
    <t>VIDRIO TEMPLADO SAM S7 EDGE</t>
  </si>
  <si>
    <t>VIDRIO TEMPLADO SAM S8</t>
  </si>
  <si>
    <t>VIDRIO TEMPLADO SAM S8 PLUS</t>
  </si>
  <si>
    <t>VIDRIO TEMPLADO SAM S9</t>
  </si>
  <si>
    <t>VIDRIO TEMPLADO SAM S9 PLUS</t>
  </si>
  <si>
    <t>VIDRIO TEMPLADO SAM TAB 230 7´</t>
  </si>
  <si>
    <t>VIDRIO TEMPLADO SAM TAB 4. T230 (TODOS LOS 7`)</t>
  </si>
  <si>
    <t>VIDRIO TEMPLADO SAM TAB E 97 DE 9.1</t>
  </si>
  <si>
    <t>VIDRIO TEMPLADO SAM TAB M8</t>
  </si>
  <si>
    <t>VIDRIO TEMPLADO SAM TAB S5E 10.5</t>
  </si>
  <si>
    <t>VIDRIO TEMPLADO SAM TAB T110</t>
  </si>
  <si>
    <t>VIDRIO TEMPLADO SAM TAB T113</t>
  </si>
  <si>
    <t>VIDRIO TEMPLADO SAM TAB T560</t>
  </si>
  <si>
    <t>VIDRIO TEMPLADO SAM TAB T715</t>
  </si>
  <si>
    <t>VIDRIO TEMPLADO SAM TABLET T230</t>
  </si>
  <si>
    <t>VIDRIO TEMPLADO SAM TABLET T530</t>
  </si>
  <si>
    <t>VIDRIO TEMPLADO SAM TREND 7560</t>
  </si>
  <si>
    <t>VIDRIO TEMPLADO SAM WIN 8550</t>
  </si>
  <si>
    <t>VIDRIO TEMPLADO SHOT  X</t>
  </si>
  <si>
    <t>VIDRIO TEMPLADO SIN MODELO</t>
  </si>
  <si>
    <t>VIDRIO TEMPLADO SONY AQUA M2</t>
  </si>
  <si>
    <t>VIDRIO TEMPLADO SONY C-5</t>
  </si>
  <si>
    <t>VIDRIO TEMPLADO SONY C3</t>
  </si>
  <si>
    <t>VIDRIO TEMPLADO SONY C4</t>
  </si>
  <si>
    <t>VIDRIO TEMPLADO SONY C5</t>
  </si>
  <si>
    <t>VIDRIO TEMPLADO SONY C5 ULTRA</t>
  </si>
  <si>
    <t>VIDRIO TEMPLADO SONY E 4G</t>
  </si>
  <si>
    <t>VIDRIO TEMPLADO SONY E3</t>
  </si>
  <si>
    <t>VIDRIO TEMPLADO SONY E4</t>
  </si>
  <si>
    <t>VIDRIO TEMPLADO SONY E4G</t>
  </si>
  <si>
    <t>VIDRIO TEMPLADO SONY E5</t>
  </si>
  <si>
    <t>VIDRIO TEMPLADO SONY L1</t>
  </si>
  <si>
    <t>VIDRIO TEMPLADO SONY L2</t>
  </si>
  <si>
    <t>VIDRIO TEMPLADO SONY M2</t>
  </si>
  <si>
    <t>VIDRIO TEMPLADO SONY M2 AQUA</t>
  </si>
  <si>
    <t>VIDRIO TEMPLADO SONY M4</t>
  </si>
  <si>
    <t>VIDRIO TEMPLADO SONY M4 AQUA</t>
  </si>
  <si>
    <t>VIDRIO TEMPLADO SONY M4/M4 AQUA</t>
  </si>
  <si>
    <t>VIDRIO TEMPLADO SONY M5</t>
  </si>
  <si>
    <t>VIDRIO TEMPLADO SONY T2</t>
  </si>
  <si>
    <t>VIDRIO TEMPLADO SONY T2 ULTRA</t>
  </si>
  <si>
    <t>VIDRIO TEMPLADO SONY T3</t>
  </si>
  <si>
    <t>VIDRIO TEMPLADO SONY XA</t>
  </si>
  <si>
    <t>VIDRIO TEMPLADO SONY XA 1 ULTRA</t>
  </si>
  <si>
    <t>VIDRIO TEMPLADO SONY XA ULTRA</t>
  </si>
  <si>
    <t>VIDRIO TEMPLADO SONY XA1</t>
  </si>
  <si>
    <t>VIDRIO TEMPLADO SONY XA1 ULTRA</t>
  </si>
  <si>
    <t>VIDRIO TEMPLADO SONY XA2</t>
  </si>
  <si>
    <t>VIDRIO TEMPLADO SONY XA2 ULTRA</t>
  </si>
  <si>
    <t>VIDRIO TEMPLADO SONY XZ PREMIUM</t>
  </si>
  <si>
    <t>VIDRIO TEMPLADO SONY Z1</t>
  </si>
  <si>
    <t>VIDRIO TEMPLADO SONY Z2</t>
  </si>
  <si>
    <t>VIDRIO TEMPLADO SONY Z3</t>
  </si>
  <si>
    <t>VIDRIO TEMPLADO SONY Z3 MINI</t>
  </si>
  <si>
    <t>VIDRIO TEMPLADO SONY Z4</t>
  </si>
  <si>
    <t>VIDRIO TEMPLADO SONY Z5</t>
  </si>
  <si>
    <t>VIDRIO TEMPLADO SONY Z5 COMPACT</t>
  </si>
  <si>
    <t>VIDRIO TEMPLADO SONY Z5 PREMIUM</t>
  </si>
  <si>
    <t>VIDRIO TEMPLADO TAB 3 / UNIV</t>
  </si>
  <si>
    <t>VIDRIO TEMPLADO TAB 7 - UNIV</t>
  </si>
  <si>
    <t>VIDRIO TEMPLADO TAB SAM T530</t>
  </si>
  <si>
    <t>VIDRIO TEMPLADO TABLET 10.1</t>
  </si>
  <si>
    <t>VIDRIO TEMPLADO TABLET 7"</t>
  </si>
  <si>
    <t>VIDRIO TEMPLADO TABLET IPAD MINI</t>
  </si>
  <si>
    <t>VIDRIO TEMPLADO TABLET SAM P350</t>
  </si>
  <si>
    <t>VIDRIO TEMPLADO TABLET SAM T110</t>
  </si>
  <si>
    <t>VIDRIO TEMPLADO TABLET SAM T230</t>
  </si>
  <si>
    <t>VIDRIO TEMPLADO TABLET SAM T230 7´UNIV</t>
  </si>
  <si>
    <t>VIDRIO TEMPLADO TABLET T 110 SAM</t>
  </si>
  <si>
    <t>VIDRIO TEMPLADO TABLET T 110/111</t>
  </si>
  <si>
    <t>VIDRIO TEMPLADO TABLET T 550</t>
  </si>
  <si>
    <t>VIDRIO TEMPLADO TABLET T110/113</t>
  </si>
  <si>
    <t>VIDRIO TEMPLADO TABLET T230</t>
  </si>
  <si>
    <t>VIDRIO TEMPLADO TABLET T280</t>
  </si>
  <si>
    <t>VIDRIO TEMPLADO TABLET T550</t>
  </si>
  <si>
    <t>VIDRIO TEMPLADO TABLET T560</t>
  </si>
  <si>
    <t>VIDRIO TEMPLADO TABLET UNIVERSAL</t>
  </si>
  <si>
    <t>VIDRIO TEMPLADO TABLET UNIVERSAL 7</t>
  </si>
  <si>
    <t>VIDRIO TEMPLADO UNIVERSAL 10.1 PULGADAS</t>
  </si>
  <si>
    <t>VIDRIO TEMPLADO UNIVERSAL 4</t>
  </si>
  <si>
    <t>VIDRIO TEMPLADO UNIVERSAL 4.7 PULGADAS</t>
  </si>
  <si>
    <t>VIDRIO TEMPLADO UNIVERSAL 4.5</t>
  </si>
  <si>
    <t>VIDRIO TEMPLADO UNIVERSAL 5 PULGADAS</t>
  </si>
  <si>
    <t>VIDRIO TEMPLADO UNIVERSAL 5"</t>
  </si>
  <si>
    <t>VIDRIO TEMPLADO UNIVERSAL 5.5</t>
  </si>
  <si>
    <t>VIDRIO TEMPLADO UNIVERSAL 5.0 PULGADAS</t>
  </si>
  <si>
    <t>VIDRIO TEMPLADO UNIVERSAL 5.3 PULGADAS</t>
  </si>
  <si>
    <t>VIDRIO TEMPLADO UNIVERSAL 6</t>
  </si>
  <si>
    <t>VIDRIO TEMPLADO UNIVERSAL 6 PULGADAS</t>
  </si>
  <si>
    <t>VIDRIO TEMPLADO UNIVERSAL 8 PULGADAS</t>
  </si>
  <si>
    <t>VIDRIO TEMPLADO UNIVERSAL 9 PULGADAS</t>
  </si>
  <si>
    <t>VIDRIO TEMPLADO XIAOMI MI 5S</t>
  </si>
  <si>
    <t>VIDRIO TEMPLADO XIAOMI MI NOTE 5 PRO</t>
  </si>
  <si>
    <t>VIDRIO TEMPLADO XIAOMI REDMI 4A</t>
  </si>
  <si>
    <t>VIDRIO TEMPLADO XIAOMI REDMI 4X</t>
  </si>
  <si>
    <t>VIDRIO TEMPLADO XIAOMI REDMI 5A PRIME</t>
  </si>
  <si>
    <t>VIDRIO TEMPLADO XIAOMI REDMI 5X</t>
  </si>
  <si>
    <t>VIDRIO TEMPLADO XIAOMI REDMI NOTE 4</t>
  </si>
  <si>
    <t>VIDRIO TEMPLADO ZT A 460</t>
  </si>
  <si>
    <t>VIDRIO TEMPLADO ZTE A 510</t>
  </si>
  <si>
    <t>VIDRIO TEMPLADO ZTE A 511</t>
  </si>
  <si>
    <t>VIDRIO TEMPLADO ZTE A460</t>
  </si>
  <si>
    <t>VIDRIO TEMPLADO ZTE A511</t>
  </si>
  <si>
    <t>VIDRIO TEMPLADO ZTE A602</t>
  </si>
  <si>
    <t>VIDRIO TEMPLADO ZTE BLADE X3 (C 370)</t>
  </si>
  <si>
    <t>VIDRIO TEMPLADO ZTE L2</t>
  </si>
  <si>
    <t>VIDRIO TEMPLADO ZTE L3</t>
  </si>
  <si>
    <t>VIDRIO TEMPLADO ZTE L5</t>
  </si>
  <si>
    <t>VIDRIO TEMPLADO ZTE L7</t>
  </si>
  <si>
    <t>VIDRIO TEMPLADO ZTE V6</t>
  </si>
  <si>
    <t>VIDRIO TEMPLADO ZTE V6 PLUS</t>
  </si>
  <si>
    <t>VIDRO TEMPLADO LG K4 2017</t>
  </si>
  <si>
    <t>WALKIE TALKIE ET-Y7004PLUS</t>
  </si>
  <si>
    <t>ZAPATILLA 10 AMPERE 250 VOLT</t>
  </si>
  <si>
    <t>ZOOM C/TRIPODE PARA CELULAR IRM-03828</t>
  </si>
  <si>
    <t>ZOOM PARA CELULAR COD 3695</t>
  </si>
  <si>
    <t>ZOOM PARA CELULAR CON SOPORTE 71635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</si>
</sst>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0"/>
  <sheetViews>
    <sheetView tabSelected="1" workbookViewId="0"/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J2" t="s">
        <v>17</v>
      </c>
      <c r="K2" t="str">
        <f>"17581458"</f>
        <v>17581458</v>
      </c>
      <c r="L2" t="str">
        <f>"17581458"</f>
        <v>17581458</v>
      </c>
      <c r="M2" t="s">
        <v>21</v>
      </c>
      <c r="N2" s="1">
        <v>42872.839583333334</v>
      </c>
      <c r="O2" t="s">
        <v>19</v>
      </c>
    </row>
    <row r="3" spans="1:15" x14ac:dyDescent="0.25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J3" t="s">
        <v>17</v>
      </c>
      <c r="K3" t="str">
        <f>"17581478"</f>
        <v>17581478</v>
      </c>
      <c r="L3" t="str">
        <f>"17581478"</f>
        <v>17581478</v>
      </c>
      <c r="M3" t="s">
        <v>21</v>
      </c>
      <c r="N3" s="1">
        <v>42872.839583333334</v>
      </c>
      <c r="O3" t="s">
        <v>19</v>
      </c>
    </row>
    <row r="4" spans="1:15" x14ac:dyDescent="0.25">
      <c r="A4">
        <v>1</v>
      </c>
      <c r="B4" t="s">
        <v>15</v>
      </c>
      <c r="C4" t="s">
        <v>22</v>
      </c>
      <c r="D4" t="s">
        <v>17</v>
      </c>
      <c r="E4" t="s">
        <v>18</v>
      </c>
      <c r="F4" t="s">
        <v>19</v>
      </c>
      <c r="G4" t="s">
        <v>20</v>
      </c>
      <c r="J4" t="s">
        <v>17</v>
      </c>
      <c r="K4" t="str">
        <f>"17710548"</f>
        <v>17710548</v>
      </c>
      <c r="L4" t="str">
        <f>"17710548"</f>
        <v>17710548</v>
      </c>
      <c r="M4" t="s">
        <v>21</v>
      </c>
      <c r="N4" s="1">
        <v>42872.839583333334</v>
      </c>
      <c r="O4" t="s">
        <v>19</v>
      </c>
    </row>
    <row r="5" spans="1:15" x14ac:dyDescent="0.25">
      <c r="A5">
        <v>1</v>
      </c>
      <c r="B5" t="s">
        <v>15</v>
      </c>
      <c r="C5" t="s">
        <v>22</v>
      </c>
      <c r="D5" t="s">
        <v>17</v>
      </c>
      <c r="E5" t="s">
        <v>18</v>
      </c>
      <c r="F5" t="s">
        <v>19</v>
      </c>
      <c r="G5" t="s">
        <v>20</v>
      </c>
      <c r="J5" t="s">
        <v>17</v>
      </c>
      <c r="K5" t="str">
        <f>"17710720"</f>
        <v>17710720</v>
      </c>
      <c r="L5" t="str">
        <f>"17710720"</f>
        <v>17710720</v>
      </c>
      <c r="M5" t="s">
        <v>21</v>
      </c>
      <c r="N5" s="1">
        <v>42872.839583333334</v>
      </c>
      <c r="O5" t="s">
        <v>19</v>
      </c>
    </row>
    <row r="6" spans="1:15" x14ac:dyDescent="0.25">
      <c r="A6">
        <v>1</v>
      </c>
      <c r="B6" t="s">
        <v>15</v>
      </c>
      <c r="C6" t="s">
        <v>22</v>
      </c>
      <c r="D6" t="s">
        <v>17</v>
      </c>
      <c r="E6" t="s">
        <v>18</v>
      </c>
      <c r="F6" t="s">
        <v>19</v>
      </c>
      <c r="G6" t="s">
        <v>20</v>
      </c>
      <c r="J6" t="s">
        <v>17</v>
      </c>
      <c r="K6" t="str">
        <f>"34710715"</f>
        <v>34710715</v>
      </c>
      <c r="L6" t="str">
        <f>"34710715"</f>
        <v>34710715</v>
      </c>
      <c r="M6" t="s">
        <v>21</v>
      </c>
      <c r="N6" s="1">
        <v>42872.839583333334</v>
      </c>
      <c r="O6" t="s">
        <v>19</v>
      </c>
    </row>
    <row r="7" spans="1:15" x14ac:dyDescent="0.25">
      <c r="A7">
        <v>1</v>
      </c>
      <c r="B7" t="s">
        <v>15</v>
      </c>
      <c r="C7" t="s">
        <v>23</v>
      </c>
      <c r="D7" t="s">
        <v>17</v>
      </c>
      <c r="E7" t="s">
        <v>18</v>
      </c>
      <c r="F7" t="s">
        <v>19</v>
      </c>
      <c r="G7" t="s">
        <v>20</v>
      </c>
      <c r="J7" t="s">
        <v>17</v>
      </c>
      <c r="K7" t="str">
        <f>"34080714"</f>
        <v>34080714</v>
      </c>
      <c r="L7" t="str">
        <f>"34080714"</f>
        <v>34080714</v>
      </c>
      <c r="M7" t="s">
        <v>21</v>
      </c>
      <c r="N7" s="1">
        <v>42872.839583333334</v>
      </c>
      <c r="O7" t="s">
        <v>19</v>
      </c>
    </row>
    <row r="8" spans="1:15" x14ac:dyDescent="0.25">
      <c r="A8">
        <v>1</v>
      </c>
      <c r="B8" t="s">
        <v>15</v>
      </c>
      <c r="C8" t="s">
        <v>23</v>
      </c>
      <c r="D8" t="s">
        <v>17</v>
      </c>
      <c r="E8" t="s">
        <v>18</v>
      </c>
      <c r="F8" t="s">
        <v>19</v>
      </c>
      <c r="G8" t="s">
        <v>20</v>
      </c>
      <c r="J8" t="s">
        <v>17</v>
      </c>
      <c r="K8" t="str">
        <f>"34080716"</f>
        <v>34080716</v>
      </c>
      <c r="L8" t="str">
        <f>"34080716"</f>
        <v>34080716</v>
      </c>
      <c r="M8" t="s">
        <v>21</v>
      </c>
      <c r="N8" s="1">
        <v>42872.839583333334</v>
      </c>
      <c r="O8" t="s">
        <v>19</v>
      </c>
    </row>
    <row r="9" spans="1:15" x14ac:dyDescent="0.25">
      <c r="A9">
        <v>1</v>
      </c>
      <c r="B9" t="s">
        <v>15</v>
      </c>
      <c r="C9" t="s">
        <v>23</v>
      </c>
      <c r="D9" t="s">
        <v>17</v>
      </c>
      <c r="E9" t="s">
        <v>18</v>
      </c>
      <c r="F9" t="s">
        <v>19</v>
      </c>
      <c r="G9" t="s">
        <v>20</v>
      </c>
      <c r="J9" t="s">
        <v>17</v>
      </c>
      <c r="K9" t="str">
        <f>"49090716"</f>
        <v>49090716</v>
      </c>
      <c r="L9" t="str">
        <f>"49090716"</f>
        <v>49090716</v>
      </c>
      <c r="M9" t="s">
        <v>21</v>
      </c>
      <c r="N9" s="1">
        <v>42872.839583333334</v>
      </c>
      <c r="O9" t="s">
        <v>19</v>
      </c>
    </row>
    <row r="10" spans="1:15" x14ac:dyDescent="0.25">
      <c r="A10">
        <v>1</v>
      </c>
      <c r="B10" t="s">
        <v>15</v>
      </c>
      <c r="C10" t="s">
        <v>24</v>
      </c>
      <c r="D10" t="s">
        <v>17</v>
      </c>
      <c r="E10" t="s">
        <v>18</v>
      </c>
      <c r="F10" t="s">
        <v>19</v>
      </c>
      <c r="G10" t="s">
        <v>20</v>
      </c>
      <c r="J10" t="s">
        <v>17</v>
      </c>
      <c r="K10" t="str">
        <f>"34901447"</f>
        <v>34901447</v>
      </c>
      <c r="L10" t="str">
        <f>"34901447"</f>
        <v>34901447</v>
      </c>
      <c r="M10" t="s">
        <v>21</v>
      </c>
      <c r="N10" s="1">
        <v>42872.839583333334</v>
      </c>
      <c r="O10" t="s">
        <v>19</v>
      </c>
    </row>
    <row r="11" spans="1:15" x14ac:dyDescent="0.25">
      <c r="A11">
        <v>1</v>
      </c>
      <c r="B11" t="s">
        <v>15</v>
      </c>
      <c r="C11" t="s">
        <v>22</v>
      </c>
      <c r="D11" t="s">
        <v>17</v>
      </c>
      <c r="E11" t="s">
        <v>18</v>
      </c>
      <c r="F11" t="s">
        <v>19</v>
      </c>
      <c r="G11" t="s">
        <v>20</v>
      </c>
      <c r="J11" t="s">
        <v>17</v>
      </c>
      <c r="K11" t="str">
        <f>"68710715"</f>
        <v>68710715</v>
      </c>
      <c r="L11" t="str">
        <f>"68710715"</f>
        <v>68710715</v>
      </c>
      <c r="M11" t="s">
        <v>21</v>
      </c>
      <c r="N11" s="1">
        <v>42872.847222222219</v>
      </c>
      <c r="O11" t="s">
        <v>19</v>
      </c>
    </row>
    <row r="12" spans="1:15" x14ac:dyDescent="0.25">
      <c r="A12">
        <v>1</v>
      </c>
      <c r="B12" t="s">
        <v>15</v>
      </c>
      <c r="C12" t="s">
        <v>22</v>
      </c>
      <c r="D12" t="s">
        <v>17</v>
      </c>
      <c r="E12" t="s">
        <v>18</v>
      </c>
      <c r="F12" t="s">
        <v>19</v>
      </c>
      <c r="G12" t="s">
        <v>20</v>
      </c>
      <c r="J12" t="s">
        <v>17</v>
      </c>
      <c r="K12" t="str">
        <f>"68710717"</f>
        <v>68710717</v>
      </c>
      <c r="L12" t="str">
        <f>"68710717"</f>
        <v>68710717</v>
      </c>
      <c r="M12" t="s">
        <v>21</v>
      </c>
      <c r="N12" s="1">
        <v>42872.847222222219</v>
      </c>
      <c r="O12" t="s">
        <v>19</v>
      </c>
    </row>
    <row r="13" spans="1:15" x14ac:dyDescent="0.25">
      <c r="A13">
        <v>1</v>
      </c>
      <c r="B13" t="s">
        <v>15</v>
      </c>
      <c r="C13" t="s">
        <v>22</v>
      </c>
      <c r="D13" t="s">
        <v>17</v>
      </c>
      <c r="E13" t="s">
        <v>18</v>
      </c>
      <c r="F13" t="s">
        <v>19</v>
      </c>
      <c r="G13" t="s">
        <v>20</v>
      </c>
      <c r="J13" t="s">
        <v>17</v>
      </c>
      <c r="K13" t="str">
        <f>"68711430"</f>
        <v>68711430</v>
      </c>
      <c r="L13" t="str">
        <f>"68711430"</f>
        <v>68711430</v>
      </c>
      <c r="M13" t="s">
        <v>21</v>
      </c>
      <c r="N13" s="1">
        <v>42872.847222222219</v>
      </c>
      <c r="O13" t="s">
        <v>19</v>
      </c>
    </row>
    <row r="14" spans="1:15" x14ac:dyDescent="0.25">
      <c r="A14">
        <v>1</v>
      </c>
      <c r="B14" t="s">
        <v>15</v>
      </c>
      <c r="C14" t="s">
        <v>25</v>
      </c>
      <c r="D14" t="s">
        <v>17</v>
      </c>
      <c r="E14" t="s">
        <v>18</v>
      </c>
      <c r="F14" t="s">
        <v>19</v>
      </c>
      <c r="G14" t="s">
        <v>20</v>
      </c>
      <c r="J14" t="s">
        <v>17</v>
      </c>
      <c r="K14" t="str">
        <f>"76530136"</f>
        <v>76530136</v>
      </c>
      <c r="L14" t="str">
        <f>"76530136"</f>
        <v>76530136</v>
      </c>
      <c r="M14" t="s">
        <v>21</v>
      </c>
      <c r="N14" s="1">
        <v>42872.847222222219</v>
      </c>
      <c r="O14" t="s">
        <v>19</v>
      </c>
    </row>
    <row r="15" spans="1:15" x14ac:dyDescent="0.25">
      <c r="A15">
        <v>1</v>
      </c>
      <c r="B15" t="s">
        <v>15</v>
      </c>
      <c r="C15" t="s">
        <v>24</v>
      </c>
      <c r="D15" t="s">
        <v>17</v>
      </c>
      <c r="E15" t="s">
        <v>18</v>
      </c>
      <c r="F15" t="s">
        <v>19</v>
      </c>
      <c r="G15" t="s">
        <v>20</v>
      </c>
      <c r="J15" t="s">
        <v>17</v>
      </c>
      <c r="K15" t="str">
        <f>"76550715"</f>
        <v>76550715</v>
      </c>
      <c r="L15" t="str">
        <f>"76550715"</f>
        <v>76550715</v>
      </c>
      <c r="M15" t="s">
        <v>21</v>
      </c>
      <c r="N15" s="1">
        <v>42872.847222222219</v>
      </c>
      <c r="O15" t="s">
        <v>19</v>
      </c>
    </row>
    <row r="16" spans="1:15" x14ac:dyDescent="0.25">
      <c r="A16">
        <v>1</v>
      </c>
      <c r="B16" t="s">
        <v>15</v>
      </c>
      <c r="C16" t="s">
        <v>24</v>
      </c>
      <c r="D16" t="s">
        <v>17</v>
      </c>
      <c r="E16" t="s">
        <v>18</v>
      </c>
      <c r="F16" t="s">
        <v>19</v>
      </c>
      <c r="G16" t="s">
        <v>20</v>
      </c>
      <c r="J16" t="s">
        <v>17</v>
      </c>
      <c r="K16" t="str">
        <f>"76550716"</f>
        <v>76550716</v>
      </c>
      <c r="L16" t="str">
        <f>"76550716"</f>
        <v>76550716</v>
      </c>
      <c r="M16" t="s">
        <v>21</v>
      </c>
      <c r="N16" s="1">
        <v>42872.847222222219</v>
      </c>
      <c r="O16" t="s">
        <v>19</v>
      </c>
    </row>
    <row r="17" spans="1:15" x14ac:dyDescent="0.25">
      <c r="A17">
        <v>1</v>
      </c>
      <c r="B17" t="s">
        <v>15</v>
      </c>
      <c r="C17" t="s">
        <v>24</v>
      </c>
      <c r="D17" t="s">
        <v>17</v>
      </c>
      <c r="E17" t="s">
        <v>18</v>
      </c>
      <c r="F17" t="s">
        <v>19</v>
      </c>
      <c r="G17" t="s">
        <v>20</v>
      </c>
      <c r="J17" t="s">
        <v>17</v>
      </c>
      <c r="K17" t="str">
        <f>"76551454"</f>
        <v>76551454</v>
      </c>
      <c r="L17" t="str">
        <f>"76551454"</f>
        <v>76551454</v>
      </c>
      <c r="M17" t="s">
        <v>21</v>
      </c>
      <c r="N17" s="1">
        <v>42872.847222222219</v>
      </c>
      <c r="O17" t="s">
        <v>19</v>
      </c>
    </row>
    <row r="18" spans="1:15" x14ac:dyDescent="0.25">
      <c r="A18">
        <v>1</v>
      </c>
      <c r="B18" t="s">
        <v>15</v>
      </c>
      <c r="C18" t="s">
        <v>24</v>
      </c>
      <c r="D18" t="s">
        <v>17</v>
      </c>
      <c r="E18" t="s">
        <v>18</v>
      </c>
      <c r="F18" t="s">
        <v>19</v>
      </c>
      <c r="G18" t="s">
        <v>20</v>
      </c>
      <c r="J18" t="s">
        <v>17</v>
      </c>
      <c r="K18" t="str">
        <f>"76551480"</f>
        <v>76551480</v>
      </c>
      <c r="L18" t="str">
        <f>"76551480"</f>
        <v>76551480</v>
      </c>
      <c r="M18" t="s">
        <v>21</v>
      </c>
      <c r="N18" s="1">
        <v>42872.847222222219</v>
      </c>
      <c r="O18" t="s">
        <v>19</v>
      </c>
    </row>
    <row r="19" spans="1:15" x14ac:dyDescent="0.25">
      <c r="A19">
        <v>1</v>
      </c>
      <c r="B19" t="s">
        <v>15</v>
      </c>
      <c r="C19" t="s">
        <v>24</v>
      </c>
      <c r="D19" t="s">
        <v>17</v>
      </c>
      <c r="E19" t="s">
        <v>18</v>
      </c>
      <c r="F19" t="s">
        <v>19</v>
      </c>
      <c r="G19" t="s">
        <v>20</v>
      </c>
      <c r="J19" t="s">
        <v>17</v>
      </c>
      <c r="K19" t="str">
        <f>"76551486"</f>
        <v>76551486</v>
      </c>
      <c r="L19" t="str">
        <f>"76551486"</f>
        <v>76551486</v>
      </c>
      <c r="M19" t="s">
        <v>21</v>
      </c>
      <c r="N19" s="1">
        <v>42872.847222222219</v>
      </c>
      <c r="O19" t="s">
        <v>19</v>
      </c>
    </row>
    <row r="20" spans="1:15" x14ac:dyDescent="0.25">
      <c r="A20">
        <v>1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J20" t="s">
        <v>17</v>
      </c>
      <c r="K20" t="str">
        <f>"76581064"</f>
        <v>76581064</v>
      </c>
      <c r="L20" t="str">
        <f>"76581064"</f>
        <v>76581064</v>
      </c>
      <c r="M20" t="s">
        <v>21</v>
      </c>
      <c r="N20" s="1">
        <v>42872.847222222219</v>
      </c>
      <c r="O20" t="s">
        <v>19</v>
      </c>
    </row>
    <row r="21" spans="1:15" x14ac:dyDescent="0.25">
      <c r="A21">
        <v>1</v>
      </c>
      <c r="B21" t="s">
        <v>15</v>
      </c>
      <c r="C21" t="s">
        <v>24</v>
      </c>
      <c r="D21" t="s">
        <v>17</v>
      </c>
      <c r="E21" t="s">
        <v>18</v>
      </c>
      <c r="F21" t="s">
        <v>19</v>
      </c>
      <c r="G21" t="s">
        <v>20</v>
      </c>
      <c r="J21" t="s">
        <v>17</v>
      </c>
      <c r="K21" t="str">
        <f>"76581425"</f>
        <v>76581425</v>
      </c>
      <c r="L21" t="str">
        <f>"76581425"</f>
        <v>76581425</v>
      </c>
      <c r="M21" t="s">
        <v>21</v>
      </c>
      <c r="N21" s="1">
        <v>42872.847222222219</v>
      </c>
      <c r="O21" t="s">
        <v>19</v>
      </c>
    </row>
    <row r="22" spans="1:15" x14ac:dyDescent="0.25">
      <c r="A22">
        <v>1</v>
      </c>
      <c r="B22" t="s">
        <v>15</v>
      </c>
      <c r="C22" t="s">
        <v>24</v>
      </c>
      <c r="D22" t="s">
        <v>17</v>
      </c>
      <c r="E22" t="s">
        <v>18</v>
      </c>
      <c r="F22" t="s">
        <v>19</v>
      </c>
      <c r="G22" t="s">
        <v>20</v>
      </c>
      <c r="J22" t="s">
        <v>17</v>
      </c>
      <c r="K22" t="str">
        <f>"76591428"</f>
        <v>76591428</v>
      </c>
      <c r="L22" t="str">
        <f>"76591428"</f>
        <v>76591428</v>
      </c>
      <c r="M22" t="s">
        <v>21</v>
      </c>
      <c r="N22" s="1">
        <v>42872.847222222219</v>
      </c>
      <c r="O22" t="s">
        <v>19</v>
      </c>
    </row>
    <row r="23" spans="1:15" x14ac:dyDescent="0.25">
      <c r="A23">
        <v>1</v>
      </c>
      <c r="B23" t="s">
        <v>15</v>
      </c>
      <c r="C23" t="s">
        <v>24</v>
      </c>
      <c r="D23" t="s">
        <v>17</v>
      </c>
      <c r="E23" t="s">
        <v>18</v>
      </c>
      <c r="F23" t="s">
        <v>19</v>
      </c>
      <c r="G23" t="s">
        <v>20</v>
      </c>
      <c r="J23" t="s">
        <v>17</v>
      </c>
      <c r="K23" t="str">
        <f>"76591430"</f>
        <v>76591430</v>
      </c>
      <c r="L23" t="str">
        <f>"76591430"</f>
        <v>76591430</v>
      </c>
      <c r="M23" t="s">
        <v>21</v>
      </c>
      <c r="N23" s="1">
        <v>42872.847222222219</v>
      </c>
      <c r="O23" t="s">
        <v>19</v>
      </c>
    </row>
    <row r="24" spans="1:15" x14ac:dyDescent="0.25">
      <c r="A24">
        <v>1</v>
      </c>
      <c r="B24" t="s">
        <v>15</v>
      </c>
      <c r="C24" t="s">
        <v>26</v>
      </c>
      <c r="D24" t="s">
        <v>17</v>
      </c>
      <c r="E24" t="s">
        <v>18</v>
      </c>
      <c r="F24" t="s">
        <v>19</v>
      </c>
      <c r="G24" t="s">
        <v>20</v>
      </c>
      <c r="J24" t="s">
        <v>17</v>
      </c>
      <c r="K24" t="str">
        <f>"76810715"</f>
        <v>76810715</v>
      </c>
      <c r="L24" t="str">
        <f>"76810715"</f>
        <v>76810715</v>
      </c>
      <c r="M24" t="s">
        <v>21</v>
      </c>
      <c r="N24" s="1">
        <v>42872.847222222219</v>
      </c>
      <c r="O24" t="s">
        <v>19</v>
      </c>
    </row>
    <row r="25" spans="1:15" x14ac:dyDescent="0.25">
      <c r="A25">
        <v>1</v>
      </c>
      <c r="B25" t="s">
        <v>15</v>
      </c>
      <c r="C25" t="s">
        <v>26</v>
      </c>
      <c r="D25" t="s">
        <v>17</v>
      </c>
      <c r="E25" t="s">
        <v>18</v>
      </c>
      <c r="F25" t="s">
        <v>19</v>
      </c>
      <c r="G25" t="s">
        <v>20</v>
      </c>
      <c r="J25" t="s">
        <v>17</v>
      </c>
      <c r="K25" t="str">
        <f>"76810716"</f>
        <v>76810716</v>
      </c>
      <c r="L25" t="str">
        <f>"76810716"</f>
        <v>76810716</v>
      </c>
      <c r="M25" t="s">
        <v>21</v>
      </c>
      <c r="N25" s="1">
        <v>42872.847222222219</v>
      </c>
      <c r="O25" t="s">
        <v>19</v>
      </c>
    </row>
    <row r="26" spans="1:15" x14ac:dyDescent="0.25">
      <c r="A26">
        <v>1</v>
      </c>
      <c r="B26" t="s">
        <v>15</v>
      </c>
      <c r="C26" t="s">
        <v>26</v>
      </c>
      <c r="D26" t="s">
        <v>17</v>
      </c>
      <c r="E26" t="s">
        <v>18</v>
      </c>
      <c r="F26" t="s">
        <v>19</v>
      </c>
      <c r="G26" t="s">
        <v>20</v>
      </c>
      <c r="J26" t="s">
        <v>17</v>
      </c>
      <c r="K26" t="str">
        <f>"76810717"</f>
        <v>76810717</v>
      </c>
      <c r="L26" t="str">
        <f>"76810717"</f>
        <v>76810717</v>
      </c>
      <c r="M26" t="s">
        <v>21</v>
      </c>
      <c r="N26" s="1">
        <v>42872.847222222219</v>
      </c>
      <c r="O26" t="s">
        <v>19</v>
      </c>
    </row>
    <row r="27" spans="1:15" x14ac:dyDescent="0.25">
      <c r="A27">
        <v>1</v>
      </c>
      <c r="B27" t="s">
        <v>15</v>
      </c>
      <c r="C27" t="s">
        <v>27</v>
      </c>
      <c r="D27" t="s">
        <v>17</v>
      </c>
      <c r="E27" t="s">
        <v>18</v>
      </c>
      <c r="F27" t="s">
        <v>19</v>
      </c>
      <c r="G27" t="s">
        <v>20</v>
      </c>
      <c r="J27" t="s">
        <v>17</v>
      </c>
      <c r="K27" t="str">
        <f>"174805247"</f>
        <v>174805247</v>
      </c>
      <c r="L27" t="str">
        <f>"174805247"</f>
        <v>174805247</v>
      </c>
      <c r="M27" t="s">
        <v>21</v>
      </c>
      <c r="N27" s="1">
        <v>42872.849305555559</v>
      </c>
      <c r="O27" t="s">
        <v>19</v>
      </c>
    </row>
    <row r="28" spans="1:15" x14ac:dyDescent="0.25">
      <c r="A28">
        <v>1</v>
      </c>
      <c r="B28" t="s">
        <v>15</v>
      </c>
      <c r="C28" t="s">
        <v>27</v>
      </c>
      <c r="D28" t="s">
        <v>17</v>
      </c>
      <c r="E28" t="s">
        <v>18</v>
      </c>
      <c r="F28" t="s">
        <v>19</v>
      </c>
      <c r="G28" t="s">
        <v>20</v>
      </c>
      <c r="J28" t="s">
        <v>17</v>
      </c>
      <c r="K28" t="str">
        <f>"99999"</f>
        <v>99999</v>
      </c>
      <c r="L28" t="str">
        <f>"99999"</f>
        <v>99999</v>
      </c>
      <c r="M28" t="s">
        <v>21</v>
      </c>
      <c r="N28" s="1">
        <v>42872.849305555559</v>
      </c>
      <c r="O28" t="s">
        <v>19</v>
      </c>
    </row>
    <row r="29" spans="1:15" x14ac:dyDescent="0.25">
      <c r="A29">
        <v>1</v>
      </c>
      <c r="B29" t="s">
        <v>15</v>
      </c>
      <c r="C29" t="s">
        <v>27</v>
      </c>
      <c r="D29" t="s">
        <v>17</v>
      </c>
      <c r="E29" t="s">
        <v>18</v>
      </c>
      <c r="F29" t="s">
        <v>19</v>
      </c>
      <c r="G29" t="s">
        <v>20</v>
      </c>
      <c r="J29" t="s">
        <v>17</v>
      </c>
      <c r="K29" t="str">
        <f>"764714136"</f>
        <v>764714136</v>
      </c>
      <c r="L29" t="str">
        <f>"764714136"</f>
        <v>764714136</v>
      </c>
      <c r="M29" t="s">
        <v>21</v>
      </c>
      <c r="N29" s="1">
        <v>42872.849305555559</v>
      </c>
      <c r="O29" t="s">
        <v>19</v>
      </c>
    </row>
    <row r="30" spans="1:15" x14ac:dyDescent="0.25">
      <c r="A30">
        <v>1</v>
      </c>
      <c r="B30" t="s">
        <v>15</v>
      </c>
      <c r="C30" t="s">
        <v>27</v>
      </c>
      <c r="D30" t="s">
        <v>17</v>
      </c>
      <c r="E30" t="s">
        <v>18</v>
      </c>
      <c r="F30" t="s">
        <v>19</v>
      </c>
      <c r="G30" t="s">
        <v>20</v>
      </c>
      <c r="J30" t="s">
        <v>17</v>
      </c>
      <c r="K30" t="str">
        <f>"7674814136"</f>
        <v>7674814136</v>
      </c>
      <c r="L30" t="str">
        <f>"7674814136"</f>
        <v>7674814136</v>
      </c>
      <c r="M30" t="s">
        <v>21</v>
      </c>
      <c r="N30" s="1">
        <v>42872.849305555559</v>
      </c>
      <c r="O30" t="s">
        <v>19</v>
      </c>
    </row>
    <row r="31" spans="1:15" x14ac:dyDescent="0.25">
      <c r="A31">
        <v>1</v>
      </c>
      <c r="B31" t="s">
        <v>15</v>
      </c>
      <c r="C31" t="s">
        <v>22</v>
      </c>
      <c r="D31" t="s">
        <v>17</v>
      </c>
      <c r="E31" t="s">
        <v>18</v>
      </c>
      <c r="F31" t="s">
        <v>19</v>
      </c>
      <c r="G31" t="s">
        <v>20</v>
      </c>
      <c r="J31" t="s">
        <v>17</v>
      </c>
      <c r="K31" t="str">
        <f>"177101135"</f>
        <v>177101135</v>
      </c>
      <c r="L31" t="str">
        <f>"177101135"</f>
        <v>177101135</v>
      </c>
      <c r="M31" t="s">
        <v>21</v>
      </c>
      <c r="N31" s="1">
        <v>42872.849305555559</v>
      </c>
      <c r="O31" t="s">
        <v>19</v>
      </c>
    </row>
    <row r="32" spans="1:15" x14ac:dyDescent="0.25">
      <c r="A32">
        <v>1</v>
      </c>
      <c r="B32" t="s">
        <v>15</v>
      </c>
      <c r="C32" t="s">
        <v>22</v>
      </c>
      <c r="D32" t="s">
        <v>17</v>
      </c>
      <c r="E32" t="s">
        <v>18</v>
      </c>
      <c r="F32" t="s">
        <v>19</v>
      </c>
      <c r="G32" t="s">
        <v>20</v>
      </c>
      <c r="J32" t="s">
        <v>17</v>
      </c>
      <c r="K32" t="str">
        <f>"177105159"</f>
        <v>177105159</v>
      </c>
      <c r="L32" t="str">
        <f>"177105159"</f>
        <v>177105159</v>
      </c>
      <c r="M32" t="s">
        <v>21</v>
      </c>
      <c r="N32" s="1">
        <v>42872.849305555559</v>
      </c>
      <c r="O32" t="s">
        <v>19</v>
      </c>
    </row>
    <row r="33" spans="1:15" x14ac:dyDescent="0.25">
      <c r="A33">
        <v>1</v>
      </c>
      <c r="B33" t="s">
        <v>15</v>
      </c>
      <c r="C33" t="s">
        <v>22</v>
      </c>
      <c r="D33" t="s">
        <v>17</v>
      </c>
      <c r="E33" t="s">
        <v>18</v>
      </c>
      <c r="F33" t="s">
        <v>19</v>
      </c>
      <c r="G33" t="s">
        <v>20</v>
      </c>
      <c r="J33" t="s">
        <v>17</v>
      </c>
      <c r="K33" t="str">
        <f>"177105196"</f>
        <v>177105196</v>
      </c>
      <c r="L33" t="str">
        <f>"177105196"</f>
        <v>177105196</v>
      </c>
      <c r="M33" t="s">
        <v>21</v>
      </c>
      <c r="N33" s="1">
        <v>42872.849305555559</v>
      </c>
      <c r="O33" t="s">
        <v>19</v>
      </c>
    </row>
    <row r="34" spans="1:15" x14ac:dyDescent="0.25">
      <c r="A34">
        <v>1</v>
      </c>
      <c r="B34" t="s">
        <v>15</v>
      </c>
      <c r="C34" t="s">
        <v>22</v>
      </c>
      <c r="D34" t="s">
        <v>17</v>
      </c>
      <c r="E34" t="s">
        <v>18</v>
      </c>
      <c r="F34" t="s">
        <v>19</v>
      </c>
      <c r="G34" t="s">
        <v>20</v>
      </c>
      <c r="J34" t="s">
        <v>17</v>
      </c>
      <c r="K34" t="str">
        <f>"177114108"</f>
        <v>177114108</v>
      </c>
      <c r="L34" t="str">
        <f>"177114108"</f>
        <v>177114108</v>
      </c>
      <c r="M34" t="s">
        <v>21</v>
      </c>
      <c r="N34" s="1">
        <v>42872.849305555559</v>
      </c>
      <c r="O34" t="s">
        <v>19</v>
      </c>
    </row>
    <row r="35" spans="1:15" x14ac:dyDescent="0.25">
      <c r="A35">
        <v>1</v>
      </c>
      <c r="B35" t="s">
        <v>15</v>
      </c>
      <c r="C35" t="s">
        <v>22</v>
      </c>
      <c r="D35" t="s">
        <v>17</v>
      </c>
      <c r="E35" t="s">
        <v>18</v>
      </c>
      <c r="F35" t="s">
        <v>19</v>
      </c>
      <c r="G35" t="s">
        <v>20</v>
      </c>
      <c r="J35" t="s">
        <v>17</v>
      </c>
      <c r="K35" t="str">
        <f>"177114194"</f>
        <v>177114194</v>
      </c>
      <c r="L35" t="str">
        <f>"177114194"</f>
        <v>177114194</v>
      </c>
      <c r="M35" t="s">
        <v>21</v>
      </c>
      <c r="N35" s="1">
        <v>42872.849305555559</v>
      </c>
      <c r="O35" t="s">
        <v>19</v>
      </c>
    </row>
    <row r="36" spans="1:15" x14ac:dyDescent="0.25">
      <c r="A36">
        <v>1</v>
      </c>
      <c r="B36" t="s">
        <v>15</v>
      </c>
      <c r="C36" t="s">
        <v>22</v>
      </c>
      <c r="D36" t="s">
        <v>17</v>
      </c>
      <c r="E36" t="s">
        <v>18</v>
      </c>
      <c r="F36" t="s">
        <v>19</v>
      </c>
      <c r="G36" t="s">
        <v>20</v>
      </c>
      <c r="J36" t="s">
        <v>17</v>
      </c>
      <c r="K36" t="str">
        <f>"177114127"</f>
        <v>177114127</v>
      </c>
      <c r="L36" t="str">
        <f>"177114127"</f>
        <v>177114127</v>
      </c>
      <c r="M36" t="s">
        <v>21</v>
      </c>
      <c r="N36" s="1">
        <v>42872.849305555559</v>
      </c>
      <c r="O36" t="s">
        <v>19</v>
      </c>
    </row>
    <row r="37" spans="1:15" x14ac:dyDescent="0.25">
      <c r="A37">
        <v>1</v>
      </c>
      <c r="B37" t="s">
        <v>15</v>
      </c>
      <c r="C37" t="s">
        <v>22</v>
      </c>
      <c r="D37" t="s">
        <v>17</v>
      </c>
      <c r="E37" t="s">
        <v>18</v>
      </c>
      <c r="F37" t="s">
        <v>19</v>
      </c>
      <c r="G37" t="s">
        <v>20</v>
      </c>
      <c r="J37" t="s">
        <v>17</v>
      </c>
      <c r="K37" t="str">
        <f>"178614266"</f>
        <v>178614266</v>
      </c>
      <c r="L37" t="str">
        <f>"178614266"</f>
        <v>178614266</v>
      </c>
      <c r="M37" t="s">
        <v>21</v>
      </c>
      <c r="N37" s="1">
        <v>42872.849305555559</v>
      </c>
      <c r="O37" t="s">
        <v>19</v>
      </c>
    </row>
    <row r="38" spans="1:15" x14ac:dyDescent="0.25">
      <c r="A38">
        <v>1</v>
      </c>
      <c r="B38" t="s">
        <v>15</v>
      </c>
      <c r="C38" t="s">
        <v>22</v>
      </c>
      <c r="D38" t="s">
        <v>17</v>
      </c>
      <c r="E38" t="s">
        <v>18</v>
      </c>
      <c r="F38" t="s">
        <v>19</v>
      </c>
      <c r="G38" t="s">
        <v>20</v>
      </c>
      <c r="J38" t="s">
        <v>17</v>
      </c>
      <c r="K38" t="str">
        <f>"178632214"</f>
        <v>178632214</v>
      </c>
      <c r="L38" t="str">
        <f>"178632214"</f>
        <v>178632214</v>
      </c>
      <c r="M38" t="s">
        <v>21</v>
      </c>
      <c r="N38" s="1">
        <v>42872.849305555559</v>
      </c>
      <c r="O38" t="s">
        <v>19</v>
      </c>
    </row>
    <row r="39" spans="1:15" x14ac:dyDescent="0.25">
      <c r="A39">
        <v>1</v>
      </c>
      <c r="B39" t="s">
        <v>15</v>
      </c>
      <c r="C39" t="s">
        <v>24</v>
      </c>
      <c r="D39" t="s">
        <v>17</v>
      </c>
      <c r="E39" t="s">
        <v>18</v>
      </c>
      <c r="F39" t="s">
        <v>19</v>
      </c>
      <c r="G39" t="s">
        <v>20</v>
      </c>
      <c r="J39" t="s">
        <v>17</v>
      </c>
      <c r="K39" t="str">
        <f>"179007254"</f>
        <v>179007254</v>
      </c>
      <c r="L39" t="str">
        <f>"179007254"</f>
        <v>179007254</v>
      </c>
      <c r="M39" t="s">
        <v>21</v>
      </c>
      <c r="N39" s="1">
        <v>42872.849305555559</v>
      </c>
      <c r="O39" t="s">
        <v>19</v>
      </c>
    </row>
    <row r="40" spans="1:15" x14ac:dyDescent="0.25">
      <c r="A40">
        <v>1</v>
      </c>
      <c r="B40" t="s">
        <v>15</v>
      </c>
      <c r="C40" t="s">
        <v>24</v>
      </c>
      <c r="D40" t="s">
        <v>17</v>
      </c>
      <c r="E40" t="s">
        <v>18</v>
      </c>
      <c r="F40" t="s">
        <v>19</v>
      </c>
      <c r="G40" t="s">
        <v>20</v>
      </c>
      <c r="J40" t="s">
        <v>17</v>
      </c>
      <c r="K40" t="str">
        <f>"179014108"</f>
        <v>179014108</v>
      </c>
      <c r="L40" t="str">
        <f>"179014108"</f>
        <v>179014108</v>
      </c>
      <c r="M40" t="s">
        <v>21</v>
      </c>
      <c r="N40" s="1">
        <v>42872.849305555559</v>
      </c>
      <c r="O40" t="s">
        <v>19</v>
      </c>
    </row>
    <row r="41" spans="1:15" x14ac:dyDescent="0.25">
      <c r="A41">
        <v>1</v>
      </c>
      <c r="B41" t="s">
        <v>15</v>
      </c>
      <c r="C41" t="s">
        <v>28</v>
      </c>
      <c r="D41" t="s">
        <v>17</v>
      </c>
      <c r="E41" t="s">
        <v>18</v>
      </c>
      <c r="F41" t="s">
        <v>19</v>
      </c>
      <c r="G41" t="s">
        <v>20</v>
      </c>
      <c r="J41" t="s">
        <v>17</v>
      </c>
      <c r="K41" t="str">
        <f>"301310755"</f>
        <v>301310755</v>
      </c>
      <c r="L41" t="str">
        <f>"301310755"</f>
        <v>301310755</v>
      </c>
      <c r="M41" t="s">
        <v>21</v>
      </c>
      <c r="N41" s="1">
        <v>42872.849305555559</v>
      </c>
      <c r="O41" t="s">
        <v>19</v>
      </c>
    </row>
    <row r="42" spans="1:15" x14ac:dyDescent="0.25">
      <c r="A42">
        <v>1</v>
      </c>
      <c r="B42" t="s">
        <v>15</v>
      </c>
      <c r="C42" t="s">
        <v>23</v>
      </c>
      <c r="D42" t="s">
        <v>17</v>
      </c>
      <c r="E42" t="s">
        <v>18</v>
      </c>
      <c r="F42" t="s">
        <v>19</v>
      </c>
      <c r="G42" t="s">
        <v>20</v>
      </c>
      <c r="J42" t="s">
        <v>17</v>
      </c>
      <c r="K42" t="str">
        <f>"340807106"</f>
        <v>340807106</v>
      </c>
      <c r="L42" t="str">
        <f>"340807106"</f>
        <v>340807106</v>
      </c>
      <c r="M42" t="s">
        <v>21</v>
      </c>
      <c r="N42" s="1">
        <v>42872.849305555559</v>
      </c>
      <c r="O42" t="s">
        <v>19</v>
      </c>
    </row>
    <row r="43" spans="1:15" x14ac:dyDescent="0.25">
      <c r="A43">
        <v>1</v>
      </c>
      <c r="B43" t="s">
        <v>15</v>
      </c>
      <c r="C43" t="s">
        <v>22</v>
      </c>
      <c r="D43" t="s">
        <v>17</v>
      </c>
      <c r="E43" t="s">
        <v>18</v>
      </c>
      <c r="F43" t="s">
        <v>19</v>
      </c>
      <c r="G43" t="s">
        <v>20</v>
      </c>
      <c r="J43" t="s">
        <v>17</v>
      </c>
      <c r="K43" t="str">
        <f>"347114136"</f>
        <v>347114136</v>
      </c>
      <c r="L43" t="str">
        <f>"347114136"</f>
        <v>347114136</v>
      </c>
      <c r="M43" t="s">
        <v>21</v>
      </c>
      <c r="N43" s="1">
        <v>42872.849305555559</v>
      </c>
      <c r="O43" t="s">
        <v>19</v>
      </c>
    </row>
    <row r="44" spans="1:15" x14ac:dyDescent="0.25">
      <c r="A44">
        <v>1</v>
      </c>
      <c r="B44" t="s">
        <v>15</v>
      </c>
      <c r="C44" t="s">
        <v>24</v>
      </c>
      <c r="D44" t="s">
        <v>17</v>
      </c>
      <c r="E44" t="s">
        <v>18</v>
      </c>
      <c r="F44" t="s">
        <v>19</v>
      </c>
      <c r="G44" t="s">
        <v>20</v>
      </c>
      <c r="J44" t="s">
        <v>17</v>
      </c>
      <c r="K44" t="str">
        <f>"349007253"</f>
        <v>349007253</v>
      </c>
      <c r="L44" t="str">
        <f>"349007253"</f>
        <v>349007253</v>
      </c>
      <c r="M44" t="s">
        <v>21</v>
      </c>
      <c r="N44" s="1">
        <v>42872.849305555559</v>
      </c>
      <c r="O44" t="s">
        <v>19</v>
      </c>
    </row>
    <row r="45" spans="1:15" x14ac:dyDescent="0.25">
      <c r="A45">
        <v>1</v>
      </c>
      <c r="B45" t="s">
        <v>15</v>
      </c>
      <c r="C45" t="s">
        <v>24</v>
      </c>
      <c r="D45" t="s">
        <v>17</v>
      </c>
      <c r="E45" t="s">
        <v>18</v>
      </c>
      <c r="F45" t="s">
        <v>19</v>
      </c>
      <c r="G45" t="s">
        <v>20</v>
      </c>
      <c r="J45" t="s">
        <v>17</v>
      </c>
      <c r="K45" t="str">
        <f>"349007254"</f>
        <v>349007254</v>
      </c>
      <c r="L45" t="str">
        <f>"349007254"</f>
        <v>349007254</v>
      </c>
      <c r="M45" t="s">
        <v>21</v>
      </c>
      <c r="N45" s="1">
        <v>42872.849305555559</v>
      </c>
      <c r="O45" t="s">
        <v>19</v>
      </c>
    </row>
    <row r="46" spans="1:15" x14ac:dyDescent="0.25">
      <c r="A46">
        <v>1</v>
      </c>
      <c r="B46" t="s">
        <v>15</v>
      </c>
      <c r="C46" t="s">
        <v>24</v>
      </c>
      <c r="D46" t="s">
        <v>17</v>
      </c>
      <c r="E46" t="s">
        <v>18</v>
      </c>
      <c r="F46" t="s">
        <v>19</v>
      </c>
      <c r="G46" t="s">
        <v>20</v>
      </c>
      <c r="J46" t="s">
        <v>17</v>
      </c>
      <c r="K46" t="str">
        <f>"349014126"</f>
        <v>349014126</v>
      </c>
      <c r="L46" t="str">
        <f>"349014126"</f>
        <v>349014126</v>
      </c>
      <c r="M46" t="s">
        <v>21</v>
      </c>
      <c r="N46" s="1">
        <v>42872.849305555559</v>
      </c>
      <c r="O46" t="s">
        <v>19</v>
      </c>
    </row>
    <row r="47" spans="1:15" x14ac:dyDescent="0.25">
      <c r="A47">
        <v>1</v>
      </c>
      <c r="B47" t="s">
        <v>15</v>
      </c>
      <c r="C47" t="s">
        <v>24</v>
      </c>
      <c r="D47" t="s">
        <v>17</v>
      </c>
      <c r="E47" t="s">
        <v>18</v>
      </c>
      <c r="F47" t="s">
        <v>19</v>
      </c>
      <c r="G47" t="s">
        <v>20</v>
      </c>
      <c r="J47" t="s">
        <v>17</v>
      </c>
      <c r="K47" t="str">
        <f>"349014127"</f>
        <v>349014127</v>
      </c>
      <c r="L47" t="str">
        <f>"349014127"</f>
        <v>349014127</v>
      </c>
      <c r="M47" t="s">
        <v>21</v>
      </c>
      <c r="N47" s="1">
        <v>42872.849305555559</v>
      </c>
      <c r="O47" t="s">
        <v>19</v>
      </c>
    </row>
    <row r="48" spans="1:15" x14ac:dyDescent="0.25">
      <c r="A48">
        <v>1</v>
      </c>
      <c r="B48" t="s">
        <v>15</v>
      </c>
      <c r="C48" t="s">
        <v>24</v>
      </c>
      <c r="D48" t="s">
        <v>17</v>
      </c>
      <c r="E48" t="s">
        <v>18</v>
      </c>
      <c r="F48" t="s">
        <v>19</v>
      </c>
      <c r="G48" t="s">
        <v>20</v>
      </c>
      <c r="J48" t="s">
        <v>17</v>
      </c>
      <c r="K48" t="str">
        <f>"349014266"</f>
        <v>349014266</v>
      </c>
      <c r="L48" t="str">
        <f>"349014266"</f>
        <v>349014266</v>
      </c>
      <c r="M48" t="s">
        <v>21</v>
      </c>
      <c r="N48" s="1">
        <v>42872.849305555559</v>
      </c>
      <c r="O48" t="s">
        <v>19</v>
      </c>
    </row>
    <row r="49" spans="1:15" x14ac:dyDescent="0.25">
      <c r="A49">
        <v>1</v>
      </c>
      <c r="B49" t="s">
        <v>15</v>
      </c>
      <c r="C49" t="s">
        <v>24</v>
      </c>
      <c r="D49" t="s">
        <v>17</v>
      </c>
      <c r="E49" t="s">
        <v>18</v>
      </c>
      <c r="F49" t="s">
        <v>19</v>
      </c>
      <c r="G49" t="s">
        <v>20</v>
      </c>
      <c r="J49" t="s">
        <v>17</v>
      </c>
      <c r="K49" t="str">
        <f>"349014270"</f>
        <v>349014270</v>
      </c>
      <c r="L49" t="str">
        <f>"349014270"</f>
        <v>349014270</v>
      </c>
      <c r="M49" t="s">
        <v>21</v>
      </c>
      <c r="N49" s="1">
        <v>42872.849305555559</v>
      </c>
      <c r="O49" t="s">
        <v>19</v>
      </c>
    </row>
    <row r="50" spans="1:15" x14ac:dyDescent="0.25">
      <c r="A50">
        <v>1</v>
      </c>
      <c r="B50" t="s">
        <v>15</v>
      </c>
      <c r="C50" t="s">
        <v>22</v>
      </c>
      <c r="D50" t="s">
        <v>17</v>
      </c>
      <c r="E50" t="s">
        <v>18</v>
      </c>
      <c r="F50" t="s">
        <v>19</v>
      </c>
      <c r="G50" t="s">
        <v>20</v>
      </c>
      <c r="J50" t="s">
        <v>17</v>
      </c>
      <c r="K50" t="str">
        <f>"687105238"</f>
        <v>687105238</v>
      </c>
      <c r="L50" t="str">
        <f>"687105238"</f>
        <v>687105238</v>
      </c>
      <c r="M50" t="s">
        <v>21</v>
      </c>
      <c r="N50" s="1">
        <v>42872.849305555559</v>
      </c>
      <c r="O50" t="s">
        <v>19</v>
      </c>
    </row>
    <row r="51" spans="1:15" x14ac:dyDescent="0.25">
      <c r="A51">
        <v>1</v>
      </c>
      <c r="B51" t="s">
        <v>15</v>
      </c>
      <c r="C51" t="s">
        <v>22</v>
      </c>
      <c r="D51" t="s">
        <v>17</v>
      </c>
      <c r="E51" t="s">
        <v>18</v>
      </c>
      <c r="F51" t="s">
        <v>19</v>
      </c>
      <c r="G51" t="s">
        <v>20</v>
      </c>
      <c r="J51" t="s">
        <v>17</v>
      </c>
      <c r="K51" t="str">
        <f>"687109221"</f>
        <v>687109221</v>
      </c>
      <c r="L51" t="str">
        <f>"687109221"</f>
        <v>687109221</v>
      </c>
      <c r="M51" t="s">
        <v>21</v>
      </c>
      <c r="N51" s="1">
        <v>42872.849305555559</v>
      </c>
      <c r="O51" t="s">
        <v>19</v>
      </c>
    </row>
    <row r="52" spans="1:15" x14ac:dyDescent="0.25">
      <c r="A52">
        <v>1</v>
      </c>
      <c r="B52" t="s">
        <v>15</v>
      </c>
      <c r="C52" t="s">
        <v>22</v>
      </c>
      <c r="D52" t="s">
        <v>17</v>
      </c>
      <c r="E52" t="s">
        <v>18</v>
      </c>
      <c r="F52" t="s">
        <v>19</v>
      </c>
      <c r="G52" t="s">
        <v>20</v>
      </c>
      <c r="J52" t="s">
        <v>17</v>
      </c>
      <c r="K52" t="str">
        <f>"687109269"</f>
        <v>687109269</v>
      </c>
      <c r="L52" t="str">
        <f>"687109269"</f>
        <v>687109269</v>
      </c>
      <c r="M52" t="s">
        <v>21</v>
      </c>
      <c r="N52" s="1">
        <v>42872.849305555559</v>
      </c>
      <c r="O52" t="s">
        <v>19</v>
      </c>
    </row>
    <row r="53" spans="1:15" x14ac:dyDescent="0.25">
      <c r="A53">
        <v>1</v>
      </c>
      <c r="B53" t="s">
        <v>15</v>
      </c>
      <c r="C53" t="s">
        <v>24</v>
      </c>
      <c r="D53" t="s">
        <v>17</v>
      </c>
      <c r="E53" t="s">
        <v>18</v>
      </c>
      <c r="F53" t="s">
        <v>19</v>
      </c>
      <c r="G53" t="s">
        <v>20</v>
      </c>
      <c r="J53" t="s">
        <v>17</v>
      </c>
      <c r="K53" t="str">
        <f>"688409221"</f>
        <v>688409221</v>
      </c>
      <c r="L53" t="str">
        <f>"688409221"</f>
        <v>688409221</v>
      </c>
      <c r="M53" t="s">
        <v>21</v>
      </c>
      <c r="N53" s="1">
        <v>42872.849305555559</v>
      </c>
      <c r="O53" t="s">
        <v>19</v>
      </c>
    </row>
    <row r="54" spans="1:15" x14ac:dyDescent="0.25">
      <c r="A54">
        <v>1</v>
      </c>
      <c r="B54" t="s">
        <v>15</v>
      </c>
      <c r="C54" t="s">
        <v>24</v>
      </c>
      <c r="D54" t="s">
        <v>17</v>
      </c>
      <c r="E54" t="s">
        <v>18</v>
      </c>
      <c r="F54" t="s">
        <v>19</v>
      </c>
      <c r="G54" t="s">
        <v>20</v>
      </c>
      <c r="J54" t="s">
        <v>17</v>
      </c>
      <c r="K54" t="str">
        <f>"688414125"</f>
        <v>688414125</v>
      </c>
      <c r="L54" t="str">
        <f>"688414125"</f>
        <v>688414125</v>
      </c>
      <c r="M54" t="s">
        <v>21</v>
      </c>
      <c r="N54" s="1">
        <v>42872.849305555559</v>
      </c>
      <c r="O54" t="s">
        <v>19</v>
      </c>
    </row>
    <row r="55" spans="1:15" x14ac:dyDescent="0.25">
      <c r="A55">
        <v>1</v>
      </c>
      <c r="B55" t="s">
        <v>15</v>
      </c>
      <c r="C55" t="s">
        <v>24</v>
      </c>
      <c r="D55" t="s">
        <v>17</v>
      </c>
      <c r="E55" t="s">
        <v>18</v>
      </c>
      <c r="F55" t="s">
        <v>19</v>
      </c>
      <c r="G55" t="s">
        <v>20</v>
      </c>
      <c r="J55" t="s">
        <v>17</v>
      </c>
      <c r="K55" t="str">
        <f>"776550715"</f>
        <v>776550715</v>
      </c>
      <c r="L55" t="str">
        <f>"776550715"</f>
        <v>776550715</v>
      </c>
      <c r="M55" t="s">
        <v>21</v>
      </c>
      <c r="N55" s="1">
        <v>42872.849305555559</v>
      </c>
      <c r="O55" t="s">
        <v>19</v>
      </c>
    </row>
    <row r="56" spans="1:15" x14ac:dyDescent="0.25">
      <c r="A56">
        <v>1</v>
      </c>
      <c r="B56" t="s">
        <v>15</v>
      </c>
      <c r="C56" t="s">
        <v>24</v>
      </c>
      <c r="D56" t="s">
        <v>17</v>
      </c>
      <c r="E56" t="s">
        <v>18</v>
      </c>
      <c r="F56" t="s">
        <v>19</v>
      </c>
      <c r="G56" t="s">
        <v>20</v>
      </c>
      <c r="J56" t="s">
        <v>17</v>
      </c>
      <c r="K56" t="str">
        <f>"1495577635984"</f>
        <v>1495577635984</v>
      </c>
      <c r="L56" t="str">
        <f>"17900716"</f>
        <v>17900716</v>
      </c>
      <c r="M56" t="s">
        <v>21</v>
      </c>
      <c r="N56" s="1">
        <v>42878.925694444442</v>
      </c>
      <c r="O56" t="s">
        <v>19</v>
      </c>
    </row>
    <row r="57" spans="1:15" x14ac:dyDescent="0.25">
      <c r="A57">
        <v>1</v>
      </c>
      <c r="B57" t="s">
        <v>15</v>
      </c>
      <c r="C57" t="s">
        <v>24</v>
      </c>
      <c r="D57" t="s">
        <v>17</v>
      </c>
      <c r="E57" t="s">
        <v>18</v>
      </c>
      <c r="F57" t="s">
        <v>19</v>
      </c>
      <c r="G57" t="s">
        <v>20</v>
      </c>
      <c r="J57" t="s">
        <v>17</v>
      </c>
      <c r="K57" t="str">
        <f>"1495577833880"</f>
        <v>1495577833880</v>
      </c>
      <c r="L57" t="str">
        <f>"17900548"</f>
        <v>17900548</v>
      </c>
      <c r="M57" t="s">
        <v>21</v>
      </c>
      <c r="N57" s="1">
        <v>42878.928472222222</v>
      </c>
      <c r="O57" t="s">
        <v>19</v>
      </c>
    </row>
    <row r="58" spans="1:15" x14ac:dyDescent="0.25">
      <c r="A58">
        <v>1</v>
      </c>
      <c r="B58" t="s">
        <v>15</v>
      </c>
      <c r="C58" t="s">
        <v>24</v>
      </c>
      <c r="D58" t="s">
        <v>17</v>
      </c>
      <c r="E58" t="s">
        <v>18</v>
      </c>
      <c r="F58" t="s">
        <v>19</v>
      </c>
      <c r="G58" t="s">
        <v>20</v>
      </c>
      <c r="J58" t="s">
        <v>17</v>
      </c>
      <c r="K58" t="str">
        <f>"1495578083650"</f>
        <v>1495578083650</v>
      </c>
      <c r="L58" t="str">
        <f>"179010268"</f>
        <v>179010268</v>
      </c>
      <c r="M58" t="s">
        <v>21</v>
      </c>
      <c r="N58" s="1">
        <v>42878.931250000001</v>
      </c>
      <c r="O58" t="s">
        <v>19</v>
      </c>
    </row>
    <row r="59" spans="1:15" x14ac:dyDescent="0.25">
      <c r="A59">
        <v>1</v>
      </c>
      <c r="B59" t="s">
        <v>15</v>
      </c>
      <c r="C59" t="s">
        <v>24</v>
      </c>
      <c r="D59" t="s">
        <v>17</v>
      </c>
      <c r="E59" t="s">
        <v>18</v>
      </c>
      <c r="F59" t="s">
        <v>19</v>
      </c>
      <c r="G59" t="s">
        <v>20</v>
      </c>
      <c r="J59" t="s">
        <v>17</v>
      </c>
      <c r="K59" t="str">
        <f>"1495578176260"</f>
        <v>1495578176260</v>
      </c>
      <c r="L59" t="str">
        <f>"179010296"</f>
        <v>179010296</v>
      </c>
      <c r="M59" t="s">
        <v>21</v>
      </c>
      <c r="N59" s="1">
        <v>42878.931944444441</v>
      </c>
      <c r="O59" t="s">
        <v>19</v>
      </c>
    </row>
    <row r="60" spans="1:15" x14ac:dyDescent="0.25">
      <c r="A60">
        <v>1</v>
      </c>
      <c r="B60" t="s">
        <v>15</v>
      </c>
      <c r="C60" t="s">
        <v>24</v>
      </c>
      <c r="D60" t="s">
        <v>17</v>
      </c>
      <c r="E60" t="s">
        <v>18</v>
      </c>
      <c r="F60" t="s">
        <v>19</v>
      </c>
      <c r="G60" t="s">
        <v>20</v>
      </c>
      <c r="J60" t="s">
        <v>17</v>
      </c>
      <c r="K60" t="str">
        <f>"17901430"</f>
        <v>17901430</v>
      </c>
      <c r="L60" t="str">
        <f>"17901430"</f>
        <v>17901430</v>
      </c>
      <c r="M60" t="s">
        <v>21</v>
      </c>
      <c r="N60" s="1">
        <v>42878.933333333334</v>
      </c>
      <c r="O60" t="s">
        <v>19</v>
      </c>
    </row>
    <row r="61" spans="1:15" x14ac:dyDescent="0.25">
      <c r="A61">
        <v>1</v>
      </c>
      <c r="B61" t="s">
        <v>15</v>
      </c>
      <c r="C61" t="s">
        <v>24</v>
      </c>
      <c r="D61" t="s">
        <v>17</v>
      </c>
      <c r="E61" t="s">
        <v>18</v>
      </c>
      <c r="F61" t="s">
        <v>19</v>
      </c>
      <c r="G61" t="s">
        <v>20</v>
      </c>
      <c r="J61" t="s">
        <v>17</v>
      </c>
      <c r="K61" t="str">
        <f>"179014126"</f>
        <v>179014126</v>
      </c>
      <c r="L61" t="str">
        <f>"179014126"</f>
        <v>179014126</v>
      </c>
      <c r="M61" t="s">
        <v>21</v>
      </c>
      <c r="N61" s="1">
        <v>42878.934027777781</v>
      </c>
      <c r="O61" t="s">
        <v>19</v>
      </c>
    </row>
    <row r="62" spans="1:15" x14ac:dyDescent="0.25">
      <c r="A62">
        <v>1</v>
      </c>
      <c r="B62" t="s">
        <v>15</v>
      </c>
      <c r="C62" t="s">
        <v>24</v>
      </c>
      <c r="D62" t="s">
        <v>17</v>
      </c>
      <c r="E62" t="s">
        <v>18</v>
      </c>
      <c r="F62" t="s">
        <v>19</v>
      </c>
      <c r="G62" t="s">
        <v>20</v>
      </c>
      <c r="J62" t="s">
        <v>17</v>
      </c>
      <c r="K62" t="str">
        <f>"1495578514884"</f>
        <v>1495578514884</v>
      </c>
      <c r="L62" t="str">
        <f>"179009221"</f>
        <v>179009221</v>
      </c>
      <c r="M62" t="s">
        <v>21</v>
      </c>
      <c r="N62" s="1">
        <v>42878.936111111114</v>
      </c>
      <c r="O62" t="s">
        <v>19</v>
      </c>
    </row>
    <row r="63" spans="1:15" x14ac:dyDescent="0.25">
      <c r="A63">
        <v>1</v>
      </c>
      <c r="B63" t="s">
        <v>15</v>
      </c>
      <c r="C63" t="s">
        <v>24</v>
      </c>
      <c r="D63" t="s">
        <v>17</v>
      </c>
      <c r="E63" t="s">
        <v>18</v>
      </c>
      <c r="F63" t="s">
        <v>19</v>
      </c>
      <c r="G63" t="s">
        <v>20</v>
      </c>
      <c r="J63" t="s">
        <v>17</v>
      </c>
      <c r="K63" t="str">
        <f>"1495578610813"</f>
        <v>1495578610813</v>
      </c>
      <c r="L63" t="str">
        <f>"179005280"</f>
        <v>179005280</v>
      </c>
      <c r="M63" t="s">
        <v>21</v>
      </c>
      <c r="N63" s="1">
        <v>42878.9375</v>
      </c>
      <c r="O63" t="s">
        <v>19</v>
      </c>
    </row>
    <row r="64" spans="1:15" x14ac:dyDescent="0.25">
      <c r="A64">
        <v>1</v>
      </c>
      <c r="B64" t="s">
        <v>15</v>
      </c>
      <c r="C64" t="s">
        <v>24</v>
      </c>
      <c r="D64" t="s">
        <v>17</v>
      </c>
      <c r="E64" t="s">
        <v>18</v>
      </c>
      <c r="F64" t="s">
        <v>19</v>
      </c>
      <c r="G64" t="s">
        <v>20</v>
      </c>
      <c r="J64" t="s">
        <v>17</v>
      </c>
      <c r="K64" t="str">
        <f>"179014178"</f>
        <v>179014178</v>
      </c>
      <c r="L64" t="str">
        <f>"179014178"</f>
        <v>179014178</v>
      </c>
      <c r="M64" t="s">
        <v>21</v>
      </c>
      <c r="N64" s="1">
        <v>42878.938194444447</v>
      </c>
      <c r="O64" t="s">
        <v>19</v>
      </c>
    </row>
    <row r="65" spans="1:15" x14ac:dyDescent="0.25">
      <c r="A65">
        <v>1</v>
      </c>
      <c r="B65" t="s">
        <v>15</v>
      </c>
      <c r="C65" t="s">
        <v>23</v>
      </c>
      <c r="D65" t="s">
        <v>17</v>
      </c>
      <c r="E65" t="s">
        <v>18</v>
      </c>
      <c r="F65" t="s">
        <v>19</v>
      </c>
      <c r="G65" t="s">
        <v>20</v>
      </c>
      <c r="J65" t="s">
        <v>17</v>
      </c>
      <c r="K65" t="str">
        <f>"66080714"</f>
        <v>66080714</v>
      </c>
      <c r="L65" t="str">
        <f>"66080714"</f>
        <v>66080714</v>
      </c>
      <c r="M65" t="s">
        <v>21</v>
      </c>
      <c r="N65" s="1">
        <v>42881.910416666666</v>
      </c>
      <c r="O65" t="s">
        <v>19</v>
      </c>
    </row>
    <row r="66" spans="1:15" x14ac:dyDescent="0.25">
      <c r="A66">
        <v>1</v>
      </c>
      <c r="B66" t="s">
        <v>15</v>
      </c>
      <c r="C66" t="s">
        <v>24</v>
      </c>
      <c r="D66" t="s">
        <v>17</v>
      </c>
      <c r="E66" t="s">
        <v>18</v>
      </c>
      <c r="F66" t="s">
        <v>19</v>
      </c>
      <c r="G66" t="s">
        <v>20</v>
      </c>
      <c r="J66" t="s">
        <v>17</v>
      </c>
      <c r="K66" t="str">
        <f>"179014125"</f>
        <v>179014125</v>
      </c>
      <c r="L66" t="str">
        <f>"179014125"</f>
        <v>179014125</v>
      </c>
      <c r="M66" t="s">
        <v>21</v>
      </c>
      <c r="N66" s="1">
        <v>42895.927777777775</v>
      </c>
      <c r="O66" t="s">
        <v>19</v>
      </c>
    </row>
    <row r="67" spans="1:15" x14ac:dyDescent="0.25">
      <c r="A67">
        <v>1</v>
      </c>
      <c r="B67" t="s">
        <v>15</v>
      </c>
      <c r="C67" t="s">
        <v>24</v>
      </c>
      <c r="D67" t="s">
        <v>17</v>
      </c>
      <c r="E67" t="s">
        <v>18</v>
      </c>
      <c r="F67" t="s">
        <v>19</v>
      </c>
      <c r="G67" t="s">
        <v>20</v>
      </c>
      <c r="J67" t="s">
        <v>17</v>
      </c>
      <c r="K67" t="str">
        <f>"179014270"</f>
        <v>179014270</v>
      </c>
      <c r="L67" t="str">
        <f>"179014270"</f>
        <v>179014270</v>
      </c>
      <c r="M67" t="s">
        <v>21</v>
      </c>
      <c r="N67" s="1">
        <v>42895.930555555555</v>
      </c>
      <c r="O67" t="s">
        <v>19</v>
      </c>
    </row>
    <row r="68" spans="1:15" x14ac:dyDescent="0.25">
      <c r="A68">
        <v>1</v>
      </c>
      <c r="B68" t="s">
        <v>15</v>
      </c>
      <c r="C68" t="s">
        <v>24</v>
      </c>
      <c r="D68" t="s">
        <v>17</v>
      </c>
      <c r="E68" t="s">
        <v>18</v>
      </c>
      <c r="F68" t="s">
        <v>19</v>
      </c>
      <c r="G68" t="s">
        <v>20</v>
      </c>
      <c r="J68" t="s">
        <v>17</v>
      </c>
      <c r="K68" t="str">
        <f>"179014127"</f>
        <v>179014127</v>
      </c>
      <c r="L68" t="str">
        <f>"179014127"</f>
        <v>179014127</v>
      </c>
      <c r="M68" t="s">
        <v>21</v>
      </c>
      <c r="N68" s="1">
        <v>42895.931944444441</v>
      </c>
      <c r="O68" t="s">
        <v>19</v>
      </c>
    </row>
    <row r="69" spans="1:15" x14ac:dyDescent="0.25">
      <c r="A69">
        <v>1</v>
      </c>
      <c r="B69" t="s">
        <v>15</v>
      </c>
      <c r="C69" t="s">
        <v>24</v>
      </c>
      <c r="D69" t="s">
        <v>17</v>
      </c>
      <c r="E69" t="s">
        <v>18</v>
      </c>
      <c r="F69" t="s">
        <v>19</v>
      </c>
      <c r="G69" t="s">
        <v>20</v>
      </c>
      <c r="J69" t="s">
        <v>17</v>
      </c>
      <c r="K69" t="str">
        <f>"179014266"</f>
        <v>179014266</v>
      </c>
      <c r="L69" t="str">
        <f>"179014266"</f>
        <v>179014266</v>
      </c>
      <c r="M69" t="s">
        <v>21</v>
      </c>
      <c r="N69" s="1">
        <v>42895.932638888888</v>
      </c>
      <c r="O69" t="s">
        <v>19</v>
      </c>
    </row>
    <row r="70" spans="1:15" x14ac:dyDescent="0.25">
      <c r="A70">
        <v>1</v>
      </c>
      <c r="B70" t="s">
        <v>15</v>
      </c>
      <c r="C70" t="s">
        <v>24</v>
      </c>
      <c r="D70" t="s">
        <v>17</v>
      </c>
      <c r="E70" t="s">
        <v>18</v>
      </c>
      <c r="F70" t="s">
        <v>19</v>
      </c>
      <c r="G70" t="s">
        <v>20</v>
      </c>
      <c r="J70" t="s">
        <v>17</v>
      </c>
      <c r="K70" t="str">
        <f>"179014283"</f>
        <v>179014283</v>
      </c>
      <c r="L70" t="str">
        <f>"179014283"</f>
        <v>179014283</v>
      </c>
      <c r="M70" t="s">
        <v>21</v>
      </c>
      <c r="N70" s="1">
        <v>42895.933333333334</v>
      </c>
      <c r="O70" t="s">
        <v>19</v>
      </c>
    </row>
    <row r="71" spans="1:15" x14ac:dyDescent="0.25">
      <c r="A71">
        <v>1</v>
      </c>
      <c r="B71" t="s">
        <v>15</v>
      </c>
      <c r="C71" t="s">
        <v>24</v>
      </c>
      <c r="D71" t="s">
        <v>17</v>
      </c>
      <c r="E71" t="s">
        <v>18</v>
      </c>
      <c r="F71" t="s">
        <v>19</v>
      </c>
      <c r="G71" t="s">
        <v>20</v>
      </c>
      <c r="J71" t="s">
        <v>17</v>
      </c>
      <c r="K71" t="str">
        <f>"17901480"</f>
        <v>17901480</v>
      </c>
      <c r="L71" t="str">
        <f>"17901480"</f>
        <v>17901480</v>
      </c>
      <c r="M71" t="s">
        <v>21</v>
      </c>
      <c r="N71" s="1">
        <v>42895.936805555553</v>
      </c>
      <c r="O71" t="s">
        <v>19</v>
      </c>
    </row>
    <row r="72" spans="1:15" x14ac:dyDescent="0.25">
      <c r="A72">
        <v>1</v>
      </c>
      <c r="B72" t="s">
        <v>15</v>
      </c>
      <c r="C72" t="s">
        <v>24</v>
      </c>
      <c r="D72" t="s">
        <v>17</v>
      </c>
      <c r="E72" t="s">
        <v>18</v>
      </c>
      <c r="F72" t="s">
        <v>19</v>
      </c>
      <c r="G72" t="s">
        <v>20</v>
      </c>
      <c r="J72" t="s">
        <v>17</v>
      </c>
      <c r="K72" t="str">
        <f>"179014200"</f>
        <v>179014200</v>
      </c>
      <c r="L72" t="str">
        <f>"179014200"</f>
        <v>179014200</v>
      </c>
      <c r="M72" t="s">
        <v>21</v>
      </c>
      <c r="N72" s="1">
        <v>42895.939583333333</v>
      </c>
      <c r="O72" t="s">
        <v>19</v>
      </c>
    </row>
    <row r="73" spans="1:15" x14ac:dyDescent="0.25">
      <c r="A73">
        <v>1</v>
      </c>
      <c r="B73" t="s">
        <v>15</v>
      </c>
      <c r="C73" t="s">
        <v>24</v>
      </c>
      <c r="D73" t="s">
        <v>17</v>
      </c>
      <c r="E73" t="s">
        <v>18</v>
      </c>
      <c r="F73" t="s">
        <v>19</v>
      </c>
      <c r="G73" t="s">
        <v>20</v>
      </c>
      <c r="J73" t="s">
        <v>17</v>
      </c>
      <c r="K73" t="str">
        <f>"17901064"</f>
        <v>17901064</v>
      </c>
      <c r="L73" t="str">
        <f>"17901064"</f>
        <v>17901064</v>
      </c>
      <c r="M73" t="s">
        <v>21</v>
      </c>
      <c r="N73" s="1">
        <v>42895.94027777778</v>
      </c>
      <c r="O73" t="s">
        <v>19</v>
      </c>
    </row>
    <row r="74" spans="1:15" x14ac:dyDescent="0.25">
      <c r="A74">
        <v>1</v>
      </c>
      <c r="B74" t="s">
        <v>15</v>
      </c>
      <c r="C74" t="s">
        <v>24</v>
      </c>
      <c r="D74" t="s">
        <v>17</v>
      </c>
      <c r="E74" t="s">
        <v>18</v>
      </c>
      <c r="F74" t="s">
        <v>19</v>
      </c>
      <c r="G74" t="s">
        <v>20</v>
      </c>
      <c r="J74" t="s">
        <v>17</v>
      </c>
      <c r="K74" t="str">
        <f>"17901527"</f>
        <v>17901527</v>
      </c>
      <c r="L74" t="str">
        <f>"17901527"</f>
        <v>17901527</v>
      </c>
      <c r="M74" t="s">
        <v>21</v>
      </c>
      <c r="N74" s="1">
        <v>42895.943749999999</v>
      </c>
      <c r="O74" t="s">
        <v>19</v>
      </c>
    </row>
    <row r="75" spans="1:15" x14ac:dyDescent="0.25">
      <c r="A75">
        <v>1</v>
      </c>
      <c r="B75" t="s">
        <v>15</v>
      </c>
      <c r="C75" t="s">
        <v>24</v>
      </c>
      <c r="D75" t="s">
        <v>17</v>
      </c>
      <c r="E75" t="s">
        <v>18</v>
      </c>
      <c r="F75" t="s">
        <v>19</v>
      </c>
      <c r="G75" t="s">
        <v>20</v>
      </c>
      <c r="J75" t="s">
        <v>17</v>
      </c>
      <c r="K75" t="str">
        <f>"767707254"</f>
        <v>767707254</v>
      </c>
      <c r="L75" t="str">
        <f>"767707254"</f>
        <v>767707254</v>
      </c>
      <c r="M75" t="s">
        <v>21</v>
      </c>
      <c r="N75" s="1">
        <v>42896.788194444445</v>
      </c>
      <c r="O75" t="s">
        <v>19</v>
      </c>
    </row>
    <row r="76" spans="1:15" x14ac:dyDescent="0.25">
      <c r="A76">
        <v>1</v>
      </c>
      <c r="B76" t="s">
        <v>15</v>
      </c>
      <c r="C76" t="s">
        <v>24</v>
      </c>
      <c r="D76" t="s">
        <v>17</v>
      </c>
      <c r="E76" t="s">
        <v>18</v>
      </c>
      <c r="F76" t="s">
        <v>19</v>
      </c>
      <c r="G76" t="s">
        <v>20</v>
      </c>
      <c r="J76" t="s">
        <v>17</v>
      </c>
      <c r="K76" t="str">
        <f>"767710231"</f>
        <v>767710231</v>
      </c>
      <c r="L76" t="str">
        <f>"767710231"</f>
        <v>767710231</v>
      </c>
      <c r="M76" t="s">
        <v>21</v>
      </c>
      <c r="N76" s="1">
        <v>42896.802083333336</v>
      </c>
      <c r="O76" t="s">
        <v>19</v>
      </c>
    </row>
    <row r="77" spans="1:15" x14ac:dyDescent="0.25">
      <c r="A77">
        <v>1</v>
      </c>
      <c r="B77" t="s">
        <v>15</v>
      </c>
      <c r="C77" t="s">
        <v>24</v>
      </c>
      <c r="D77" t="s">
        <v>17</v>
      </c>
      <c r="E77" t="s">
        <v>18</v>
      </c>
      <c r="F77" t="s">
        <v>19</v>
      </c>
      <c r="G77" t="s">
        <v>20</v>
      </c>
      <c r="J77" t="s">
        <v>17</v>
      </c>
      <c r="K77" t="str">
        <f>"179001240"</f>
        <v>179001240</v>
      </c>
      <c r="L77" t="str">
        <f>"179001240"</f>
        <v>179001240</v>
      </c>
      <c r="M77" t="s">
        <v>21</v>
      </c>
      <c r="N77" s="1">
        <v>42930.947916666664</v>
      </c>
      <c r="O77" t="s">
        <v>19</v>
      </c>
    </row>
    <row r="78" spans="1:15" x14ac:dyDescent="0.25">
      <c r="A78">
        <v>1</v>
      </c>
      <c r="B78" t="s">
        <v>15</v>
      </c>
      <c r="C78" t="s">
        <v>24</v>
      </c>
      <c r="D78" t="s">
        <v>17</v>
      </c>
      <c r="E78" t="s">
        <v>18</v>
      </c>
      <c r="F78" t="s">
        <v>19</v>
      </c>
      <c r="G78" t="s">
        <v>20</v>
      </c>
      <c r="J78" t="s">
        <v>17</v>
      </c>
      <c r="K78" t="str">
        <f>"179005294"</f>
        <v>179005294</v>
      </c>
      <c r="L78" t="str">
        <f>"179005294"</f>
        <v>179005294</v>
      </c>
      <c r="M78" t="s">
        <v>21</v>
      </c>
      <c r="N78" s="1">
        <v>42930.948611111111</v>
      </c>
      <c r="O78" t="s">
        <v>19</v>
      </c>
    </row>
    <row r="79" spans="1:15" x14ac:dyDescent="0.25">
      <c r="A79">
        <v>1</v>
      </c>
      <c r="B79" t="s">
        <v>15</v>
      </c>
      <c r="C79" t="s">
        <v>24</v>
      </c>
      <c r="D79" t="s">
        <v>17</v>
      </c>
      <c r="E79" t="s">
        <v>18</v>
      </c>
      <c r="F79" t="s">
        <v>19</v>
      </c>
      <c r="G79" t="s">
        <v>20</v>
      </c>
      <c r="J79" t="s">
        <v>17</v>
      </c>
      <c r="K79" t="str">
        <f>"769009292"</f>
        <v>769009292</v>
      </c>
      <c r="L79" t="str">
        <f>"769009292"</f>
        <v>769009292</v>
      </c>
      <c r="M79" t="s">
        <v>21</v>
      </c>
      <c r="N79" s="1">
        <v>42959.737500000003</v>
      </c>
      <c r="O79" t="s">
        <v>19</v>
      </c>
    </row>
    <row r="80" spans="1:15" x14ac:dyDescent="0.25">
      <c r="A80">
        <v>1</v>
      </c>
      <c r="B80" t="s">
        <v>15</v>
      </c>
      <c r="C80" t="s">
        <v>24</v>
      </c>
      <c r="D80" t="s">
        <v>17</v>
      </c>
      <c r="E80" t="s">
        <v>18</v>
      </c>
      <c r="F80" t="s">
        <v>19</v>
      </c>
      <c r="G80" t="s">
        <v>20</v>
      </c>
      <c r="J80" t="s">
        <v>17</v>
      </c>
      <c r="K80" t="str">
        <f>"76900716"</f>
        <v>76900716</v>
      </c>
      <c r="L80" t="str">
        <f>"76900716"</f>
        <v>76900716</v>
      </c>
      <c r="M80" t="s">
        <v>21</v>
      </c>
      <c r="N80" s="1">
        <v>42959.738888888889</v>
      </c>
      <c r="O80" t="s">
        <v>19</v>
      </c>
    </row>
    <row r="81" spans="1:15" x14ac:dyDescent="0.25">
      <c r="A81">
        <v>1</v>
      </c>
      <c r="B81" t="s">
        <v>15</v>
      </c>
      <c r="C81" t="s">
        <v>24</v>
      </c>
      <c r="D81" t="s">
        <v>17</v>
      </c>
      <c r="E81" t="s">
        <v>18</v>
      </c>
      <c r="F81" t="s">
        <v>19</v>
      </c>
      <c r="G81" t="s">
        <v>20</v>
      </c>
      <c r="J81" t="s">
        <v>17</v>
      </c>
      <c r="K81" t="str">
        <f>"767709291"</f>
        <v>767709291</v>
      </c>
      <c r="L81" t="str">
        <f>"767709291"</f>
        <v>767709291</v>
      </c>
      <c r="M81" t="s">
        <v>21</v>
      </c>
      <c r="N81" s="1">
        <v>42987.907638888886</v>
      </c>
      <c r="O81" t="s">
        <v>19</v>
      </c>
    </row>
    <row r="82" spans="1:15" x14ac:dyDescent="0.25">
      <c r="A82">
        <v>1</v>
      </c>
      <c r="B82" t="s">
        <v>15</v>
      </c>
      <c r="C82" t="s">
        <v>24</v>
      </c>
      <c r="D82" t="s">
        <v>17</v>
      </c>
      <c r="E82" t="s">
        <v>18</v>
      </c>
      <c r="F82" t="s">
        <v>19</v>
      </c>
      <c r="G82" t="s">
        <v>20</v>
      </c>
      <c r="J82" t="s">
        <v>17</v>
      </c>
      <c r="K82" t="str">
        <f>"767709293"</f>
        <v>767709293</v>
      </c>
      <c r="L82" t="str">
        <f>"767709293"</f>
        <v>767709293</v>
      </c>
      <c r="M82" t="s">
        <v>21</v>
      </c>
      <c r="N82" s="1">
        <v>42987.908333333333</v>
      </c>
      <c r="O82" t="s">
        <v>19</v>
      </c>
    </row>
    <row r="83" spans="1:15" x14ac:dyDescent="0.25">
      <c r="A83">
        <v>1</v>
      </c>
      <c r="B83" t="s">
        <v>15</v>
      </c>
      <c r="C83" t="s">
        <v>29</v>
      </c>
      <c r="D83" t="s">
        <v>17</v>
      </c>
      <c r="E83" t="s">
        <v>18</v>
      </c>
      <c r="F83" t="s">
        <v>19</v>
      </c>
      <c r="G83" t="s">
        <v>20</v>
      </c>
      <c r="J83" t="s">
        <v>17</v>
      </c>
      <c r="K83" t="str">
        <f>"41051400"</f>
        <v>41051400</v>
      </c>
      <c r="L83" t="str">
        <f>"41051400"</f>
        <v>41051400</v>
      </c>
      <c r="M83" t="s">
        <v>21</v>
      </c>
      <c r="N83" s="1">
        <v>43007.829861111109</v>
      </c>
      <c r="O83" t="s">
        <v>19</v>
      </c>
    </row>
    <row r="84" spans="1:15" x14ac:dyDescent="0.25">
      <c r="A84">
        <v>1</v>
      </c>
      <c r="B84" t="s">
        <v>15</v>
      </c>
      <c r="C84" t="s">
        <v>24</v>
      </c>
      <c r="D84" t="s">
        <v>17</v>
      </c>
      <c r="E84" t="s">
        <v>18</v>
      </c>
      <c r="F84" t="s">
        <v>19</v>
      </c>
      <c r="G84" t="s">
        <v>20</v>
      </c>
      <c r="J84" t="s">
        <v>17</v>
      </c>
      <c r="K84" t="str">
        <f>"767710306"</f>
        <v>767710306</v>
      </c>
      <c r="L84" t="str">
        <f>"767710306"</f>
        <v>767710306</v>
      </c>
      <c r="M84" t="s">
        <v>21</v>
      </c>
      <c r="N84" s="1">
        <v>43012.934027777781</v>
      </c>
      <c r="O84" t="s">
        <v>19</v>
      </c>
    </row>
    <row r="85" spans="1:15" x14ac:dyDescent="0.25">
      <c r="A85">
        <v>1</v>
      </c>
      <c r="B85" t="s">
        <v>15</v>
      </c>
      <c r="C85" t="s">
        <v>24</v>
      </c>
      <c r="D85" t="s">
        <v>17</v>
      </c>
      <c r="E85" t="s">
        <v>18</v>
      </c>
      <c r="F85" t="s">
        <v>19</v>
      </c>
      <c r="G85" t="s">
        <v>20</v>
      </c>
      <c r="J85" t="s">
        <v>17</v>
      </c>
      <c r="K85" t="str">
        <f>"767709292"</f>
        <v>767709292</v>
      </c>
      <c r="L85" t="str">
        <f>"767709292"</f>
        <v>767709292</v>
      </c>
      <c r="M85" t="s">
        <v>21</v>
      </c>
      <c r="N85" s="1">
        <v>43012.9375</v>
      </c>
      <c r="O85" t="s">
        <v>19</v>
      </c>
    </row>
    <row r="86" spans="1:15" x14ac:dyDescent="0.25">
      <c r="A86">
        <v>1</v>
      </c>
      <c r="B86" t="s">
        <v>15</v>
      </c>
      <c r="C86" t="s">
        <v>24</v>
      </c>
      <c r="D86" t="s">
        <v>17</v>
      </c>
      <c r="E86" t="s">
        <v>18</v>
      </c>
      <c r="F86" t="s">
        <v>19</v>
      </c>
      <c r="G86" t="s">
        <v>20</v>
      </c>
      <c r="J86" t="s">
        <v>17</v>
      </c>
      <c r="K86" t="str">
        <f>"767714191"</f>
        <v>767714191</v>
      </c>
      <c r="L86" t="str">
        <f>"767714191"</f>
        <v>767714191</v>
      </c>
      <c r="M86" t="s">
        <v>21</v>
      </c>
      <c r="N86" s="1">
        <v>43012.944444444445</v>
      </c>
      <c r="O86" t="s">
        <v>19</v>
      </c>
    </row>
    <row r="87" spans="1:15" x14ac:dyDescent="0.25">
      <c r="A87">
        <v>1</v>
      </c>
      <c r="B87" t="s">
        <v>15</v>
      </c>
      <c r="C87" t="s">
        <v>24</v>
      </c>
      <c r="D87" t="s">
        <v>17</v>
      </c>
      <c r="E87" t="s">
        <v>18</v>
      </c>
      <c r="F87" t="s">
        <v>19</v>
      </c>
      <c r="G87" t="s">
        <v>20</v>
      </c>
      <c r="J87" t="s">
        <v>17</v>
      </c>
      <c r="K87" t="str">
        <f>"769014266"</f>
        <v>769014266</v>
      </c>
      <c r="L87" t="str">
        <f>"769014266"</f>
        <v>769014266</v>
      </c>
      <c r="M87" t="s">
        <v>21</v>
      </c>
      <c r="N87" s="1">
        <v>43045.724999999999</v>
      </c>
      <c r="O87" t="s">
        <v>19</v>
      </c>
    </row>
    <row r="88" spans="1:15" x14ac:dyDescent="0.25">
      <c r="A88">
        <v>1</v>
      </c>
      <c r="B88" t="s">
        <v>15</v>
      </c>
      <c r="C88" t="s">
        <v>24</v>
      </c>
      <c r="D88" t="s">
        <v>17</v>
      </c>
      <c r="E88" t="s">
        <v>18</v>
      </c>
      <c r="F88" t="s">
        <v>19</v>
      </c>
      <c r="G88" t="s">
        <v>20</v>
      </c>
      <c r="J88" t="s">
        <v>17</v>
      </c>
      <c r="K88" t="str">
        <f>"767714129"</f>
        <v>767714129</v>
      </c>
      <c r="L88" t="str">
        <f>"767714129"</f>
        <v>767714129</v>
      </c>
      <c r="M88" t="s">
        <v>21</v>
      </c>
      <c r="N88" s="1">
        <v>43064.713888888888</v>
      </c>
      <c r="O88" t="s">
        <v>19</v>
      </c>
    </row>
    <row r="89" spans="1:15" x14ac:dyDescent="0.25">
      <c r="A89">
        <v>1</v>
      </c>
      <c r="B89" t="s">
        <v>15</v>
      </c>
      <c r="C89" t="s">
        <v>24</v>
      </c>
      <c r="D89" t="s">
        <v>17</v>
      </c>
      <c r="E89" t="s">
        <v>18</v>
      </c>
      <c r="F89" t="s">
        <v>19</v>
      </c>
      <c r="G89" t="s">
        <v>20</v>
      </c>
      <c r="J89" t="s">
        <v>17</v>
      </c>
      <c r="K89" t="str">
        <f>"347714125"</f>
        <v>347714125</v>
      </c>
      <c r="L89" t="str">
        <f>"347714125"</f>
        <v>347714125</v>
      </c>
      <c r="M89" t="s">
        <v>21</v>
      </c>
      <c r="N89" s="1">
        <v>43083.912499999999</v>
      </c>
      <c r="O89" t="s">
        <v>19</v>
      </c>
    </row>
    <row r="90" spans="1:15" x14ac:dyDescent="0.25">
      <c r="A90">
        <v>1</v>
      </c>
      <c r="B90" t="s">
        <v>15</v>
      </c>
      <c r="C90" t="s">
        <v>24</v>
      </c>
      <c r="D90" t="s">
        <v>17</v>
      </c>
      <c r="E90" t="s">
        <v>18</v>
      </c>
      <c r="F90" t="s">
        <v>19</v>
      </c>
      <c r="G90" t="s">
        <v>20</v>
      </c>
      <c r="J90" t="s">
        <v>17</v>
      </c>
      <c r="K90" t="str">
        <f>"767710299"</f>
        <v>767710299</v>
      </c>
      <c r="L90" t="str">
        <f>"767710299"</f>
        <v>767710299</v>
      </c>
      <c r="M90" t="s">
        <v>21</v>
      </c>
      <c r="N90" s="1">
        <v>43097.684027777781</v>
      </c>
      <c r="O90" t="s">
        <v>19</v>
      </c>
    </row>
    <row r="91" spans="1:15" x14ac:dyDescent="0.25">
      <c r="A91">
        <v>1</v>
      </c>
      <c r="B91" t="s">
        <v>15</v>
      </c>
      <c r="C91" t="s">
        <v>24</v>
      </c>
      <c r="D91" t="s">
        <v>17</v>
      </c>
      <c r="E91" t="s">
        <v>18</v>
      </c>
      <c r="F91" t="s">
        <v>19</v>
      </c>
      <c r="G91" t="s">
        <v>20</v>
      </c>
      <c r="J91" t="s">
        <v>17</v>
      </c>
      <c r="K91" t="str">
        <f>"76771025"</f>
        <v>76771025</v>
      </c>
      <c r="L91" t="str">
        <f>"76771025"</f>
        <v>76771025</v>
      </c>
      <c r="M91" t="s">
        <v>21</v>
      </c>
      <c r="N91" s="1">
        <v>43097.68472222222</v>
      </c>
      <c r="O91" t="s">
        <v>19</v>
      </c>
    </row>
    <row r="92" spans="1:15" x14ac:dyDescent="0.25">
      <c r="A92">
        <v>1</v>
      </c>
      <c r="B92" t="s">
        <v>15</v>
      </c>
      <c r="C92" t="s">
        <v>24</v>
      </c>
      <c r="D92" t="s">
        <v>17</v>
      </c>
      <c r="E92" t="s">
        <v>18</v>
      </c>
      <c r="F92" t="s">
        <v>19</v>
      </c>
      <c r="G92" t="s">
        <v>20</v>
      </c>
      <c r="J92" t="s">
        <v>17</v>
      </c>
      <c r="K92" t="str">
        <f>"767709286"</f>
        <v>767709286</v>
      </c>
      <c r="L92" t="str">
        <f>"767709286"</f>
        <v>767709286</v>
      </c>
      <c r="M92" t="s">
        <v>21</v>
      </c>
      <c r="N92" s="1">
        <v>43112.768055555556</v>
      </c>
      <c r="O92" t="s">
        <v>19</v>
      </c>
    </row>
    <row r="93" spans="1:15" x14ac:dyDescent="0.25">
      <c r="A93">
        <v>1</v>
      </c>
      <c r="B93" t="s">
        <v>15</v>
      </c>
      <c r="C93" t="s">
        <v>30</v>
      </c>
      <c r="D93" t="s">
        <v>17</v>
      </c>
      <c r="E93" t="s">
        <v>18</v>
      </c>
      <c r="F93" t="s">
        <v>19</v>
      </c>
      <c r="G93" t="s">
        <v>20</v>
      </c>
      <c r="J93" t="s">
        <v>17</v>
      </c>
      <c r="K93" t="str">
        <f>"6686996011462"</f>
        <v>6686996011462</v>
      </c>
      <c r="L93" t="str">
        <f>"54741146"</f>
        <v>54741146</v>
      </c>
      <c r="M93" t="s">
        <v>21</v>
      </c>
      <c r="N93" s="1">
        <v>43216.676388888889</v>
      </c>
      <c r="O93" t="s">
        <v>19</v>
      </c>
    </row>
    <row r="94" spans="1:15" x14ac:dyDescent="0.25">
      <c r="A94">
        <v>1</v>
      </c>
      <c r="B94" t="s">
        <v>15</v>
      </c>
      <c r="C94" t="s">
        <v>27</v>
      </c>
      <c r="D94" t="s">
        <v>17</v>
      </c>
      <c r="E94" t="s">
        <v>18</v>
      </c>
      <c r="F94" t="s">
        <v>19</v>
      </c>
      <c r="G94" t="s">
        <v>20</v>
      </c>
      <c r="J94" t="s">
        <v>17</v>
      </c>
      <c r="K94" t="str">
        <f>"275105247"</f>
        <v>275105247</v>
      </c>
      <c r="L94" t="str">
        <f>"275105247"</f>
        <v>275105247</v>
      </c>
      <c r="M94" t="s">
        <v>21</v>
      </c>
      <c r="N94" s="1">
        <v>43236.722916666666</v>
      </c>
      <c r="O94" t="s">
        <v>19</v>
      </c>
    </row>
    <row r="95" spans="1:15" x14ac:dyDescent="0.25">
      <c r="A95">
        <v>1</v>
      </c>
      <c r="B95" t="s">
        <v>15</v>
      </c>
      <c r="C95" t="s">
        <v>29</v>
      </c>
      <c r="D95" t="s">
        <v>17</v>
      </c>
      <c r="E95" t="s">
        <v>18</v>
      </c>
      <c r="F95" t="s">
        <v>19</v>
      </c>
      <c r="G95" t="s">
        <v>20</v>
      </c>
      <c r="J95" t="s">
        <v>17</v>
      </c>
      <c r="K95" t="str">
        <f>"49051430"</f>
        <v>49051430</v>
      </c>
      <c r="L95" t="str">
        <f>"49051430"</f>
        <v>49051430</v>
      </c>
      <c r="M95" t="s">
        <v>21</v>
      </c>
      <c r="N95" s="1">
        <v>43237.990972222222</v>
      </c>
      <c r="O95" t="s">
        <v>19</v>
      </c>
    </row>
    <row r="96" spans="1:15" x14ac:dyDescent="0.25">
      <c r="A96">
        <v>1</v>
      </c>
      <c r="B96" t="s">
        <v>15</v>
      </c>
      <c r="C96" t="s">
        <v>29</v>
      </c>
      <c r="D96" t="s">
        <v>17</v>
      </c>
      <c r="E96" t="s">
        <v>18</v>
      </c>
      <c r="F96" t="s">
        <v>19</v>
      </c>
      <c r="G96" t="s">
        <v>20</v>
      </c>
      <c r="J96" t="s">
        <v>17</v>
      </c>
      <c r="K96" t="str">
        <f>"49051447"</f>
        <v>49051447</v>
      </c>
      <c r="L96" t="str">
        <f>"49051447"</f>
        <v>49051447</v>
      </c>
      <c r="M96" t="s">
        <v>21</v>
      </c>
      <c r="N96" s="1">
        <v>43237.990972222222</v>
      </c>
      <c r="O96" t="s">
        <v>19</v>
      </c>
    </row>
    <row r="97" spans="1:15" x14ac:dyDescent="0.25">
      <c r="A97">
        <v>1</v>
      </c>
      <c r="B97" t="s">
        <v>15</v>
      </c>
      <c r="C97" t="s">
        <v>30</v>
      </c>
      <c r="D97" t="s">
        <v>17</v>
      </c>
      <c r="E97" t="s">
        <v>18</v>
      </c>
      <c r="F97" t="s">
        <v>19</v>
      </c>
      <c r="G97" t="s">
        <v>20</v>
      </c>
      <c r="J97" t="s">
        <v>17</v>
      </c>
      <c r="K97" t="str">
        <f>"54740392"</f>
        <v>54740392</v>
      </c>
      <c r="L97" t="str">
        <f>"54740392"</f>
        <v>54740392</v>
      </c>
      <c r="M97" t="s">
        <v>21</v>
      </c>
      <c r="N97" s="1">
        <v>43257.661805555559</v>
      </c>
      <c r="O97" t="s">
        <v>19</v>
      </c>
    </row>
    <row r="98" spans="1:15" x14ac:dyDescent="0.25">
      <c r="A98">
        <v>1</v>
      </c>
      <c r="B98" t="s">
        <v>15</v>
      </c>
      <c r="C98" t="s">
        <v>29</v>
      </c>
      <c r="D98" t="s">
        <v>17</v>
      </c>
      <c r="E98" t="s">
        <v>18</v>
      </c>
      <c r="F98" t="s">
        <v>19</v>
      </c>
      <c r="G98" t="s">
        <v>20</v>
      </c>
      <c r="J98" t="s">
        <v>17</v>
      </c>
      <c r="K98" t="str">
        <f>"88051447"</f>
        <v>88051447</v>
      </c>
      <c r="L98" t="str">
        <f>"88051447"</f>
        <v>88051447</v>
      </c>
      <c r="M98" t="s">
        <v>21</v>
      </c>
      <c r="N98" s="1">
        <v>43306.675694444442</v>
      </c>
      <c r="O98" t="s">
        <v>19</v>
      </c>
    </row>
    <row r="99" spans="1:15" x14ac:dyDescent="0.25">
      <c r="A99">
        <v>1</v>
      </c>
      <c r="B99" t="s">
        <v>15</v>
      </c>
      <c r="C99" t="s">
        <v>28</v>
      </c>
      <c r="D99" t="s">
        <v>17</v>
      </c>
      <c r="E99" t="s">
        <v>18</v>
      </c>
      <c r="F99" t="s">
        <v>19</v>
      </c>
      <c r="G99" t="s">
        <v>20</v>
      </c>
      <c r="J99" t="s">
        <v>17</v>
      </c>
      <c r="K99" t="str">
        <f>"7809596510497"</f>
        <v>7809596510497</v>
      </c>
      <c r="L99" t="str">
        <f>"30131035"</f>
        <v>30131035</v>
      </c>
      <c r="M99" t="s">
        <v>21</v>
      </c>
      <c r="N99" s="1">
        <v>43313.724305555559</v>
      </c>
      <c r="O99" t="s">
        <v>19</v>
      </c>
    </row>
    <row r="100" spans="1:15" x14ac:dyDescent="0.25">
      <c r="A100">
        <v>1</v>
      </c>
      <c r="B100" t="s">
        <v>15</v>
      </c>
      <c r="C100" t="s">
        <v>30</v>
      </c>
      <c r="D100" t="s">
        <v>17</v>
      </c>
      <c r="E100" t="s">
        <v>18</v>
      </c>
      <c r="F100" t="s">
        <v>19</v>
      </c>
      <c r="G100" t="s">
        <v>20</v>
      </c>
      <c r="J100" t="s">
        <v>17</v>
      </c>
      <c r="K100" t="str">
        <f>"7804625561464"</f>
        <v>7804625561464</v>
      </c>
      <c r="L100" t="str">
        <f>"42740850"</f>
        <v>42740850</v>
      </c>
      <c r="M100" t="s">
        <v>21</v>
      </c>
      <c r="N100" s="1">
        <v>43328.897916666669</v>
      </c>
      <c r="O100" t="s">
        <v>19</v>
      </c>
    </row>
    <row r="101" spans="1:15" x14ac:dyDescent="0.25">
      <c r="A101">
        <v>1</v>
      </c>
      <c r="B101" t="s">
        <v>15</v>
      </c>
      <c r="C101" t="s">
        <v>29</v>
      </c>
      <c r="D101" t="s">
        <v>17</v>
      </c>
      <c r="E101" t="s">
        <v>18</v>
      </c>
      <c r="F101" t="s">
        <v>19</v>
      </c>
      <c r="G101" t="s">
        <v>20</v>
      </c>
      <c r="J101" t="s">
        <v>17</v>
      </c>
      <c r="K101" t="str">
        <f>"76051447"</f>
        <v>76051447</v>
      </c>
      <c r="L101" t="str">
        <f>"76051447"</f>
        <v>76051447</v>
      </c>
      <c r="M101" t="s">
        <v>21</v>
      </c>
      <c r="N101" s="1">
        <v>43335.767361111109</v>
      </c>
      <c r="O101" t="s">
        <v>19</v>
      </c>
    </row>
    <row r="102" spans="1:15" x14ac:dyDescent="0.25">
      <c r="A102">
        <v>1</v>
      </c>
      <c r="B102" t="s">
        <v>15</v>
      </c>
      <c r="C102" t="s">
        <v>31</v>
      </c>
      <c r="D102" t="s">
        <v>17</v>
      </c>
      <c r="E102" t="s">
        <v>18</v>
      </c>
      <c r="F102" t="s">
        <v>19</v>
      </c>
      <c r="G102" t="s">
        <v>20</v>
      </c>
      <c r="J102" t="s">
        <v>17</v>
      </c>
      <c r="K102" t="str">
        <f>"4250001981303"</f>
        <v>4250001981303</v>
      </c>
      <c r="L102" t="str">
        <f>"28082339"</f>
        <v>28082339</v>
      </c>
      <c r="M102" t="s">
        <v>21</v>
      </c>
      <c r="N102" s="1">
        <v>43335.84652777778</v>
      </c>
      <c r="O102" t="s">
        <v>19</v>
      </c>
    </row>
    <row r="103" spans="1:15" x14ac:dyDescent="0.25">
      <c r="A103">
        <v>1</v>
      </c>
      <c r="B103" t="s">
        <v>15</v>
      </c>
      <c r="C103" t="s">
        <v>28</v>
      </c>
      <c r="D103" t="s">
        <v>17</v>
      </c>
      <c r="E103" t="s">
        <v>18</v>
      </c>
      <c r="F103" t="s">
        <v>19</v>
      </c>
      <c r="G103" t="s">
        <v>20</v>
      </c>
      <c r="J103" t="s">
        <v>17</v>
      </c>
      <c r="K103" t="str">
        <f>"7809596510398"</f>
        <v>7809596510398</v>
      </c>
      <c r="L103" t="str">
        <f>"30134014"</f>
        <v>30134014</v>
      </c>
      <c r="M103" t="s">
        <v>21</v>
      </c>
      <c r="N103" s="1">
        <v>43350.65347222222</v>
      </c>
      <c r="O103" t="s">
        <v>19</v>
      </c>
    </row>
    <row r="104" spans="1:15" x14ac:dyDescent="0.25">
      <c r="A104">
        <v>1</v>
      </c>
      <c r="B104" t="s">
        <v>15</v>
      </c>
      <c r="C104" t="s">
        <v>29</v>
      </c>
      <c r="D104" t="s">
        <v>17</v>
      </c>
      <c r="E104" t="s">
        <v>18</v>
      </c>
      <c r="F104" t="s">
        <v>19</v>
      </c>
      <c r="G104" t="s">
        <v>20</v>
      </c>
      <c r="J104" t="s">
        <v>17</v>
      </c>
      <c r="K104" t="str">
        <f>"86051430"</f>
        <v>86051430</v>
      </c>
      <c r="L104" t="str">
        <f>"86051430"</f>
        <v>86051430</v>
      </c>
      <c r="M104" t="s">
        <v>21</v>
      </c>
      <c r="N104" s="1">
        <v>43417.908333333333</v>
      </c>
      <c r="O104" t="s">
        <v>19</v>
      </c>
    </row>
    <row r="105" spans="1:15" x14ac:dyDescent="0.25">
      <c r="A105">
        <v>1</v>
      </c>
      <c r="B105" t="s">
        <v>15</v>
      </c>
      <c r="C105" t="s">
        <v>27</v>
      </c>
      <c r="D105" t="s">
        <v>17</v>
      </c>
      <c r="E105" t="s">
        <v>18</v>
      </c>
      <c r="F105" t="s">
        <v>19</v>
      </c>
      <c r="G105" t="s">
        <v>20</v>
      </c>
      <c r="J105" t="s">
        <v>17</v>
      </c>
      <c r="K105" t="str">
        <f>"175105247"</f>
        <v>175105247</v>
      </c>
      <c r="L105" t="str">
        <f>"175105247"</f>
        <v>175105247</v>
      </c>
      <c r="M105" t="s">
        <v>21</v>
      </c>
      <c r="N105" s="1">
        <v>43419.948611111111</v>
      </c>
      <c r="O105" t="s">
        <v>19</v>
      </c>
    </row>
    <row r="106" spans="1:15" x14ac:dyDescent="0.25">
      <c r="A106">
        <v>1</v>
      </c>
      <c r="B106" t="s">
        <v>15</v>
      </c>
      <c r="C106" t="s">
        <v>23</v>
      </c>
      <c r="D106" t="s">
        <v>17</v>
      </c>
      <c r="E106" t="s">
        <v>18</v>
      </c>
      <c r="F106" t="s">
        <v>19</v>
      </c>
      <c r="G106" t="s">
        <v>20</v>
      </c>
      <c r="J106" t="s">
        <v>17</v>
      </c>
      <c r="K106" t="str">
        <f>"6999584001050"</f>
        <v>6999584001050</v>
      </c>
      <c r="L106" t="str">
        <f>"34080013"</f>
        <v>34080013</v>
      </c>
      <c r="M106" t="s">
        <v>21</v>
      </c>
      <c r="N106" s="1">
        <v>43502.893055555556</v>
      </c>
      <c r="O106" t="s">
        <v>19</v>
      </c>
    </row>
    <row r="107" spans="1:15" x14ac:dyDescent="0.25">
      <c r="A107">
        <v>1</v>
      </c>
      <c r="B107" t="s">
        <v>15</v>
      </c>
      <c r="C107" t="s">
        <v>31</v>
      </c>
      <c r="D107" t="s">
        <v>17</v>
      </c>
      <c r="E107" t="s">
        <v>18</v>
      </c>
      <c r="F107" t="s">
        <v>19</v>
      </c>
      <c r="G107" t="s">
        <v>20</v>
      </c>
      <c r="J107" t="s">
        <v>17</v>
      </c>
      <c r="K107" t="str">
        <f>"6686996211015"</f>
        <v>6686996211015</v>
      </c>
      <c r="L107" t="str">
        <f>"540821101"</f>
        <v>540821101</v>
      </c>
      <c r="M107" t="s">
        <v>21</v>
      </c>
      <c r="N107" s="1">
        <v>43609.797222222223</v>
      </c>
      <c r="O107" t="s">
        <v>19</v>
      </c>
    </row>
    <row r="108" spans="1:15" x14ac:dyDescent="0.25">
      <c r="A108">
        <v>1</v>
      </c>
      <c r="B108" t="s">
        <v>15</v>
      </c>
      <c r="C108" t="s">
        <v>30</v>
      </c>
      <c r="D108" t="s">
        <v>17</v>
      </c>
      <c r="E108" t="s">
        <v>18</v>
      </c>
      <c r="F108" t="s">
        <v>19</v>
      </c>
      <c r="G108" t="s">
        <v>20</v>
      </c>
      <c r="J108" t="s">
        <v>17</v>
      </c>
      <c r="K108" t="str">
        <f>"6686996300306"</f>
        <v>6686996300306</v>
      </c>
      <c r="L108" t="str">
        <f>"547430030"</f>
        <v>547430030</v>
      </c>
      <c r="M108" t="s">
        <v>21</v>
      </c>
      <c r="N108" s="1">
        <v>43609.811111111114</v>
      </c>
      <c r="O108" t="s">
        <v>19</v>
      </c>
    </row>
    <row r="109" spans="1:15" x14ac:dyDescent="0.25">
      <c r="A109">
        <v>1</v>
      </c>
      <c r="B109" t="s">
        <v>15</v>
      </c>
      <c r="C109" t="s">
        <v>32</v>
      </c>
      <c r="D109" t="s">
        <v>17</v>
      </c>
      <c r="E109" t="s">
        <v>18</v>
      </c>
      <c r="F109" t="s">
        <v>19</v>
      </c>
      <c r="G109" t="s">
        <v>20</v>
      </c>
      <c r="J109" t="s">
        <v>17</v>
      </c>
      <c r="K109" t="str">
        <f>"1578154088539"</f>
        <v>1578154088539</v>
      </c>
      <c r="L109" t="str">
        <f>"61410715"</f>
        <v>61410715</v>
      </c>
      <c r="M109" t="s">
        <v>21</v>
      </c>
      <c r="N109" s="1">
        <v>43834.672222222223</v>
      </c>
      <c r="O109" t="s">
        <v>19</v>
      </c>
    </row>
    <row r="110" spans="1:15" x14ac:dyDescent="0.25">
      <c r="A110">
        <v>1</v>
      </c>
      <c r="B110" t="s">
        <v>15</v>
      </c>
      <c r="C110" t="s">
        <v>27</v>
      </c>
      <c r="D110" t="s">
        <v>17</v>
      </c>
      <c r="E110" t="s">
        <v>18</v>
      </c>
      <c r="F110" t="s">
        <v>19</v>
      </c>
      <c r="G110" t="s">
        <v>20</v>
      </c>
      <c r="J110" t="s">
        <v>17</v>
      </c>
      <c r="K110" t="str">
        <f>"0"</f>
        <v>0</v>
      </c>
      <c r="L110" t="str">
        <f>"0"</f>
        <v>0</v>
      </c>
      <c r="M110" t="s">
        <v>21</v>
      </c>
      <c r="N110" s="1">
        <v>42872.839583333334</v>
      </c>
      <c r="O110" t="s">
        <v>33</v>
      </c>
    </row>
    <row r="111" spans="1:15" x14ac:dyDescent="0.25">
      <c r="A111">
        <v>2</v>
      </c>
      <c r="B111" t="s">
        <v>15</v>
      </c>
      <c r="C111" t="s">
        <v>27</v>
      </c>
      <c r="D111" t="s">
        <v>17</v>
      </c>
      <c r="E111" t="s">
        <v>18</v>
      </c>
      <c r="F111" t="s">
        <v>19</v>
      </c>
      <c r="G111" t="s">
        <v>20</v>
      </c>
      <c r="J111" t="s">
        <v>17</v>
      </c>
      <c r="K111" t="str">
        <f>"174710231"</f>
        <v>174710231</v>
      </c>
      <c r="L111" t="str">
        <f>"174710231"</f>
        <v>174710231</v>
      </c>
      <c r="M111" t="s">
        <v>21</v>
      </c>
      <c r="N111" s="1">
        <v>42872.849305555559</v>
      </c>
      <c r="O111" t="s">
        <v>19</v>
      </c>
    </row>
    <row r="112" spans="1:15" x14ac:dyDescent="0.25">
      <c r="A112">
        <v>2</v>
      </c>
      <c r="B112" t="s">
        <v>15</v>
      </c>
      <c r="C112" t="s">
        <v>27</v>
      </c>
      <c r="D112" t="s">
        <v>17</v>
      </c>
      <c r="E112" t="s">
        <v>18</v>
      </c>
      <c r="F112" t="s">
        <v>19</v>
      </c>
      <c r="G112" t="s">
        <v>20</v>
      </c>
      <c r="J112" t="s">
        <v>17</v>
      </c>
      <c r="K112" t="str">
        <f>"334810295"</f>
        <v>334810295</v>
      </c>
      <c r="L112" t="str">
        <f>"334810295"</f>
        <v>334810295</v>
      </c>
      <c r="M112" t="s">
        <v>21</v>
      </c>
      <c r="N112" s="1">
        <v>43046.665972222225</v>
      </c>
      <c r="O112" t="s">
        <v>19</v>
      </c>
    </row>
    <row r="113" spans="1:15" x14ac:dyDescent="0.25">
      <c r="A113">
        <v>2</v>
      </c>
      <c r="B113" t="s">
        <v>15</v>
      </c>
      <c r="C113" t="s">
        <v>27</v>
      </c>
      <c r="D113" t="s">
        <v>17</v>
      </c>
      <c r="E113" t="s">
        <v>18</v>
      </c>
      <c r="F113" t="s">
        <v>19</v>
      </c>
      <c r="G113" t="s">
        <v>20</v>
      </c>
      <c r="J113" t="s">
        <v>17</v>
      </c>
      <c r="K113" t="str">
        <f>"275110231"</f>
        <v>275110231</v>
      </c>
      <c r="L113" t="str">
        <f>"275110231"</f>
        <v>275110231</v>
      </c>
      <c r="M113" t="s">
        <v>21</v>
      </c>
      <c r="N113" s="1">
        <v>43236.722222222219</v>
      </c>
      <c r="O113" t="s">
        <v>19</v>
      </c>
    </row>
    <row r="114" spans="1:15" x14ac:dyDescent="0.25">
      <c r="A114">
        <v>2</v>
      </c>
      <c r="B114" t="s">
        <v>15</v>
      </c>
      <c r="C114" t="s">
        <v>27</v>
      </c>
      <c r="D114" t="s">
        <v>17</v>
      </c>
      <c r="E114" t="s">
        <v>18</v>
      </c>
      <c r="F114" t="s">
        <v>19</v>
      </c>
      <c r="G114" t="s">
        <v>20</v>
      </c>
      <c r="J114" t="s">
        <v>17</v>
      </c>
      <c r="K114" t="str">
        <f>"275110295"</f>
        <v>275110295</v>
      </c>
      <c r="L114" t="str">
        <f>"275110295"</f>
        <v>275110295</v>
      </c>
      <c r="M114" t="s">
        <v>21</v>
      </c>
      <c r="N114" s="1">
        <v>43236.722916666666</v>
      </c>
      <c r="O114" t="s">
        <v>19</v>
      </c>
    </row>
    <row r="115" spans="1:15" x14ac:dyDescent="0.25">
      <c r="A115">
        <v>2</v>
      </c>
      <c r="B115" t="s">
        <v>15</v>
      </c>
      <c r="C115" t="s">
        <v>27</v>
      </c>
      <c r="D115" t="s">
        <v>17</v>
      </c>
      <c r="E115" t="s">
        <v>18</v>
      </c>
      <c r="F115" t="s">
        <v>19</v>
      </c>
      <c r="G115" t="s">
        <v>20</v>
      </c>
      <c r="J115" t="s">
        <v>17</v>
      </c>
      <c r="K115" t="str">
        <f>"764810295"</f>
        <v>764810295</v>
      </c>
      <c r="L115" t="str">
        <f>"764810295"</f>
        <v>764810295</v>
      </c>
      <c r="M115" t="s">
        <v>21</v>
      </c>
      <c r="N115" s="1">
        <v>43237.729861111111</v>
      </c>
      <c r="O115" t="s">
        <v>19</v>
      </c>
    </row>
    <row r="116" spans="1:15" x14ac:dyDescent="0.25">
      <c r="A116">
        <v>2</v>
      </c>
      <c r="B116" t="s">
        <v>15</v>
      </c>
      <c r="C116" t="s">
        <v>27</v>
      </c>
      <c r="D116" t="s">
        <v>17</v>
      </c>
      <c r="E116" t="s">
        <v>18</v>
      </c>
      <c r="F116" t="s">
        <v>19</v>
      </c>
      <c r="G116" t="s">
        <v>20</v>
      </c>
      <c r="J116" t="s">
        <v>17</v>
      </c>
      <c r="K116" t="str">
        <f>"175110295"</f>
        <v>175110295</v>
      </c>
      <c r="L116" t="str">
        <f>"175110295"</f>
        <v>175110295</v>
      </c>
      <c r="M116" t="s">
        <v>21</v>
      </c>
      <c r="N116" s="1">
        <v>43237.731944444444</v>
      </c>
      <c r="O116" t="s">
        <v>19</v>
      </c>
    </row>
    <row r="117" spans="1:15" x14ac:dyDescent="0.25">
      <c r="A117">
        <v>2</v>
      </c>
      <c r="B117" t="s">
        <v>15</v>
      </c>
      <c r="C117" t="s">
        <v>27</v>
      </c>
      <c r="D117" t="s">
        <v>17</v>
      </c>
      <c r="E117" t="s">
        <v>18</v>
      </c>
      <c r="F117" t="s">
        <v>19</v>
      </c>
      <c r="G117" t="s">
        <v>20</v>
      </c>
      <c r="J117" t="s">
        <v>17</v>
      </c>
      <c r="K117" t="str">
        <f>"766410231"</f>
        <v>766410231</v>
      </c>
      <c r="L117" t="str">
        <f>"766410231"</f>
        <v>766410231</v>
      </c>
      <c r="M117" t="s">
        <v>21</v>
      </c>
      <c r="N117" s="1">
        <v>43266.724999999999</v>
      </c>
      <c r="O117" t="s">
        <v>19</v>
      </c>
    </row>
    <row r="118" spans="1:15" x14ac:dyDescent="0.25">
      <c r="A118">
        <v>2</v>
      </c>
      <c r="B118" t="s">
        <v>15</v>
      </c>
      <c r="C118" t="s">
        <v>27</v>
      </c>
      <c r="D118" t="s">
        <v>17</v>
      </c>
      <c r="E118" t="s">
        <v>18</v>
      </c>
      <c r="F118" t="s">
        <v>19</v>
      </c>
      <c r="G118" t="s">
        <v>20</v>
      </c>
      <c r="J118" t="s">
        <v>17</v>
      </c>
      <c r="K118" t="str">
        <f>"935110295"</f>
        <v>935110295</v>
      </c>
      <c r="L118" t="str">
        <f>"935110295"</f>
        <v>935110295</v>
      </c>
      <c r="M118" t="s">
        <v>21</v>
      </c>
      <c r="N118" s="1">
        <v>43267.790972222225</v>
      </c>
      <c r="O118" t="s">
        <v>19</v>
      </c>
    </row>
    <row r="119" spans="1:15" x14ac:dyDescent="0.25">
      <c r="A119" t="s">
        <v>34</v>
      </c>
      <c r="B119" t="s">
        <v>15</v>
      </c>
      <c r="C119" t="s">
        <v>35</v>
      </c>
      <c r="D119" t="s">
        <v>17</v>
      </c>
      <c r="E119" t="s">
        <v>18</v>
      </c>
      <c r="F119" t="s">
        <v>33</v>
      </c>
      <c r="G119" t="s">
        <v>20</v>
      </c>
      <c r="J119" t="s">
        <v>17</v>
      </c>
      <c r="K119" t="str">
        <f>"11002545"</f>
        <v>11002545</v>
      </c>
      <c r="L119" t="str">
        <f>"11002545"</f>
        <v>11002545</v>
      </c>
      <c r="M119" t="s">
        <v>21</v>
      </c>
      <c r="N119" s="1">
        <v>42872.839583333334</v>
      </c>
      <c r="O119" t="s">
        <v>33</v>
      </c>
    </row>
    <row r="120" spans="1:15" x14ac:dyDescent="0.25">
      <c r="A120" t="s">
        <v>36</v>
      </c>
      <c r="B120" t="s">
        <v>15</v>
      </c>
      <c r="C120" t="s">
        <v>37</v>
      </c>
      <c r="D120" t="s">
        <v>17</v>
      </c>
      <c r="E120" t="s">
        <v>18</v>
      </c>
      <c r="F120" t="s">
        <v>19</v>
      </c>
      <c r="G120" t="s">
        <v>20</v>
      </c>
      <c r="J120" t="s">
        <v>17</v>
      </c>
      <c r="K120" t="str">
        <f>"52520001"</f>
        <v>52520001</v>
      </c>
      <c r="L120" t="str">
        <f>"52520001"</f>
        <v>52520001</v>
      </c>
      <c r="M120" t="s">
        <v>21</v>
      </c>
      <c r="N120" s="1">
        <v>43580.779861111114</v>
      </c>
      <c r="O120" t="s">
        <v>19</v>
      </c>
    </row>
    <row r="121" spans="1:15" x14ac:dyDescent="0.25">
      <c r="A121" t="s">
        <v>38</v>
      </c>
      <c r="B121" t="s">
        <v>15</v>
      </c>
      <c r="C121" t="s">
        <v>37</v>
      </c>
      <c r="D121" t="s">
        <v>17</v>
      </c>
      <c r="E121" t="s">
        <v>18</v>
      </c>
      <c r="F121" t="s">
        <v>19</v>
      </c>
      <c r="G121" t="s">
        <v>20</v>
      </c>
      <c r="J121" t="s">
        <v>17</v>
      </c>
      <c r="K121" t="str">
        <f>"10001000"</f>
        <v>10001000</v>
      </c>
      <c r="L121" t="str">
        <f>"10000001"</f>
        <v>10000001</v>
      </c>
      <c r="M121" t="s">
        <v>21</v>
      </c>
      <c r="N121" s="1">
        <v>43612.704861111109</v>
      </c>
      <c r="O121" t="s">
        <v>19</v>
      </c>
    </row>
    <row r="122" spans="1:15" x14ac:dyDescent="0.25">
      <c r="A122" t="s">
        <v>39</v>
      </c>
      <c r="B122" t="s">
        <v>15</v>
      </c>
      <c r="C122" t="s">
        <v>37</v>
      </c>
      <c r="D122" t="s">
        <v>17</v>
      </c>
      <c r="E122" t="s">
        <v>18</v>
      </c>
      <c r="F122" t="s">
        <v>19</v>
      </c>
      <c r="G122" t="s">
        <v>20</v>
      </c>
      <c r="J122" t="s">
        <v>17</v>
      </c>
      <c r="K122" t="str">
        <f>"10001500"</f>
        <v>10001500</v>
      </c>
      <c r="L122" t="str">
        <f>"10000002"</f>
        <v>10000002</v>
      </c>
      <c r="M122" t="s">
        <v>21</v>
      </c>
      <c r="N122" s="1">
        <v>43612.705555555556</v>
      </c>
      <c r="O122" t="s">
        <v>19</v>
      </c>
    </row>
    <row r="123" spans="1:15" x14ac:dyDescent="0.25">
      <c r="A123" t="s">
        <v>40</v>
      </c>
      <c r="B123" t="s">
        <v>15</v>
      </c>
      <c r="C123" t="s">
        <v>37</v>
      </c>
      <c r="D123" t="s">
        <v>17</v>
      </c>
      <c r="E123" t="s">
        <v>18</v>
      </c>
      <c r="F123" t="s">
        <v>19</v>
      </c>
      <c r="G123" t="s">
        <v>20</v>
      </c>
      <c r="J123" t="s">
        <v>17</v>
      </c>
      <c r="K123" t="str">
        <f>"10002000"</f>
        <v>10002000</v>
      </c>
      <c r="L123" t="str">
        <f>"10000003"</f>
        <v>10000003</v>
      </c>
      <c r="M123" t="s">
        <v>21</v>
      </c>
      <c r="N123" s="1">
        <v>43612.706250000003</v>
      </c>
      <c r="O123" t="s">
        <v>19</v>
      </c>
    </row>
    <row r="124" spans="1:15" x14ac:dyDescent="0.25">
      <c r="A124" t="s">
        <v>41</v>
      </c>
      <c r="B124" t="s">
        <v>15</v>
      </c>
      <c r="C124" t="s">
        <v>37</v>
      </c>
      <c r="D124" t="s">
        <v>17</v>
      </c>
      <c r="E124" t="s">
        <v>18</v>
      </c>
      <c r="F124" t="s">
        <v>19</v>
      </c>
      <c r="G124" t="s">
        <v>20</v>
      </c>
      <c r="J124" t="s">
        <v>17</v>
      </c>
      <c r="K124" t="str">
        <f>"10002500"</f>
        <v>10002500</v>
      </c>
      <c r="L124" t="str">
        <f>"10002500"</f>
        <v>10002500</v>
      </c>
      <c r="M124" t="s">
        <v>21</v>
      </c>
      <c r="N124" s="1">
        <v>43612.707638888889</v>
      </c>
      <c r="O124" t="s">
        <v>19</v>
      </c>
    </row>
    <row r="125" spans="1:15" x14ac:dyDescent="0.25">
      <c r="A125" t="s">
        <v>42</v>
      </c>
      <c r="B125" t="s">
        <v>15</v>
      </c>
      <c r="C125" t="s">
        <v>37</v>
      </c>
      <c r="D125" t="s">
        <v>17</v>
      </c>
      <c r="E125" t="s">
        <v>18</v>
      </c>
      <c r="F125" t="s">
        <v>19</v>
      </c>
      <c r="G125" t="s">
        <v>20</v>
      </c>
      <c r="J125" t="s">
        <v>17</v>
      </c>
      <c r="K125" t="str">
        <f>"10003500"</f>
        <v>10003500</v>
      </c>
      <c r="L125" t="str">
        <f>"10003500"</f>
        <v>10003500</v>
      </c>
      <c r="M125" t="s">
        <v>21</v>
      </c>
      <c r="N125" s="1">
        <v>43612.707638888889</v>
      </c>
      <c r="O125" t="s">
        <v>19</v>
      </c>
    </row>
    <row r="126" spans="1:15" x14ac:dyDescent="0.25">
      <c r="A126" t="s">
        <v>43</v>
      </c>
      <c r="B126" t="s">
        <v>15</v>
      </c>
      <c r="C126" t="s">
        <v>37</v>
      </c>
      <c r="D126" t="s">
        <v>17</v>
      </c>
      <c r="E126" t="s">
        <v>18</v>
      </c>
      <c r="F126" t="s">
        <v>19</v>
      </c>
      <c r="G126" t="s">
        <v>20</v>
      </c>
      <c r="J126" t="s">
        <v>17</v>
      </c>
      <c r="K126" t="str">
        <f>"10004000"</f>
        <v>10004000</v>
      </c>
      <c r="L126" t="str">
        <f>"10004000"</f>
        <v>10004000</v>
      </c>
      <c r="M126" t="s">
        <v>21</v>
      </c>
      <c r="N126" s="1">
        <v>43612.708333333336</v>
      </c>
      <c r="O126" t="s">
        <v>19</v>
      </c>
    </row>
    <row r="127" spans="1:15" x14ac:dyDescent="0.25">
      <c r="A127" t="s">
        <v>44</v>
      </c>
      <c r="B127" t="s">
        <v>15</v>
      </c>
      <c r="C127" t="s">
        <v>37</v>
      </c>
      <c r="D127" t="s">
        <v>17</v>
      </c>
      <c r="E127" t="s">
        <v>18</v>
      </c>
      <c r="F127" t="s">
        <v>19</v>
      </c>
      <c r="G127" t="s">
        <v>20</v>
      </c>
      <c r="J127" t="s">
        <v>17</v>
      </c>
      <c r="K127" t="str">
        <f>"10005000"</f>
        <v>10005000</v>
      </c>
      <c r="L127" t="str">
        <f>"10005000"</f>
        <v>10005000</v>
      </c>
      <c r="M127" t="s">
        <v>21</v>
      </c>
      <c r="N127" s="1">
        <v>43612.709027777775</v>
      </c>
      <c r="O127" t="s">
        <v>19</v>
      </c>
    </row>
    <row r="128" spans="1:15" x14ac:dyDescent="0.25">
      <c r="A128" t="s">
        <v>45</v>
      </c>
      <c r="B128" t="s">
        <v>15</v>
      </c>
      <c r="C128" t="s">
        <v>35</v>
      </c>
      <c r="D128" t="s">
        <v>17</v>
      </c>
      <c r="E128" t="s">
        <v>18</v>
      </c>
      <c r="F128" t="s">
        <v>19</v>
      </c>
      <c r="G128" t="s">
        <v>20</v>
      </c>
      <c r="J128" t="s">
        <v>17</v>
      </c>
      <c r="K128" t="str">
        <f>"40021111"</f>
        <v>40021111</v>
      </c>
      <c r="L128" t="str">
        <f>"40021111"</f>
        <v>40021111</v>
      </c>
      <c r="M128" t="s">
        <v>21</v>
      </c>
      <c r="N128" s="1">
        <v>44225.879861111112</v>
      </c>
      <c r="O128" t="s">
        <v>19</v>
      </c>
    </row>
    <row r="129" spans="1:15" x14ac:dyDescent="0.25">
      <c r="A129" t="s">
        <v>46</v>
      </c>
      <c r="B129" t="s">
        <v>15</v>
      </c>
      <c r="C129" t="s">
        <v>35</v>
      </c>
      <c r="D129" t="s">
        <v>17</v>
      </c>
      <c r="E129" t="s">
        <v>18</v>
      </c>
      <c r="F129" t="s">
        <v>19</v>
      </c>
      <c r="G129" t="s">
        <v>20</v>
      </c>
      <c r="J129" t="s">
        <v>17</v>
      </c>
      <c r="K129" t="str">
        <f>"76021002"</f>
        <v>76021002</v>
      </c>
      <c r="L129" t="str">
        <f>"76021002"</f>
        <v>76021002</v>
      </c>
      <c r="M129" t="s">
        <v>21</v>
      </c>
      <c r="N129" s="1">
        <v>42872.847222222219</v>
      </c>
      <c r="O129" t="s">
        <v>19</v>
      </c>
    </row>
    <row r="130" spans="1:15" x14ac:dyDescent="0.25">
      <c r="A130" t="s">
        <v>47</v>
      </c>
      <c r="B130" t="s">
        <v>15</v>
      </c>
      <c r="C130" t="s">
        <v>35</v>
      </c>
      <c r="D130" t="s">
        <v>17</v>
      </c>
      <c r="E130" t="s">
        <v>18</v>
      </c>
      <c r="F130" t="s">
        <v>19</v>
      </c>
      <c r="G130" t="s">
        <v>20</v>
      </c>
      <c r="J130" t="s">
        <v>17</v>
      </c>
      <c r="K130" t="str">
        <f>"76021001"</f>
        <v>76021001</v>
      </c>
      <c r="L130" t="str">
        <f>"76021001"</f>
        <v>76021001</v>
      </c>
      <c r="M130" t="s">
        <v>21</v>
      </c>
      <c r="N130" s="1">
        <v>42872.847222222219</v>
      </c>
      <c r="O130" t="s">
        <v>19</v>
      </c>
    </row>
    <row r="131" spans="1:15" x14ac:dyDescent="0.25">
      <c r="A131" t="s">
        <v>48</v>
      </c>
      <c r="B131" t="s">
        <v>15</v>
      </c>
      <c r="C131" t="s">
        <v>35</v>
      </c>
      <c r="D131" t="s">
        <v>17</v>
      </c>
      <c r="E131" t="s">
        <v>18</v>
      </c>
      <c r="F131" t="s">
        <v>19</v>
      </c>
      <c r="G131" t="s">
        <v>20</v>
      </c>
      <c r="J131" t="s">
        <v>17</v>
      </c>
      <c r="K131" t="str">
        <f>"76027701"</f>
        <v>76027701</v>
      </c>
      <c r="L131" t="str">
        <f>"76027701"</f>
        <v>76027701</v>
      </c>
      <c r="M131" t="s">
        <v>21</v>
      </c>
      <c r="N131" s="1">
        <v>42872.847222222219</v>
      </c>
      <c r="O131" t="s">
        <v>19</v>
      </c>
    </row>
    <row r="132" spans="1:15" x14ac:dyDescent="0.25">
      <c r="A132" t="s">
        <v>49</v>
      </c>
      <c r="B132" t="s">
        <v>15</v>
      </c>
      <c r="C132" t="s">
        <v>35</v>
      </c>
      <c r="D132" t="s">
        <v>17</v>
      </c>
      <c r="E132" t="s">
        <v>18</v>
      </c>
      <c r="F132" t="s">
        <v>19</v>
      </c>
      <c r="G132" t="s">
        <v>20</v>
      </c>
      <c r="J132" t="s">
        <v>17</v>
      </c>
      <c r="K132" t="str">
        <f>"030CMP1082"</f>
        <v>030CMP1082</v>
      </c>
      <c r="L132" t="str">
        <f>"98020781"</f>
        <v>98020781</v>
      </c>
      <c r="M132" t="s">
        <v>21</v>
      </c>
      <c r="N132" s="1">
        <v>43126.659722222219</v>
      </c>
      <c r="O132" t="s">
        <v>19</v>
      </c>
    </row>
    <row r="133" spans="1:15" x14ac:dyDescent="0.25">
      <c r="A133" t="s">
        <v>50</v>
      </c>
      <c r="B133" t="s">
        <v>15</v>
      </c>
      <c r="C133" t="s">
        <v>37</v>
      </c>
      <c r="D133" t="s">
        <v>17</v>
      </c>
      <c r="E133" t="s">
        <v>18</v>
      </c>
      <c r="F133" t="s">
        <v>19</v>
      </c>
      <c r="G133" t="s">
        <v>20</v>
      </c>
      <c r="J133" t="s">
        <v>17</v>
      </c>
      <c r="K133" t="str">
        <f>"7858816075605"</f>
        <v>7858816075605</v>
      </c>
      <c r="L133" t="str">
        <f>"87527560"</f>
        <v>87527560</v>
      </c>
      <c r="M133" t="s">
        <v>21</v>
      </c>
      <c r="N133" s="1">
        <v>43397.619444444441</v>
      </c>
      <c r="O133" t="s">
        <v>19</v>
      </c>
    </row>
    <row r="134" spans="1:15" x14ac:dyDescent="0.25">
      <c r="A134" t="s">
        <v>51</v>
      </c>
      <c r="B134" t="s">
        <v>15</v>
      </c>
      <c r="C134" t="s">
        <v>37</v>
      </c>
      <c r="D134" t="s">
        <v>17</v>
      </c>
      <c r="E134" t="s">
        <v>18</v>
      </c>
      <c r="F134" t="s">
        <v>19</v>
      </c>
      <c r="G134" t="s">
        <v>20</v>
      </c>
      <c r="J134" t="s">
        <v>17</v>
      </c>
      <c r="K134" t="str">
        <f>"7858816075599"</f>
        <v>7858816075599</v>
      </c>
      <c r="L134" t="str">
        <f>"87527559"</f>
        <v>87527559</v>
      </c>
      <c r="M134" t="s">
        <v>21</v>
      </c>
      <c r="N134" s="1">
        <v>43260.730555555558</v>
      </c>
      <c r="O134" t="s">
        <v>19</v>
      </c>
    </row>
    <row r="135" spans="1:15" x14ac:dyDescent="0.25">
      <c r="A135" t="s">
        <v>52</v>
      </c>
      <c r="B135" t="s">
        <v>15</v>
      </c>
      <c r="C135" t="s">
        <v>35</v>
      </c>
      <c r="D135" t="s">
        <v>17</v>
      </c>
      <c r="E135" t="s">
        <v>18</v>
      </c>
      <c r="F135" t="s">
        <v>19</v>
      </c>
      <c r="G135" t="s">
        <v>20</v>
      </c>
      <c r="J135" t="s">
        <v>17</v>
      </c>
      <c r="K135" t="str">
        <f>"10100374"</f>
        <v>10100374</v>
      </c>
      <c r="L135" t="str">
        <f>"10100374"</f>
        <v>10100374</v>
      </c>
      <c r="M135" t="s">
        <v>21</v>
      </c>
      <c r="N135" s="1">
        <v>43307.869444444441</v>
      </c>
      <c r="O135" t="s">
        <v>19</v>
      </c>
    </row>
    <row r="136" spans="1:15" x14ac:dyDescent="0.25">
      <c r="A136" t="s">
        <v>53</v>
      </c>
      <c r="B136" t="s">
        <v>15</v>
      </c>
      <c r="C136" t="s">
        <v>35</v>
      </c>
      <c r="D136" t="s">
        <v>17</v>
      </c>
      <c r="E136" t="s">
        <v>18</v>
      </c>
      <c r="F136" t="s">
        <v>19</v>
      </c>
      <c r="G136" t="s">
        <v>20</v>
      </c>
      <c r="J136" t="s">
        <v>17</v>
      </c>
      <c r="K136" t="str">
        <f>"10001310"</f>
        <v>10001310</v>
      </c>
      <c r="L136" t="str">
        <f>"10001310"</f>
        <v>10001310</v>
      </c>
      <c r="M136" t="s">
        <v>21</v>
      </c>
      <c r="N136" s="1">
        <v>42872.839583333334</v>
      </c>
      <c r="O136" t="s">
        <v>19</v>
      </c>
    </row>
    <row r="137" spans="1:15" x14ac:dyDescent="0.25">
      <c r="A137" t="s">
        <v>54</v>
      </c>
      <c r="B137" t="s">
        <v>15</v>
      </c>
      <c r="C137" t="s">
        <v>55</v>
      </c>
      <c r="D137" t="s">
        <v>17</v>
      </c>
      <c r="E137" t="s">
        <v>18</v>
      </c>
      <c r="F137" t="s">
        <v>19</v>
      </c>
      <c r="G137" t="s">
        <v>20</v>
      </c>
      <c r="J137" t="s">
        <v>17</v>
      </c>
      <c r="K137" t="str">
        <f>"7895623004510"</f>
        <v>7895623004510</v>
      </c>
      <c r="L137" t="str">
        <f>"87020451"</f>
        <v>87020451</v>
      </c>
      <c r="M137" t="s">
        <v>21</v>
      </c>
      <c r="N137" s="1">
        <v>43603.775694444441</v>
      </c>
      <c r="O137" t="s">
        <v>19</v>
      </c>
    </row>
    <row r="138" spans="1:15" x14ac:dyDescent="0.25">
      <c r="A138" t="s">
        <v>56</v>
      </c>
      <c r="B138" t="s">
        <v>15</v>
      </c>
      <c r="C138" t="s">
        <v>35</v>
      </c>
      <c r="D138" t="s">
        <v>17</v>
      </c>
      <c r="E138" t="s">
        <v>18</v>
      </c>
      <c r="F138" t="s">
        <v>19</v>
      </c>
      <c r="G138" t="s">
        <v>20</v>
      </c>
      <c r="J138" t="s">
        <v>17</v>
      </c>
      <c r="K138" t="str">
        <f>"7858816078552"</f>
        <v>7858816078552</v>
      </c>
      <c r="L138" t="str">
        <f>"87027855"</f>
        <v>87027855</v>
      </c>
      <c r="M138" t="s">
        <v>21</v>
      </c>
      <c r="N138" s="1">
        <v>44211.914583333331</v>
      </c>
      <c r="O138" t="s">
        <v>19</v>
      </c>
    </row>
    <row r="139" spans="1:15" x14ac:dyDescent="0.25">
      <c r="A139" t="s">
        <v>57</v>
      </c>
      <c r="B139" t="s">
        <v>15</v>
      </c>
      <c r="C139" t="s">
        <v>35</v>
      </c>
      <c r="D139" t="s">
        <v>17</v>
      </c>
      <c r="E139" t="s">
        <v>18</v>
      </c>
      <c r="F139" t="s">
        <v>19</v>
      </c>
      <c r="G139" t="s">
        <v>20</v>
      </c>
      <c r="J139" t="s">
        <v>17</v>
      </c>
      <c r="K139" t="str">
        <f>"10000012"</f>
        <v>10000012</v>
      </c>
      <c r="L139" t="str">
        <f>"10000012"</f>
        <v>10000012</v>
      </c>
      <c r="M139" t="s">
        <v>21</v>
      </c>
      <c r="N139" s="1">
        <v>43612.62777777778</v>
      </c>
      <c r="O139" t="s">
        <v>19</v>
      </c>
    </row>
    <row r="140" spans="1:15" x14ac:dyDescent="0.25">
      <c r="A140" t="s">
        <v>58</v>
      </c>
      <c r="B140" t="s">
        <v>15</v>
      </c>
      <c r="C140" t="s">
        <v>55</v>
      </c>
      <c r="D140" t="s">
        <v>17</v>
      </c>
      <c r="E140" t="s">
        <v>18</v>
      </c>
      <c r="F140" t="s">
        <v>19</v>
      </c>
      <c r="G140" t="s">
        <v>20</v>
      </c>
      <c r="J140" t="s">
        <v>17</v>
      </c>
      <c r="K140" t="str">
        <f>"190198001795"</f>
        <v>190198001795</v>
      </c>
      <c r="L140" t="str">
        <f>"34021749"</f>
        <v>34021749</v>
      </c>
      <c r="M140" t="s">
        <v>21</v>
      </c>
      <c r="N140" s="1">
        <v>43799.584722222222</v>
      </c>
      <c r="O140" t="s">
        <v>19</v>
      </c>
    </row>
    <row r="141" spans="1:15" x14ac:dyDescent="0.25">
      <c r="A141" t="s">
        <v>59</v>
      </c>
      <c r="B141" t="s">
        <v>15</v>
      </c>
      <c r="C141" t="s">
        <v>31</v>
      </c>
      <c r="D141" t="s">
        <v>17</v>
      </c>
      <c r="E141" t="s">
        <v>18</v>
      </c>
      <c r="F141" t="s">
        <v>19</v>
      </c>
      <c r="G141" t="s">
        <v>20</v>
      </c>
      <c r="J141" t="s">
        <v>17</v>
      </c>
      <c r="K141" t="str">
        <f>"5626890052407"</f>
        <v>5626890052407</v>
      </c>
      <c r="L141" t="str">
        <f>"28085240"</f>
        <v>28085240</v>
      </c>
      <c r="M141" t="s">
        <v>21</v>
      </c>
      <c r="N141" s="1">
        <v>43266.96597222222</v>
      </c>
      <c r="O141" t="s">
        <v>19</v>
      </c>
    </row>
    <row r="142" spans="1:15" x14ac:dyDescent="0.25">
      <c r="A142" t="s">
        <v>60</v>
      </c>
      <c r="B142" t="s">
        <v>15</v>
      </c>
      <c r="C142" t="s">
        <v>55</v>
      </c>
      <c r="D142" t="s">
        <v>17</v>
      </c>
      <c r="E142" t="s">
        <v>18</v>
      </c>
      <c r="F142" t="s">
        <v>19</v>
      </c>
      <c r="G142" t="s">
        <v>20</v>
      </c>
      <c r="J142" t="s">
        <v>17</v>
      </c>
      <c r="K142" t="str">
        <f>"10001180"</f>
        <v>10001180</v>
      </c>
      <c r="L142" t="str">
        <f>"10001180"</f>
        <v>10001180</v>
      </c>
      <c r="M142" t="s">
        <v>21</v>
      </c>
      <c r="N142" s="1">
        <v>43687.689583333333</v>
      </c>
      <c r="O142" t="s">
        <v>19</v>
      </c>
    </row>
    <row r="143" spans="1:15" x14ac:dyDescent="0.25">
      <c r="A143" t="s">
        <v>61</v>
      </c>
      <c r="B143" t="s">
        <v>15</v>
      </c>
      <c r="C143" t="s">
        <v>55</v>
      </c>
      <c r="D143" t="s">
        <v>17</v>
      </c>
      <c r="E143" t="s">
        <v>18</v>
      </c>
      <c r="F143" t="s">
        <v>19</v>
      </c>
      <c r="G143" t="s">
        <v>20</v>
      </c>
      <c r="J143" t="s">
        <v>17</v>
      </c>
      <c r="K143" t="str">
        <f>"10002924"</f>
        <v>10002924</v>
      </c>
      <c r="L143" t="str">
        <f>"10002924"</f>
        <v>10002924</v>
      </c>
      <c r="M143" t="s">
        <v>21</v>
      </c>
      <c r="N143" s="1">
        <v>43708.872916666667</v>
      </c>
      <c r="O143" t="s">
        <v>19</v>
      </c>
    </row>
    <row r="144" spans="1:15" x14ac:dyDescent="0.25">
      <c r="A144" t="s">
        <v>62</v>
      </c>
      <c r="B144" t="s">
        <v>15</v>
      </c>
      <c r="C144" t="s">
        <v>37</v>
      </c>
      <c r="D144" t="s">
        <v>17</v>
      </c>
      <c r="E144" t="s">
        <v>18</v>
      </c>
      <c r="F144" t="s">
        <v>19</v>
      </c>
      <c r="G144" t="s">
        <v>20</v>
      </c>
      <c r="J144" t="s">
        <v>18</v>
      </c>
      <c r="K144" t="str">
        <f>"7858816060281"</f>
        <v>7858816060281</v>
      </c>
      <c r="L144" t="str">
        <f>"87526028"</f>
        <v>87526028</v>
      </c>
      <c r="M144" t="s">
        <v>21</v>
      </c>
      <c r="N144" s="1">
        <v>44211.769444444442</v>
      </c>
      <c r="O144" t="s">
        <v>19</v>
      </c>
    </row>
    <row r="145" spans="1:15" x14ac:dyDescent="0.25">
      <c r="A145" t="s">
        <v>63</v>
      </c>
      <c r="B145" t="s">
        <v>15</v>
      </c>
      <c r="C145" t="s">
        <v>64</v>
      </c>
      <c r="D145" t="s">
        <v>17</v>
      </c>
      <c r="E145" t="s">
        <v>18</v>
      </c>
      <c r="F145" t="s">
        <v>19</v>
      </c>
      <c r="G145" t="s">
        <v>20</v>
      </c>
      <c r="J145" t="s">
        <v>17</v>
      </c>
      <c r="K145" t="str">
        <f>"6986698108799"</f>
        <v>6986698108799</v>
      </c>
      <c r="L145" t="str">
        <f>"40928799"</f>
        <v>40928799</v>
      </c>
      <c r="M145" t="s">
        <v>21</v>
      </c>
      <c r="N145" s="1">
        <v>44434.840277777781</v>
      </c>
      <c r="O145" t="s">
        <v>19</v>
      </c>
    </row>
    <row r="146" spans="1:15" x14ac:dyDescent="0.25">
      <c r="A146" t="s">
        <v>65</v>
      </c>
      <c r="B146" t="s">
        <v>15</v>
      </c>
      <c r="C146" t="s">
        <v>55</v>
      </c>
      <c r="D146" t="s">
        <v>17</v>
      </c>
      <c r="E146" t="s">
        <v>18</v>
      </c>
      <c r="F146" t="s">
        <v>19</v>
      </c>
      <c r="G146" t="s">
        <v>20</v>
      </c>
      <c r="J146" t="s">
        <v>17</v>
      </c>
      <c r="K146" t="str">
        <f>"6901443200405"</f>
        <v>6901443200405</v>
      </c>
      <c r="L146" t="str">
        <f>"79HUE0CM20"</f>
        <v>79HUE0CM20</v>
      </c>
      <c r="M146" t="s">
        <v>21</v>
      </c>
      <c r="N146" s="1">
        <v>43746.885416666664</v>
      </c>
      <c r="O146" t="s">
        <v>19</v>
      </c>
    </row>
    <row r="147" spans="1:15" x14ac:dyDescent="0.25">
      <c r="A147" t="s">
        <v>66</v>
      </c>
      <c r="B147" t="s">
        <v>15</v>
      </c>
      <c r="C147" t="s">
        <v>35</v>
      </c>
      <c r="D147" t="s">
        <v>17</v>
      </c>
      <c r="E147" t="s">
        <v>18</v>
      </c>
      <c r="F147" t="s">
        <v>19</v>
      </c>
      <c r="G147" t="s">
        <v>20</v>
      </c>
      <c r="J147" t="s">
        <v>17</v>
      </c>
      <c r="K147" t="str">
        <f>"6905631100201"</f>
        <v>6905631100201</v>
      </c>
      <c r="L147" t="str">
        <f>"40020920"</f>
        <v>40020920</v>
      </c>
      <c r="M147" t="s">
        <v>21</v>
      </c>
      <c r="N147" s="1">
        <v>44225.871527777781</v>
      </c>
      <c r="O147" t="s">
        <v>19</v>
      </c>
    </row>
    <row r="148" spans="1:15" x14ac:dyDescent="0.25">
      <c r="A148" t="s">
        <v>67</v>
      </c>
      <c r="B148" t="s">
        <v>15</v>
      </c>
      <c r="C148" t="s">
        <v>35</v>
      </c>
      <c r="D148" t="s">
        <v>17</v>
      </c>
      <c r="E148" t="s">
        <v>18</v>
      </c>
      <c r="F148" t="s">
        <v>19</v>
      </c>
      <c r="G148" t="s">
        <v>20</v>
      </c>
      <c r="J148" t="s">
        <v>17</v>
      </c>
      <c r="K148" t="str">
        <f>"7168229435003"</f>
        <v>7168229435003</v>
      </c>
      <c r="L148" t="str">
        <f>"98020500"</f>
        <v>98020500</v>
      </c>
      <c r="M148" t="s">
        <v>21</v>
      </c>
      <c r="N148" s="1">
        <v>43417.909722222219</v>
      </c>
      <c r="O148" t="s">
        <v>19</v>
      </c>
    </row>
    <row r="149" spans="1:15" x14ac:dyDescent="0.25">
      <c r="A149" t="s">
        <v>68</v>
      </c>
      <c r="B149" t="s">
        <v>15</v>
      </c>
      <c r="C149" t="s">
        <v>55</v>
      </c>
      <c r="D149" t="s">
        <v>17</v>
      </c>
      <c r="E149" t="s">
        <v>18</v>
      </c>
      <c r="F149" t="s">
        <v>19</v>
      </c>
      <c r="G149" t="s">
        <v>20</v>
      </c>
      <c r="J149" t="s">
        <v>17</v>
      </c>
      <c r="K149" t="str">
        <f>"2019053557452"</f>
        <v>2019053557452</v>
      </c>
      <c r="L149" t="str">
        <f>"18525745"</f>
        <v>18525745</v>
      </c>
      <c r="M149" t="s">
        <v>21</v>
      </c>
      <c r="N149" s="1">
        <v>43642.95416666667</v>
      </c>
      <c r="O149" t="s">
        <v>19</v>
      </c>
    </row>
    <row r="150" spans="1:15" x14ac:dyDescent="0.25">
      <c r="A150" t="s">
        <v>69</v>
      </c>
      <c r="B150" t="s">
        <v>15</v>
      </c>
      <c r="C150" t="s">
        <v>55</v>
      </c>
      <c r="D150" t="s">
        <v>17</v>
      </c>
      <c r="E150" t="s">
        <v>18</v>
      </c>
      <c r="F150" t="s">
        <v>19</v>
      </c>
      <c r="G150" t="s">
        <v>20</v>
      </c>
      <c r="J150" t="s">
        <v>17</v>
      </c>
      <c r="K150" t="str">
        <f>"61020500"</f>
        <v>61020500</v>
      </c>
      <c r="L150" t="str">
        <f>"61020500"</f>
        <v>61020500</v>
      </c>
      <c r="M150" t="s">
        <v>21</v>
      </c>
      <c r="N150" s="1">
        <v>44253.56527777778</v>
      </c>
      <c r="O150" t="s">
        <v>19</v>
      </c>
    </row>
    <row r="151" spans="1:15" x14ac:dyDescent="0.25">
      <c r="A151" t="s">
        <v>70</v>
      </c>
      <c r="B151" t="s">
        <v>15</v>
      </c>
      <c r="C151" t="s">
        <v>55</v>
      </c>
      <c r="D151" t="s">
        <v>17</v>
      </c>
      <c r="E151" t="s">
        <v>18</v>
      </c>
      <c r="F151" t="s">
        <v>19</v>
      </c>
      <c r="G151" t="s">
        <v>20</v>
      </c>
      <c r="J151" t="s">
        <v>17</v>
      </c>
      <c r="K151" t="str">
        <f>"10113816"</f>
        <v>10113816</v>
      </c>
      <c r="L151" t="str">
        <f>"10113816"</f>
        <v>10113816</v>
      </c>
      <c r="M151" t="s">
        <v>21</v>
      </c>
      <c r="N151" s="1">
        <v>43125.684027777781</v>
      </c>
      <c r="O151" t="s">
        <v>19</v>
      </c>
    </row>
    <row r="152" spans="1:15" x14ac:dyDescent="0.25">
      <c r="A152" t="s">
        <v>71</v>
      </c>
      <c r="B152" t="s">
        <v>15</v>
      </c>
      <c r="C152" t="s">
        <v>55</v>
      </c>
      <c r="D152" t="s">
        <v>17</v>
      </c>
      <c r="E152" t="s">
        <v>18</v>
      </c>
      <c r="F152" t="s">
        <v>19</v>
      </c>
      <c r="G152" t="s">
        <v>20</v>
      </c>
      <c r="J152" t="s">
        <v>17</v>
      </c>
      <c r="K152" t="str">
        <f>"61020714"</f>
        <v>61020714</v>
      </c>
      <c r="L152" t="str">
        <f>"61020714"</f>
        <v>61020714</v>
      </c>
      <c r="M152" t="s">
        <v>21</v>
      </c>
      <c r="N152" s="1">
        <v>44252.930555555555</v>
      </c>
      <c r="O152" t="s">
        <v>19</v>
      </c>
    </row>
    <row r="153" spans="1:15" x14ac:dyDescent="0.25">
      <c r="A153" t="s">
        <v>72</v>
      </c>
      <c r="B153" t="s">
        <v>15</v>
      </c>
      <c r="C153" t="s">
        <v>55</v>
      </c>
      <c r="D153" t="s">
        <v>17</v>
      </c>
      <c r="E153" t="s">
        <v>18</v>
      </c>
      <c r="F153" t="s">
        <v>19</v>
      </c>
      <c r="G153" t="s">
        <v>20</v>
      </c>
      <c r="J153" t="s">
        <v>17</v>
      </c>
      <c r="K153" t="str">
        <f>"6851233255682"</f>
        <v>6851233255682</v>
      </c>
      <c r="L153" t="str">
        <f>"10119613"</f>
        <v>10119613</v>
      </c>
      <c r="M153" t="s">
        <v>21</v>
      </c>
      <c r="N153" s="1">
        <v>44254.811111111114</v>
      </c>
      <c r="O153" t="s">
        <v>19</v>
      </c>
    </row>
    <row r="154" spans="1:15" x14ac:dyDescent="0.25">
      <c r="A154" t="s">
        <v>73</v>
      </c>
      <c r="B154" t="s">
        <v>15</v>
      </c>
      <c r="C154" t="s">
        <v>55</v>
      </c>
      <c r="D154" t="s">
        <v>17</v>
      </c>
      <c r="E154" t="s">
        <v>18</v>
      </c>
      <c r="F154" t="s">
        <v>19</v>
      </c>
      <c r="G154" t="s">
        <v>20</v>
      </c>
      <c r="J154" t="s">
        <v>17</v>
      </c>
      <c r="K154" t="str">
        <f>"7858816082542"</f>
        <v>7858816082542</v>
      </c>
      <c r="L154" t="str">
        <f>"87028254"</f>
        <v>87028254</v>
      </c>
      <c r="M154" t="s">
        <v>21</v>
      </c>
      <c r="N154" s="1">
        <v>44404.728472222225</v>
      </c>
      <c r="O154" t="s">
        <v>19</v>
      </c>
    </row>
    <row r="155" spans="1:15" x14ac:dyDescent="0.25">
      <c r="A155" t="s">
        <v>74</v>
      </c>
      <c r="B155" t="s">
        <v>15</v>
      </c>
      <c r="C155" t="s">
        <v>35</v>
      </c>
      <c r="D155" t="s">
        <v>17</v>
      </c>
      <c r="E155" t="s">
        <v>18</v>
      </c>
      <c r="F155" t="s">
        <v>19</v>
      </c>
      <c r="G155" t="s">
        <v>20</v>
      </c>
      <c r="J155" t="s">
        <v>17</v>
      </c>
      <c r="K155" t="str">
        <f>"76020021"</f>
        <v>76020021</v>
      </c>
      <c r="L155" t="str">
        <f>"76020021"</f>
        <v>76020021</v>
      </c>
      <c r="M155" t="s">
        <v>75</v>
      </c>
      <c r="N155" s="1">
        <v>42872.847222222219</v>
      </c>
      <c r="O155" t="s">
        <v>19</v>
      </c>
    </row>
    <row r="156" spans="1:15" x14ac:dyDescent="0.25">
      <c r="A156" t="s">
        <v>76</v>
      </c>
      <c r="B156" t="s">
        <v>15</v>
      </c>
      <c r="C156" t="s">
        <v>35</v>
      </c>
      <c r="D156" t="s">
        <v>17</v>
      </c>
      <c r="E156" t="s">
        <v>18</v>
      </c>
      <c r="F156" t="s">
        <v>19</v>
      </c>
      <c r="G156" t="s">
        <v>20</v>
      </c>
      <c r="J156" t="s">
        <v>17</v>
      </c>
      <c r="K156" t="str">
        <f>"41120700"</f>
        <v>41120700</v>
      </c>
      <c r="L156" t="str">
        <f>"41120700"</f>
        <v>41120700</v>
      </c>
      <c r="M156" t="s">
        <v>21</v>
      </c>
      <c r="N156" s="1">
        <v>42964.711111111108</v>
      </c>
      <c r="O156" t="s">
        <v>19</v>
      </c>
    </row>
    <row r="157" spans="1:15" x14ac:dyDescent="0.25">
      <c r="A157" t="s">
        <v>77</v>
      </c>
      <c r="B157" t="s">
        <v>15</v>
      </c>
      <c r="C157" t="s">
        <v>35</v>
      </c>
      <c r="D157" t="s">
        <v>17</v>
      </c>
      <c r="E157" t="s">
        <v>18</v>
      </c>
      <c r="F157" t="s">
        <v>19</v>
      </c>
      <c r="G157" t="s">
        <v>20</v>
      </c>
      <c r="J157" t="s">
        <v>17</v>
      </c>
      <c r="K157" t="str">
        <f>"6986692983873"</f>
        <v>6986692983873</v>
      </c>
      <c r="L157" t="str">
        <f>"40021310"</f>
        <v>40021310</v>
      </c>
      <c r="M157" t="s">
        <v>21</v>
      </c>
      <c r="N157" s="1">
        <v>44225.875694444447</v>
      </c>
      <c r="O157" t="s">
        <v>19</v>
      </c>
    </row>
    <row r="158" spans="1:15" x14ac:dyDescent="0.25">
      <c r="A158" t="s">
        <v>78</v>
      </c>
      <c r="B158" t="s">
        <v>15</v>
      </c>
      <c r="C158" t="s">
        <v>35</v>
      </c>
      <c r="D158" t="s">
        <v>17</v>
      </c>
      <c r="E158" t="s">
        <v>18</v>
      </c>
      <c r="F158" t="s">
        <v>19</v>
      </c>
      <c r="G158" t="s">
        <v>20</v>
      </c>
      <c r="J158" t="s">
        <v>17</v>
      </c>
      <c r="K158" t="str">
        <f>"66021310"</f>
        <v>66021310</v>
      </c>
      <c r="L158" t="str">
        <f>"66021310"</f>
        <v>66021310</v>
      </c>
      <c r="M158" t="s">
        <v>75</v>
      </c>
      <c r="N158" s="1">
        <v>43033.725694444445</v>
      </c>
      <c r="O158" t="s">
        <v>19</v>
      </c>
    </row>
    <row r="159" spans="1:15" x14ac:dyDescent="0.25">
      <c r="A159" t="s">
        <v>79</v>
      </c>
      <c r="B159" t="s">
        <v>15</v>
      </c>
      <c r="C159" t="s">
        <v>35</v>
      </c>
      <c r="D159" t="s">
        <v>17</v>
      </c>
      <c r="E159" t="s">
        <v>18</v>
      </c>
      <c r="F159" t="s">
        <v>19</v>
      </c>
      <c r="G159" t="s">
        <v>20</v>
      </c>
      <c r="J159" t="s">
        <v>17</v>
      </c>
      <c r="K159" t="str">
        <f>"7858816050275"</f>
        <v>7858816050275</v>
      </c>
      <c r="L159" t="str">
        <f>"87025027"</f>
        <v>87025027</v>
      </c>
      <c r="M159" t="s">
        <v>21</v>
      </c>
      <c r="N159" s="1">
        <v>44211.910416666666</v>
      </c>
      <c r="O159" t="s">
        <v>19</v>
      </c>
    </row>
    <row r="160" spans="1:15" x14ac:dyDescent="0.25">
      <c r="A160" t="s">
        <v>80</v>
      </c>
      <c r="B160" t="s">
        <v>15</v>
      </c>
      <c r="C160" t="s">
        <v>35</v>
      </c>
      <c r="D160" t="s">
        <v>17</v>
      </c>
      <c r="E160" t="s">
        <v>18</v>
      </c>
      <c r="F160" t="s">
        <v>19</v>
      </c>
      <c r="G160" t="s">
        <v>20</v>
      </c>
      <c r="J160" t="s">
        <v>17</v>
      </c>
      <c r="K160" t="str">
        <f>"87000815"</f>
        <v>87000815</v>
      </c>
      <c r="L160" t="str">
        <f>"87000815"</f>
        <v>87000815</v>
      </c>
      <c r="M160" t="s">
        <v>75</v>
      </c>
      <c r="N160" s="1">
        <v>42872.847222222219</v>
      </c>
      <c r="O160" t="s">
        <v>19</v>
      </c>
    </row>
    <row r="161" spans="1:15" x14ac:dyDescent="0.25">
      <c r="A161" t="s">
        <v>80</v>
      </c>
      <c r="B161" t="s">
        <v>15</v>
      </c>
      <c r="C161" t="s">
        <v>35</v>
      </c>
      <c r="D161" t="s">
        <v>17</v>
      </c>
      <c r="E161" t="s">
        <v>18</v>
      </c>
      <c r="F161" t="s">
        <v>19</v>
      </c>
      <c r="G161" t="s">
        <v>20</v>
      </c>
      <c r="J161" t="s">
        <v>17</v>
      </c>
      <c r="K161" t="str">
        <f>"7858816008153"</f>
        <v>7858816008153</v>
      </c>
      <c r="L161" t="str">
        <f>"87020815"</f>
        <v>87020815</v>
      </c>
      <c r="M161" t="s">
        <v>21</v>
      </c>
      <c r="N161" s="1">
        <v>42872.847222222219</v>
      </c>
      <c r="O161" t="s">
        <v>19</v>
      </c>
    </row>
    <row r="162" spans="1:15" x14ac:dyDescent="0.25">
      <c r="A162" t="s">
        <v>81</v>
      </c>
      <c r="B162" t="s">
        <v>15</v>
      </c>
      <c r="C162" t="s">
        <v>35</v>
      </c>
      <c r="D162" t="s">
        <v>17</v>
      </c>
      <c r="E162" t="s">
        <v>18</v>
      </c>
      <c r="F162" t="s">
        <v>19</v>
      </c>
      <c r="G162" t="s">
        <v>20</v>
      </c>
      <c r="J162" t="s">
        <v>17</v>
      </c>
      <c r="K162" t="str">
        <f>"98020220"</f>
        <v>98020220</v>
      </c>
      <c r="L162" t="str">
        <f>"98020220"</f>
        <v>98020220</v>
      </c>
      <c r="M162" t="s">
        <v>21</v>
      </c>
      <c r="N162" s="1">
        <v>44455.840277777781</v>
      </c>
      <c r="O162" t="s">
        <v>19</v>
      </c>
    </row>
    <row r="163" spans="1:15" x14ac:dyDescent="0.25">
      <c r="A163" t="s">
        <v>82</v>
      </c>
      <c r="B163" t="s">
        <v>15</v>
      </c>
      <c r="C163" t="s">
        <v>35</v>
      </c>
      <c r="D163" t="s">
        <v>17</v>
      </c>
      <c r="E163" t="s">
        <v>18</v>
      </c>
      <c r="F163" t="s">
        <v>19</v>
      </c>
      <c r="G163" t="s">
        <v>20</v>
      </c>
      <c r="J163" t="s">
        <v>17</v>
      </c>
      <c r="K163" t="str">
        <f>"798302161955"</f>
        <v>798302161955</v>
      </c>
      <c r="L163" t="str">
        <f>"98020358"</f>
        <v>98020358</v>
      </c>
      <c r="M163" t="s">
        <v>21</v>
      </c>
      <c r="N163" s="1">
        <v>43985.872916666667</v>
      </c>
      <c r="O163" t="s">
        <v>19</v>
      </c>
    </row>
    <row r="164" spans="1:15" x14ac:dyDescent="0.25">
      <c r="A164" t="s">
        <v>83</v>
      </c>
      <c r="B164" t="s">
        <v>15</v>
      </c>
      <c r="C164" t="s">
        <v>35</v>
      </c>
      <c r="D164" t="s">
        <v>17</v>
      </c>
      <c r="E164" t="s">
        <v>18</v>
      </c>
      <c r="F164" t="s">
        <v>19</v>
      </c>
      <c r="G164" t="s">
        <v>20</v>
      </c>
      <c r="J164" t="s">
        <v>17</v>
      </c>
      <c r="K164" t="str">
        <f>"5620000910090"</f>
        <v>5620000910090</v>
      </c>
      <c r="L164" t="str">
        <f>"280291009"</f>
        <v>280291009</v>
      </c>
      <c r="M164" t="s">
        <v>84</v>
      </c>
      <c r="N164" s="1">
        <v>43335.901388888888</v>
      </c>
      <c r="O164" t="s">
        <v>19</v>
      </c>
    </row>
    <row r="165" spans="1:15" x14ac:dyDescent="0.25">
      <c r="A165" t="s">
        <v>85</v>
      </c>
      <c r="B165" t="s">
        <v>15</v>
      </c>
      <c r="C165" t="s">
        <v>35</v>
      </c>
      <c r="D165" t="s">
        <v>17</v>
      </c>
      <c r="E165" t="s">
        <v>18</v>
      </c>
      <c r="F165" t="s">
        <v>19</v>
      </c>
      <c r="G165" t="s">
        <v>20</v>
      </c>
      <c r="J165" t="s">
        <v>17</v>
      </c>
      <c r="K165" t="str">
        <f>"28924010"</f>
        <v>28924010</v>
      </c>
      <c r="L165" t="str">
        <f>"28924010"</f>
        <v>28924010</v>
      </c>
      <c r="M165" t="s">
        <v>84</v>
      </c>
      <c r="N165" s="1">
        <v>43502.588194444441</v>
      </c>
      <c r="O165" t="s">
        <v>19</v>
      </c>
    </row>
    <row r="166" spans="1:15" x14ac:dyDescent="0.25">
      <c r="A166" t="s">
        <v>86</v>
      </c>
      <c r="B166" t="s">
        <v>15</v>
      </c>
      <c r="C166" t="s">
        <v>35</v>
      </c>
      <c r="D166" t="s">
        <v>17</v>
      </c>
      <c r="E166" t="s">
        <v>18</v>
      </c>
      <c r="F166" t="s">
        <v>19</v>
      </c>
      <c r="G166" t="s">
        <v>20</v>
      </c>
      <c r="J166" t="s">
        <v>17</v>
      </c>
      <c r="K166" t="str">
        <f>"10000321"</f>
        <v>10000321</v>
      </c>
      <c r="L166" t="str">
        <f>"10000321"</f>
        <v>10000321</v>
      </c>
      <c r="M166" t="s">
        <v>75</v>
      </c>
      <c r="N166" s="1">
        <v>42872.839583333334</v>
      </c>
      <c r="O166" t="s">
        <v>19</v>
      </c>
    </row>
    <row r="167" spans="1:15" x14ac:dyDescent="0.25">
      <c r="A167" t="s">
        <v>87</v>
      </c>
      <c r="B167" t="s">
        <v>15</v>
      </c>
      <c r="C167" t="s">
        <v>35</v>
      </c>
      <c r="D167" t="s">
        <v>17</v>
      </c>
      <c r="E167" t="s">
        <v>18</v>
      </c>
      <c r="F167" t="s">
        <v>19</v>
      </c>
      <c r="G167" t="s">
        <v>20</v>
      </c>
      <c r="J167" t="s">
        <v>17</v>
      </c>
      <c r="K167" t="str">
        <f>"6970463506040"</f>
        <v>6970463506040</v>
      </c>
      <c r="L167" t="str">
        <f>"10003169"</f>
        <v>10003169</v>
      </c>
      <c r="M167" t="s">
        <v>21</v>
      </c>
      <c r="N167" s="1">
        <v>43719.897222222222</v>
      </c>
      <c r="O167" t="s">
        <v>19</v>
      </c>
    </row>
    <row r="168" spans="1:15" x14ac:dyDescent="0.25">
      <c r="A168" t="s">
        <v>88</v>
      </c>
      <c r="B168" t="s">
        <v>15</v>
      </c>
      <c r="C168" t="s">
        <v>35</v>
      </c>
      <c r="D168" t="s">
        <v>17</v>
      </c>
      <c r="E168" t="s">
        <v>18</v>
      </c>
      <c r="F168" t="s">
        <v>19</v>
      </c>
      <c r="G168" t="s">
        <v>20</v>
      </c>
      <c r="J168" t="s">
        <v>17</v>
      </c>
      <c r="K168" t="str">
        <f>"10007852"</f>
        <v>10007852</v>
      </c>
      <c r="L168" t="str">
        <f>"10007852"</f>
        <v>10007852</v>
      </c>
      <c r="M168" t="s">
        <v>75</v>
      </c>
      <c r="N168" s="1">
        <v>42872.839583333334</v>
      </c>
      <c r="O168" t="s">
        <v>19</v>
      </c>
    </row>
    <row r="169" spans="1:15" x14ac:dyDescent="0.25">
      <c r="A169" t="s">
        <v>89</v>
      </c>
      <c r="B169" t="s">
        <v>15</v>
      </c>
      <c r="C169" t="s">
        <v>37</v>
      </c>
      <c r="D169" t="s">
        <v>17</v>
      </c>
      <c r="E169" t="s">
        <v>18</v>
      </c>
      <c r="F169" t="s">
        <v>19</v>
      </c>
      <c r="G169" t="s">
        <v>20</v>
      </c>
      <c r="J169" t="s">
        <v>17</v>
      </c>
      <c r="K169" t="str">
        <f>"70GPRACC01"</f>
        <v>70GPRACC01</v>
      </c>
      <c r="L169" t="str">
        <f>"70GPRACC01"</f>
        <v>70GPRACC01</v>
      </c>
      <c r="M169" t="s">
        <v>21</v>
      </c>
      <c r="N169" s="1">
        <v>44001.665277777778</v>
      </c>
      <c r="O169" t="s">
        <v>19</v>
      </c>
    </row>
    <row r="170" spans="1:15" x14ac:dyDescent="0.25">
      <c r="A170" t="s">
        <v>90</v>
      </c>
      <c r="B170" t="s">
        <v>15</v>
      </c>
      <c r="C170" t="s">
        <v>37</v>
      </c>
      <c r="D170" t="s">
        <v>17</v>
      </c>
      <c r="E170" t="s">
        <v>18</v>
      </c>
      <c r="F170" t="s">
        <v>19</v>
      </c>
      <c r="G170" t="s">
        <v>20</v>
      </c>
      <c r="J170" t="s">
        <v>18</v>
      </c>
      <c r="K170" t="str">
        <f>"7858816060274"</f>
        <v>7858816060274</v>
      </c>
      <c r="L170" t="str">
        <f>"87526027"</f>
        <v>87526027</v>
      </c>
      <c r="M170" t="s">
        <v>21</v>
      </c>
      <c r="N170" s="1">
        <v>44211.770138888889</v>
      </c>
      <c r="O170" t="s">
        <v>19</v>
      </c>
    </row>
    <row r="171" spans="1:15" x14ac:dyDescent="0.25">
      <c r="A171" t="s">
        <v>91</v>
      </c>
      <c r="B171" t="s">
        <v>15</v>
      </c>
      <c r="C171" t="s">
        <v>35</v>
      </c>
      <c r="D171" t="s">
        <v>17</v>
      </c>
      <c r="E171" t="s">
        <v>18</v>
      </c>
      <c r="F171" t="s">
        <v>19</v>
      </c>
      <c r="G171" t="s">
        <v>20</v>
      </c>
      <c r="J171" t="s">
        <v>17</v>
      </c>
      <c r="K171" t="str">
        <f>"6686996119229"</f>
        <v>6686996119229</v>
      </c>
      <c r="L171" t="str">
        <f>"40026019"</f>
        <v>40026019</v>
      </c>
      <c r="M171" t="s">
        <v>21</v>
      </c>
      <c r="N171" s="1">
        <v>42872.849305555559</v>
      </c>
      <c r="O171" t="s">
        <v>19</v>
      </c>
    </row>
    <row r="172" spans="1:15" x14ac:dyDescent="0.25">
      <c r="A172" t="s">
        <v>92</v>
      </c>
      <c r="B172" t="s">
        <v>15</v>
      </c>
      <c r="C172" t="s">
        <v>35</v>
      </c>
      <c r="D172" t="s">
        <v>17</v>
      </c>
      <c r="E172" t="s">
        <v>18</v>
      </c>
      <c r="F172" t="s">
        <v>19</v>
      </c>
      <c r="G172" t="s">
        <v>20</v>
      </c>
      <c r="J172" t="s">
        <v>17</v>
      </c>
      <c r="K172" t="str">
        <f>"7891766088882"</f>
        <v>7891766088882</v>
      </c>
      <c r="L172" t="str">
        <f>"40028882"</f>
        <v>40028882</v>
      </c>
      <c r="M172" t="s">
        <v>21</v>
      </c>
      <c r="N172" s="1">
        <v>44349.788888888892</v>
      </c>
      <c r="O172" t="s">
        <v>19</v>
      </c>
    </row>
    <row r="173" spans="1:15" x14ac:dyDescent="0.25">
      <c r="A173" t="s">
        <v>93</v>
      </c>
      <c r="B173" t="s">
        <v>15</v>
      </c>
      <c r="C173" t="s">
        <v>35</v>
      </c>
      <c r="D173" t="s">
        <v>17</v>
      </c>
      <c r="E173" t="s">
        <v>18</v>
      </c>
      <c r="F173" t="s">
        <v>19</v>
      </c>
      <c r="G173" t="s">
        <v>20</v>
      </c>
      <c r="J173" t="s">
        <v>17</v>
      </c>
      <c r="K173" t="str">
        <f>"7858816001970"</f>
        <v>7858816001970</v>
      </c>
      <c r="L173" t="str">
        <f>"87020197"</f>
        <v>87020197</v>
      </c>
      <c r="M173" t="s">
        <v>21</v>
      </c>
      <c r="N173" s="1">
        <v>44211.853472222225</v>
      </c>
      <c r="O173" t="s">
        <v>19</v>
      </c>
    </row>
    <row r="174" spans="1:15" x14ac:dyDescent="0.25">
      <c r="A174" t="s">
        <v>94</v>
      </c>
      <c r="B174" t="s">
        <v>15</v>
      </c>
      <c r="C174" t="s">
        <v>35</v>
      </c>
      <c r="D174" t="s">
        <v>17</v>
      </c>
      <c r="E174" t="s">
        <v>18</v>
      </c>
      <c r="F174" t="s">
        <v>19</v>
      </c>
      <c r="G174" t="s">
        <v>20</v>
      </c>
      <c r="J174" t="s">
        <v>17</v>
      </c>
      <c r="K174" t="str">
        <f>"8765789012324"</f>
        <v>8765789012324</v>
      </c>
      <c r="L174" t="str">
        <f>"98020525"</f>
        <v>98020525</v>
      </c>
      <c r="M174" t="s">
        <v>21</v>
      </c>
      <c r="N174" s="1">
        <v>43994.871527777781</v>
      </c>
      <c r="O174" t="s">
        <v>19</v>
      </c>
    </row>
    <row r="175" spans="1:15" x14ac:dyDescent="0.25">
      <c r="A175" t="s">
        <v>95</v>
      </c>
      <c r="B175" t="s">
        <v>15</v>
      </c>
      <c r="C175" t="s">
        <v>35</v>
      </c>
      <c r="D175" t="s">
        <v>17</v>
      </c>
      <c r="E175" t="s">
        <v>18</v>
      </c>
      <c r="F175" t="s">
        <v>19</v>
      </c>
      <c r="G175" t="s">
        <v>20</v>
      </c>
      <c r="J175" t="s">
        <v>17</v>
      </c>
      <c r="K175" t="str">
        <f>"10003300"</f>
        <v>10003300</v>
      </c>
      <c r="L175" t="str">
        <f>"10003300"</f>
        <v>10003300</v>
      </c>
      <c r="M175" t="s">
        <v>84</v>
      </c>
      <c r="N175" s="1">
        <v>43396.68472222222</v>
      </c>
      <c r="O175" t="s">
        <v>19</v>
      </c>
    </row>
    <row r="176" spans="1:15" x14ac:dyDescent="0.25">
      <c r="A176" t="s">
        <v>96</v>
      </c>
      <c r="B176" t="s">
        <v>15</v>
      </c>
      <c r="C176" t="s">
        <v>35</v>
      </c>
      <c r="D176" t="s">
        <v>17</v>
      </c>
      <c r="E176" t="s">
        <v>18</v>
      </c>
      <c r="F176" t="s">
        <v>19</v>
      </c>
      <c r="G176" t="s">
        <v>20</v>
      </c>
      <c r="J176" t="s">
        <v>17</v>
      </c>
      <c r="K176" t="str">
        <f>"10026721"</f>
        <v>10026721</v>
      </c>
      <c r="L176" t="str">
        <f>"10026721"</f>
        <v>10026721</v>
      </c>
      <c r="M176" t="s">
        <v>75</v>
      </c>
      <c r="N176" s="1">
        <v>43110.944444444445</v>
      </c>
      <c r="O176" t="s">
        <v>19</v>
      </c>
    </row>
    <row r="177" spans="1:15" x14ac:dyDescent="0.25">
      <c r="A177" t="s">
        <v>97</v>
      </c>
      <c r="B177" t="s">
        <v>15</v>
      </c>
      <c r="C177" t="s">
        <v>35</v>
      </c>
      <c r="D177" t="s">
        <v>17</v>
      </c>
      <c r="E177" t="s">
        <v>18</v>
      </c>
      <c r="F177" t="s">
        <v>19</v>
      </c>
      <c r="G177" t="s">
        <v>20</v>
      </c>
      <c r="J177" t="s">
        <v>17</v>
      </c>
      <c r="K177" t="str">
        <f>"10106721"</f>
        <v>10106721</v>
      </c>
      <c r="L177" t="str">
        <f>"10106721"</f>
        <v>10106721</v>
      </c>
      <c r="M177" t="s">
        <v>84</v>
      </c>
      <c r="N177" s="1">
        <v>43307.93472222222</v>
      </c>
      <c r="O177" t="s">
        <v>19</v>
      </c>
    </row>
    <row r="178" spans="1:15" x14ac:dyDescent="0.25">
      <c r="A178" t="s">
        <v>98</v>
      </c>
      <c r="B178" t="s">
        <v>15</v>
      </c>
      <c r="C178" t="s">
        <v>55</v>
      </c>
      <c r="D178" t="s">
        <v>17</v>
      </c>
      <c r="E178" t="s">
        <v>18</v>
      </c>
      <c r="F178" t="s">
        <v>19</v>
      </c>
      <c r="G178" t="s">
        <v>20</v>
      </c>
      <c r="J178" t="s">
        <v>17</v>
      </c>
      <c r="K178" t="str">
        <f>"6813653282686"</f>
        <v>6813653282686</v>
      </c>
      <c r="L178" t="str">
        <f>"34020700"</f>
        <v>34020700</v>
      </c>
      <c r="M178" t="s">
        <v>84</v>
      </c>
      <c r="N178" s="1">
        <v>43463.97152777778</v>
      </c>
      <c r="O178" t="s">
        <v>19</v>
      </c>
    </row>
    <row r="179" spans="1:15" x14ac:dyDescent="0.25">
      <c r="A179" t="s">
        <v>99</v>
      </c>
      <c r="B179" t="s">
        <v>15</v>
      </c>
      <c r="C179" t="s">
        <v>35</v>
      </c>
      <c r="D179" t="s">
        <v>17</v>
      </c>
      <c r="E179" t="s">
        <v>18</v>
      </c>
      <c r="F179" t="s">
        <v>19</v>
      </c>
      <c r="G179" t="s">
        <v>20</v>
      </c>
      <c r="J179" t="s">
        <v>17</v>
      </c>
      <c r="K179" t="str">
        <f>"10108910"</f>
        <v>10108910</v>
      </c>
      <c r="L179" t="str">
        <f>"10108910"</f>
        <v>10108910</v>
      </c>
      <c r="M179" t="s">
        <v>84</v>
      </c>
      <c r="N179" s="1">
        <v>43396.727777777778</v>
      </c>
      <c r="O179" t="s">
        <v>19</v>
      </c>
    </row>
    <row r="180" spans="1:15" x14ac:dyDescent="0.25">
      <c r="A180" t="s">
        <v>100</v>
      </c>
      <c r="B180" t="s">
        <v>15</v>
      </c>
      <c r="C180" t="s">
        <v>35</v>
      </c>
      <c r="D180" t="s">
        <v>17</v>
      </c>
      <c r="E180" t="s">
        <v>18</v>
      </c>
      <c r="F180" t="s">
        <v>19</v>
      </c>
      <c r="G180" t="s">
        <v>20</v>
      </c>
      <c r="J180" t="s">
        <v>17</v>
      </c>
      <c r="K180" t="str">
        <f>"861205003"</f>
        <v>861205003</v>
      </c>
      <c r="L180" t="str">
        <f>"861205003"</f>
        <v>861205003</v>
      </c>
      <c r="M180" t="s">
        <v>84</v>
      </c>
      <c r="N180" s="1">
        <v>43355.895833333336</v>
      </c>
      <c r="O180" t="s">
        <v>19</v>
      </c>
    </row>
    <row r="181" spans="1:15" x14ac:dyDescent="0.25">
      <c r="A181" t="s">
        <v>101</v>
      </c>
      <c r="B181" t="s">
        <v>15</v>
      </c>
      <c r="C181" t="s">
        <v>55</v>
      </c>
      <c r="D181" t="s">
        <v>17</v>
      </c>
      <c r="E181" t="s">
        <v>18</v>
      </c>
      <c r="F181" t="s">
        <v>19</v>
      </c>
      <c r="G181" t="s">
        <v>20</v>
      </c>
      <c r="J181" t="s">
        <v>17</v>
      </c>
      <c r="K181" t="str">
        <f>"4712366969100"</f>
        <v>4712366969100</v>
      </c>
      <c r="L181" t="str">
        <f>"98020001"</f>
        <v>98020001</v>
      </c>
      <c r="M181" t="s">
        <v>84</v>
      </c>
      <c r="N181" s="1">
        <v>43313.932638888888</v>
      </c>
      <c r="O181" t="s">
        <v>19</v>
      </c>
    </row>
    <row r="182" spans="1:15" x14ac:dyDescent="0.25">
      <c r="A182" t="s">
        <v>102</v>
      </c>
      <c r="B182" t="s">
        <v>15</v>
      </c>
      <c r="C182" t="s">
        <v>35</v>
      </c>
      <c r="D182" t="s">
        <v>17</v>
      </c>
      <c r="E182" t="s">
        <v>18</v>
      </c>
      <c r="F182" t="s">
        <v>19</v>
      </c>
      <c r="G182" t="s">
        <v>20</v>
      </c>
      <c r="J182" t="s">
        <v>17</v>
      </c>
      <c r="K182" t="str">
        <f>"10020321"</f>
        <v>10020321</v>
      </c>
      <c r="L182" t="str">
        <f>"10020321"</f>
        <v>10020321</v>
      </c>
      <c r="M182" t="s">
        <v>75</v>
      </c>
      <c r="N182" s="1">
        <v>42872.839583333334</v>
      </c>
      <c r="O182" t="s">
        <v>19</v>
      </c>
    </row>
    <row r="183" spans="1:15" x14ac:dyDescent="0.25">
      <c r="A183" t="s">
        <v>103</v>
      </c>
      <c r="B183" t="s">
        <v>15</v>
      </c>
      <c r="C183" t="s">
        <v>35</v>
      </c>
      <c r="D183" t="s">
        <v>17</v>
      </c>
      <c r="E183" t="s">
        <v>18</v>
      </c>
      <c r="F183" t="s">
        <v>19</v>
      </c>
      <c r="G183" t="s">
        <v>20</v>
      </c>
      <c r="J183" t="s">
        <v>17</v>
      </c>
      <c r="K183" t="str">
        <f>"6986698983280"</f>
        <v>6986698983280</v>
      </c>
      <c r="L183" t="str">
        <f>"400298328"</f>
        <v>400298328</v>
      </c>
      <c r="M183" t="s">
        <v>21</v>
      </c>
      <c r="N183" s="1">
        <v>42872.839583333334</v>
      </c>
      <c r="O183" t="s">
        <v>19</v>
      </c>
    </row>
    <row r="184" spans="1:15" x14ac:dyDescent="0.25">
      <c r="A184" t="s">
        <v>104</v>
      </c>
      <c r="B184" t="s">
        <v>15</v>
      </c>
      <c r="C184" t="s">
        <v>35</v>
      </c>
      <c r="D184" t="s">
        <v>17</v>
      </c>
      <c r="E184" t="s">
        <v>18</v>
      </c>
      <c r="F184" t="s">
        <v>19</v>
      </c>
      <c r="G184" t="s">
        <v>20</v>
      </c>
      <c r="J184" t="s">
        <v>17</v>
      </c>
      <c r="K184" t="str">
        <f>"7858816032172"</f>
        <v>7858816032172</v>
      </c>
      <c r="L184" t="str">
        <f>"87023217"</f>
        <v>87023217</v>
      </c>
      <c r="M184" t="s">
        <v>84</v>
      </c>
      <c r="N184" s="1">
        <v>43257.68472222222</v>
      </c>
      <c r="O184" t="s">
        <v>19</v>
      </c>
    </row>
    <row r="185" spans="1:15" x14ac:dyDescent="0.25">
      <c r="A185" t="s">
        <v>105</v>
      </c>
      <c r="B185" t="s">
        <v>15</v>
      </c>
      <c r="C185" t="s">
        <v>35</v>
      </c>
      <c r="D185" t="s">
        <v>17</v>
      </c>
      <c r="E185" t="s">
        <v>18</v>
      </c>
      <c r="F185" t="s">
        <v>19</v>
      </c>
      <c r="G185" t="s">
        <v>20</v>
      </c>
      <c r="J185" t="s">
        <v>17</v>
      </c>
      <c r="K185" t="str">
        <f>"76020004"</f>
        <v>76020004</v>
      </c>
      <c r="L185" t="str">
        <f>"76020004"</f>
        <v>76020004</v>
      </c>
      <c r="M185" t="s">
        <v>75</v>
      </c>
      <c r="N185" s="1">
        <v>42872.847222222219</v>
      </c>
      <c r="O185" t="s">
        <v>19</v>
      </c>
    </row>
    <row r="186" spans="1:15" x14ac:dyDescent="0.25">
      <c r="A186" t="s">
        <v>106</v>
      </c>
      <c r="B186" t="s">
        <v>15</v>
      </c>
      <c r="C186" t="s">
        <v>35</v>
      </c>
      <c r="D186" t="s">
        <v>17</v>
      </c>
      <c r="E186" t="s">
        <v>18</v>
      </c>
      <c r="F186" t="s">
        <v>19</v>
      </c>
      <c r="G186" t="s">
        <v>20</v>
      </c>
      <c r="J186" t="s">
        <v>17</v>
      </c>
      <c r="K186" t="str">
        <f>"340207107"</f>
        <v>340207107</v>
      </c>
      <c r="L186" t="str">
        <f>"340207107"</f>
        <v>340207107</v>
      </c>
      <c r="M186" t="s">
        <v>75</v>
      </c>
      <c r="N186" s="1">
        <v>42872.849305555559</v>
      </c>
      <c r="O186" t="s">
        <v>19</v>
      </c>
    </row>
    <row r="187" spans="1:15" x14ac:dyDescent="0.25">
      <c r="A187" t="s">
        <v>107</v>
      </c>
      <c r="B187" t="s">
        <v>15</v>
      </c>
      <c r="C187" t="s">
        <v>35</v>
      </c>
      <c r="D187" t="s">
        <v>17</v>
      </c>
      <c r="E187" t="s">
        <v>18</v>
      </c>
      <c r="F187" t="s">
        <v>19</v>
      </c>
      <c r="G187" t="s">
        <v>20</v>
      </c>
      <c r="J187" t="s">
        <v>17</v>
      </c>
      <c r="K187" t="str">
        <f>"17120700"</f>
        <v>17120700</v>
      </c>
      <c r="L187" t="str">
        <f>"17120700"</f>
        <v>17120700</v>
      </c>
      <c r="M187" t="s">
        <v>75</v>
      </c>
      <c r="N187" s="1">
        <v>42872.839583333334</v>
      </c>
      <c r="O187" t="s">
        <v>19</v>
      </c>
    </row>
    <row r="188" spans="1:15" x14ac:dyDescent="0.25">
      <c r="A188" t="s">
        <v>108</v>
      </c>
      <c r="B188" t="s">
        <v>15</v>
      </c>
      <c r="C188" t="s">
        <v>55</v>
      </c>
      <c r="D188" t="s">
        <v>17</v>
      </c>
      <c r="E188" t="s">
        <v>18</v>
      </c>
      <c r="F188" t="s">
        <v>19</v>
      </c>
      <c r="G188" t="s">
        <v>20</v>
      </c>
      <c r="J188" t="s">
        <v>17</v>
      </c>
      <c r="K188" t="str">
        <f>"61020700"</f>
        <v>61020700</v>
      </c>
      <c r="L188" t="str">
        <f>"61020700"</f>
        <v>61020700</v>
      </c>
      <c r="M188" t="s">
        <v>84</v>
      </c>
      <c r="N188" s="1">
        <v>43463.958333333336</v>
      </c>
      <c r="O188" t="s">
        <v>19</v>
      </c>
    </row>
    <row r="189" spans="1:15" x14ac:dyDescent="0.25">
      <c r="A189" t="s">
        <v>109</v>
      </c>
      <c r="B189" t="s">
        <v>15</v>
      </c>
      <c r="C189" t="s">
        <v>55</v>
      </c>
      <c r="D189" t="s">
        <v>17</v>
      </c>
      <c r="E189" t="s">
        <v>18</v>
      </c>
      <c r="F189" t="s">
        <v>19</v>
      </c>
      <c r="G189" t="s">
        <v>20</v>
      </c>
      <c r="J189" t="s">
        <v>17</v>
      </c>
      <c r="K189" t="str">
        <f>"6956116718978"</f>
        <v>6956116718978</v>
      </c>
      <c r="L189" t="str">
        <f>"40020403"</f>
        <v>40020403</v>
      </c>
      <c r="M189" t="s">
        <v>21</v>
      </c>
      <c r="N189" s="1">
        <v>42872.847222222219</v>
      </c>
      <c r="O189" t="s">
        <v>19</v>
      </c>
    </row>
    <row r="190" spans="1:15" x14ac:dyDescent="0.25">
      <c r="A190" t="s">
        <v>110</v>
      </c>
      <c r="B190" t="s">
        <v>15</v>
      </c>
      <c r="C190" t="s">
        <v>55</v>
      </c>
      <c r="D190" t="s">
        <v>17</v>
      </c>
      <c r="E190" t="s">
        <v>18</v>
      </c>
      <c r="F190" t="s">
        <v>19</v>
      </c>
      <c r="G190" t="s">
        <v>20</v>
      </c>
      <c r="J190" t="s">
        <v>17</v>
      </c>
      <c r="K190" t="str">
        <f>"7858816070891"</f>
        <v>7858816070891</v>
      </c>
      <c r="L190" t="str">
        <f>"87027089"</f>
        <v>87027089</v>
      </c>
      <c r="M190" t="s">
        <v>21</v>
      </c>
      <c r="N190" s="1">
        <v>43595.811111111114</v>
      </c>
      <c r="O190" t="s">
        <v>19</v>
      </c>
    </row>
    <row r="191" spans="1:15" x14ac:dyDescent="0.25">
      <c r="A191" t="s">
        <v>110</v>
      </c>
      <c r="B191" t="s">
        <v>15</v>
      </c>
      <c r="C191" t="s">
        <v>55</v>
      </c>
      <c r="D191" t="s">
        <v>17</v>
      </c>
      <c r="E191" t="s">
        <v>18</v>
      </c>
      <c r="F191" t="s">
        <v>19</v>
      </c>
      <c r="G191" t="s">
        <v>20</v>
      </c>
      <c r="J191" t="s">
        <v>17</v>
      </c>
      <c r="K191" t="str">
        <f>"61020701"</f>
        <v>61020701</v>
      </c>
      <c r="L191" t="str">
        <f>"61020701"</f>
        <v>61020701</v>
      </c>
      <c r="M191" t="s">
        <v>21</v>
      </c>
      <c r="N191" s="1">
        <v>44253.56527777778</v>
      </c>
      <c r="O191" t="s">
        <v>19</v>
      </c>
    </row>
    <row r="192" spans="1:15" x14ac:dyDescent="0.25">
      <c r="A192" t="s">
        <v>111</v>
      </c>
      <c r="B192" t="s">
        <v>15</v>
      </c>
      <c r="C192" t="s">
        <v>55</v>
      </c>
      <c r="D192" t="s">
        <v>17</v>
      </c>
      <c r="E192" t="s">
        <v>18</v>
      </c>
      <c r="F192" t="s">
        <v>19</v>
      </c>
      <c r="G192" t="s">
        <v>20</v>
      </c>
      <c r="J192" t="s">
        <v>17</v>
      </c>
      <c r="K192" t="str">
        <f>"6956116718985"</f>
        <v>6956116718985</v>
      </c>
      <c r="L192" t="str">
        <f>"40020104"</f>
        <v>40020104</v>
      </c>
      <c r="M192" t="s">
        <v>21</v>
      </c>
      <c r="N192" s="1">
        <v>44225.870833333334</v>
      </c>
      <c r="O192" t="s">
        <v>19</v>
      </c>
    </row>
    <row r="193" spans="1:15" x14ac:dyDescent="0.25">
      <c r="A193" t="s">
        <v>112</v>
      </c>
      <c r="B193" t="s">
        <v>15</v>
      </c>
      <c r="C193" t="s">
        <v>55</v>
      </c>
      <c r="D193" t="s">
        <v>17</v>
      </c>
      <c r="E193" t="s">
        <v>18</v>
      </c>
      <c r="F193" t="s">
        <v>19</v>
      </c>
      <c r="G193" t="s">
        <v>20</v>
      </c>
      <c r="J193" t="s">
        <v>17</v>
      </c>
      <c r="K193" t="str">
        <f>"6971696236551"</f>
        <v>6971696236551</v>
      </c>
      <c r="L193" t="str">
        <f>"76020032"</f>
        <v>76020032</v>
      </c>
      <c r="M193" t="s">
        <v>84</v>
      </c>
      <c r="N193" s="1">
        <v>43567.977777777778</v>
      </c>
      <c r="O193" t="s">
        <v>19</v>
      </c>
    </row>
    <row r="194" spans="1:15" x14ac:dyDescent="0.25">
      <c r="A194" t="s">
        <v>113</v>
      </c>
      <c r="B194" t="s">
        <v>15</v>
      </c>
      <c r="C194" t="s">
        <v>55</v>
      </c>
      <c r="D194" t="s">
        <v>17</v>
      </c>
      <c r="E194" t="s">
        <v>18</v>
      </c>
      <c r="F194" t="s">
        <v>19</v>
      </c>
      <c r="G194" t="s">
        <v>20</v>
      </c>
      <c r="J194" t="s">
        <v>17</v>
      </c>
      <c r="K194" t="str">
        <f>"7858816057564"</f>
        <v>7858816057564</v>
      </c>
      <c r="L194" t="str">
        <f>"87025756"</f>
        <v>87025756</v>
      </c>
      <c r="M194" t="s">
        <v>21</v>
      </c>
      <c r="N194" s="1">
        <v>43834.65902777778</v>
      </c>
      <c r="O194" t="s">
        <v>19</v>
      </c>
    </row>
    <row r="195" spans="1:15" x14ac:dyDescent="0.25">
      <c r="A195" t="s">
        <v>114</v>
      </c>
      <c r="B195" t="s">
        <v>15</v>
      </c>
      <c r="C195" t="s">
        <v>55</v>
      </c>
      <c r="D195" t="s">
        <v>17</v>
      </c>
      <c r="E195" t="s">
        <v>18</v>
      </c>
      <c r="F195" t="s">
        <v>19</v>
      </c>
      <c r="G195" t="s">
        <v>20</v>
      </c>
      <c r="J195" t="s">
        <v>17</v>
      </c>
      <c r="K195" t="str">
        <f>"5626890051110"</f>
        <v>5626890051110</v>
      </c>
      <c r="L195" t="str">
        <f>"28025111"</f>
        <v>28025111</v>
      </c>
      <c r="M195" t="s">
        <v>84</v>
      </c>
      <c r="N195" s="1">
        <v>43335.876388888886</v>
      </c>
      <c r="O195" t="s">
        <v>19</v>
      </c>
    </row>
    <row r="196" spans="1:15" x14ac:dyDescent="0.25">
      <c r="A196" t="s">
        <v>115</v>
      </c>
      <c r="B196" t="s">
        <v>15</v>
      </c>
      <c r="C196" t="s">
        <v>55</v>
      </c>
      <c r="D196" t="s">
        <v>17</v>
      </c>
      <c r="E196" t="s">
        <v>18</v>
      </c>
      <c r="F196" t="s">
        <v>19</v>
      </c>
      <c r="G196" t="s">
        <v>20</v>
      </c>
      <c r="J196" t="s">
        <v>17</v>
      </c>
      <c r="K196" t="str">
        <f>"6970514902555"</f>
        <v>6970514902555</v>
      </c>
      <c r="L196" t="str">
        <f>"40020603"</f>
        <v>40020603</v>
      </c>
      <c r="M196" t="s">
        <v>21</v>
      </c>
      <c r="N196" s="1">
        <v>42956.886805555558</v>
      </c>
      <c r="O196" t="s">
        <v>19</v>
      </c>
    </row>
    <row r="197" spans="1:15" x14ac:dyDescent="0.25">
      <c r="A197" t="s">
        <v>116</v>
      </c>
      <c r="B197" t="s">
        <v>15</v>
      </c>
      <c r="C197" t="s">
        <v>55</v>
      </c>
      <c r="D197" t="s">
        <v>17</v>
      </c>
      <c r="E197" t="s">
        <v>18</v>
      </c>
      <c r="F197" t="s">
        <v>19</v>
      </c>
      <c r="G197" t="s">
        <v>20</v>
      </c>
      <c r="J197" t="s">
        <v>17</v>
      </c>
      <c r="K197" t="str">
        <f>"6973646419144"</f>
        <v>6973646419144</v>
      </c>
      <c r="L197" t="str">
        <f>"18020001"</f>
        <v>18020001</v>
      </c>
      <c r="M197" t="s">
        <v>84</v>
      </c>
      <c r="N197" s="1">
        <v>43397.618750000001</v>
      </c>
      <c r="O197" t="s">
        <v>19</v>
      </c>
    </row>
    <row r="198" spans="1:15" x14ac:dyDescent="0.25">
      <c r="A198" t="s">
        <v>117</v>
      </c>
      <c r="B198" t="s">
        <v>15</v>
      </c>
      <c r="C198" t="s">
        <v>35</v>
      </c>
      <c r="D198" t="s">
        <v>17</v>
      </c>
      <c r="E198" t="s">
        <v>18</v>
      </c>
      <c r="F198" t="s">
        <v>19</v>
      </c>
      <c r="G198" t="s">
        <v>20</v>
      </c>
      <c r="J198" t="s">
        <v>17</v>
      </c>
      <c r="K198" t="str">
        <f>"10014474"</f>
        <v>10014474</v>
      </c>
      <c r="L198" t="str">
        <f>"10014474"</f>
        <v>10014474</v>
      </c>
      <c r="M198" t="s">
        <v>84</v>
      </c>
      <c r="N198" s="1">
        <v>43546.597916666666</v>
      </c>
      <c r="O198" t="s">
        <v>19</v>
      </c>
    </row>
    <row r="199" spans="1:15" x14ac:dyDescent="0.25">
      <c r="A199" t="s">
        <v>118</v>
      </c>
      <c r="B199" t="s">
        <v>15</v>
      </c>
      <c r="C199" t="s">
        <v>35</v>
      </c>
      <c r="D199" t="s">
        <v>17</v>
      </c>
      <c r="E199" t="s">
        <v>18</v>
      </c>
      <c r="F199" t="s">
        <v>19</v>
      </c>
      <c r="G199" t="s">
        <v>20</v>
      </c>
      <c r="J199" t="s">
        <v>17</v>
      </c>
      <c r="K199" t="str">
        <f>"29USBHD350"</f>
        <v>29USBHD350</v>
      </c>
      <c r="L199" t="str">
        <f>"10119624"</f>
        <v>10119624</v>
      </c>
      <c r="M199" t="s">
        <v>21</v>
      </c>
      <c r="N199" s="1">
        <v>44001.662499999999</v>
      </c>
      <c r="O199" t="s">
        <v>19</v>
      </c>
    </row>
    <row r="200" spans="1:15" x14ac:dyDescent="0.25">
      <c r="A200" t="s">
        <v>119</v>
      </c>
      <c r="B200" t="s">
        <v>15</v>
      </c>
      <c r="C200" t="s">
        <v>35</v>
      </c>
      <c r="D200" t="s">
        <v>17</v>
      </c>
      <c r="E200" t="s">
        <v>18</v>
      </c>
      <c r="F200" t="s">
        <v>19</v>
      </c>
      <c r="G200" t="s">
        <v>20</v>
      </c>
      <c r="J200" t="s">
        <v>17</v>
      </c>
      <c r="K200" t="str">
        <f>"039COM9144"</f>
        <v>039COM9144</v>
      </c>
      <c r="L200" t="str">
        <f>"98029144"</f>
        <v>98029144</v>
      </c>
      <c r="M200" t="s">
        <v>21</v>
      </c>
      <c r="N200" s="1">
        <v>43706.654166666667</v>
      </c>
      <c r="O200" t="s">
        <v>19</v>
      </c>
    </row>
    <row r="201" spans="1:15" x14ac:dyDescent="0.25">
      <c r="A201" t="s">
        <v>120</v>
      </c>
      <c r="B201" t="s">
        <v>15</v>
      </c>
      <c r="C201" t="s">
        <v>35</v>
      </c>
      <c r="D201" t="s">
        <v>17</v>
      </c>
      <c r="E201" t="s">
        <v>18</v>
      </c>
      <c r="F201" t="s">
        <v>19</v>
      </c>
      <c r="G201" t="s">
        <v>20</v>
      </c>
      <c r="J201" t="s">
        <v>17</v>
      </c>
      <c r="K201" t="str">
        <f>"9288"</f>
        <v>9288</v>
      </c>
      <c r="L201" t="str">
        <f>"98027812"</f>
        <v>98027812</v>
      </c>
      <c r="M201" t="s">
        <v>21</v>
      </c>
      <c r="N201" s="1">
        <v>43595.731944444444</v>
      </c>
      <c r="O201" t="s">
        <v>19</v>
      </c>
    </row>
    <row r="202" spans="1:15" x14ac:dyDescent="0.25">
      <c r="A202" t="s">
        <v>121</v>
      </c>
      <c r="B202" t="s">
        <v>15</v>
      </c>
      <c r="C202" t="s">
        <v>55</v>
      </c>
      <c r="D202" t="s">
        <v>17</v>
      </c>
      <c r="E202" t="s">
        <v>18</v>
      </c>
      <c r="F202" t="s">
        <v>19</v>
      </c>
      <c r="G202" t="s">
        <v>20</v>
      </c>
      <c r="J202" t="s">
        <v>17</v>
      </c>
      <c r="K202" t="str">
        <f>"34020514"</f>
        <v>34020514</v>
      </c>
      <c r="L202" t="str">
        <f>"34020514"</f>
        <v>34020514</v>
      </c>
      <c r="M202" t="s">
        <v>21</v>
      </c>
      <c r="N202" s="1">
        <v>43819.801388888889</v>
      </c>
      <c r="O202" t="s">
        <v>19</v>
      </c>
    </row>
    <row r="203" spans="1:15" x14ac:dyDescent="0.25">
      <c r="A203" t="s">
        <v>121</v>
      </c>
      <c r="B203" t="s">
        <v>15</v>
      </c>
      <c r="C203" t="s">
        <v>55</v>
      </c>
      <c r="D203" t="s">
        <v>17</v>
      </c>
      <c r="E203" t="s">
        <v>18</v>
      </c>
      <c r="F203" t="s">
        <v>19</v>
      </c>
      <c r="G203" t="s">
        <v>20</v>
      </c>
      <c r="J203" t="s">
        <v>17</v>
      </c>
      <c r="K203" t="str">
        <f>"61020514"</f>
        <v>61020514</v>
      </c>
      <c r="L203" t="str">
        <f>"61020514"</f>
        <v>61020514</v>
      </c>
      <c r="M203" t="s">
        <v>21</v>
      </c>
      <c r="N203" s="1">
        <v>44253.576388888891</v>
      </c>
      <c r="O203" t="s">
        <v>19</v>
      </c>
    </row>
    <row r="204" spans="1:15" x14ac:dyDescent="0.25">
      <c r="A204" t="s">
        <v>121</v>
      </c>
      <c r="B204" t="s">
        <v>15</v>
      </c>
      <c r="C204" t="s">
        <v>55</v>
      </c>
      <c r="D204" t="s">
        <v>17</v>
      </c>
      <c r="E204" t="s">
        <v>18</v>
      </c>
      <c r="F204" t="s">
        <v>19</v>
      </c>
      <c r="G204" t="s">
        <v>20</v>
      </c>
      <c r="J204" t="s">
        <v>17</v>
      </c>
      <c r="K204" t="str">
        <f>"39020001"</f>
        <v>39020001</v>
      </c>
      <c r="L204" t="str">
        <f>"39020001"</f>
        <v>39020001</v>
      </c>
      <c r="M204" t="s">
        <v>21</v>
      </c>
      <c r="N204" s="1">
        <v>44352.640972222223</v>
      </c>
      <c r="O204" t="s">
        <v>19</v>
      </c>
    </row>
    <row r="205" spans="1:15" x14ac:dyDescent="0.25">
      <c r="A205" t="s">
        <v>122</v>
      </c>
      <c r="B205" t="s">
        <v>15</v>
      </c>
      <c r="C205" t="s">
        <v>55</v>
      </c>
      <c r="D205" t="s">
        <v>17</v>
      </c>
      <c r="E205" t="s">
        <v>18</v>
      </c>
      <c r="F205" t="s">
        <v>19</v>
      </c>
      <c r="G205" t="s">
        <v>20</v>
      </c>
      <c r="J205" t="s">
        <v>17</v>
      </c>
      <c r="K205" t="str">
        <f>"6983646411932"</f>
        <v>6983646411932</v>
      </c>
      <c r="L205" t="str">
        <f>"10021483"</f>
        <v>10021483</v>
      </c>
      <c r="M205" t="s">
        <v>21</v>
      </c>
      <c r="N205" s="1">
        <v>42872.839583333334</v>
      </c>
      <c r="O205" t="s">
        <v>19</v>
      </c>
    </row>
    <row r="206" spans="1:15" x14ac:dyDescent="0.25">
      <c r="A206" t="s">
        <v>123</v>
      </c>
      <c r="B206" t="s">
        <v>15</v>
      </c>
      <c r="C206" t="s">
        <v>55</v>
      </c>
      <c r="D206" t="s">
        <v>17</v>
      </c>
      <c r="E206" t="s">
        <v>18</v>
      </c>
      <c r="F206" t="s">
        <v>19</v>
      </c>
      <c r="G206" t="s">
        <v>20</v>
      </c>
      <c r="J206" t="s">
        <v>17</v>
      </c>
      <c r="K206" t="str">
        <f>"7858816043949"</f>
        <v>7858816043949</v>
      </c>
      <c r="L206" t="str">
        <f>"87024394"</f>
        <v>87024394</v>
      </c>
      <c r="M206" t="s">
        <v>21</v>
      </c>
      <c r="N206" s="1">
        <v>43853.65625</v>
      </c>
      <c r="O206" t="s">
        <v>19</v>
      </c>
    </row>
    <row r="207" spans="1:15" x14ac:dyDescent="0.25">
      <c r="A207" t="s">
        <v>124</v>
      </c>
      <c r="B207" t="s">
        <v>15</v>
      </c>
      <c r="C207" t="s">
        <v>55</v>
      </c>
      <c r="D207" t="s">
        <v>17</v>
      </c>
      <c r="E207" t="s">
        <v>18</v>
      </c>
      <c r="F207" t="s">
        <v>19</v>
      </c>
      <c r="G207" t="s">
        <v>20</v>
      </c>
      <c r="J207" t="s">
        <v>17</v>
      </c>
      <c r="K207" t="str">
        <f>"6905631106197"</f>
        <v>6905631106197</v>
      </c>
      <c r="L207" t="str">
        <f>"40020167"</f>
        <v>40020167</v>
      </c>
      <c r="M207" t="s">
        <v>21</v>
      </c>
      <c r="N207" s="1">
        <v>44225.868055555555</v>
      </c>
      <c r="O207" t="s">
        <v>19</v>
      </c>
    </row>
    <row r="208" spans="1:15" x14ac:dyDescent="0.25">
      <c r="A208" t="s">
        <v>125</v>
      </c>
      <c r="B208" t="s">
        <v>15</v>
      </c>
      <c r="C208" t="s">
        <v>55</v>
      </c>
      <c r="D208" t="s">
        <v>17</v>
      </c>
      <c r="E208" t="s">
        <v>18</v>
      </c>
      <c r="F208" t="s">
        <v>19</v>
      </c>
      <c r="G208" t="s">
        <v>20</v>
      </c>
      <c r="J208" t="s">
        <v>17</v>
      </c>
      <c r="K208" t="str">
        <f>"6983646411963"</f>
        <v>6983646411963</v>
      </c>
      <c r="L208" t="str">
        <f>"10020180"</f>
        <v>10020180</v>
      </c>
      <c r="M208" t="s">
        <v>75</v>
      </c>
      <c r="N208" s="1">
        <v>42872.839583333334</v>
      </c>
      <c r="O208" t="s">
        <v>19</v>
      </c>
    </row>
    <row r="209" spans="1:15" x14ac:dyDescent="0.25">
      <c r="A209" t="s">
        <v>126</v>
      </c>
      <c r="B209" t="s">
        <v>15</v>
      </c>
      <c r="C209" t="s">
        <v>55</v>
      </c>
      <c r="D209" t="s">
        <v>17</v>
      </c>
      <c r="E209" t="s">
        <v>18</v>
      </c>
      <c r="F209" t="s">
        <v>19</v>
      </c>
      <c r="G209" t="s">
        <v>20</v>
      </c>
      <c r="J209" t="s">
        <v>17</v>
      </c>
      <c r="K209" t="str">
        <f>"7858816043970"</f>
        <v>7858816043970</v>
      </c>
      <c r="L209" t="str">
        <f>"87084397"</f>
        <v>87084397</v>
      </c>
      <c r="M209" t="s">
        <v>21</v>
      </c>
      <c r="N209" s="1">
        <v>42872.847222222219</v>
      </c>
      <c r="O209" t="s">
        <v>19</v>
      </c>
    </row>
    <row r="210" spans="1:15" x14ac:dyDescent="0.25">
      <c r="A210" t="s">
        <v>127</v>
      </c>
      <c r="B210" t="s">
        <v>15</v>
      </c>
      <c r="C210" t="s">
        <v>55</v>
      </c>
      <c r="D210" t="s">
        <v>17</v>
      </c>
      <c r="E210" t="s">
        <v>18</v>
      </c>
      <c r="F210" t="s">
        <v>19</v>
      </c>
      <c r="G210" t="s">
        <v>20</v>
      </c>
      <c r="J210" t="s">
        <v>17</v>
      </c>
      <c r="K210" t="str">
        <f>"7858816057878"</f>
        <v>7858816057878</v>
      </c>
      <c r="L210" t="str">
        <f>"87025787"</f>
        <v>87025787</v>
      </c>
      <c r="M210" t="s">
        <v>21</v>
      </c>
      <c r="N210" s="1">
        <v>43603.768055555556</v>
      </c>
      <c r="O210" t="s">
        <v>19</v>
      </c>
    </row>
    <row r="211" spans="1:15" x14ac:dyDescent="0.25">
      <c r="A211" t="s">
        <v>128</v>
      </c>
      <c r="B211" t="s">
        <v>15</v>
      </c>
      <c r="C211" t="s">
        <v>55</v>
      </c>
      <c r="D211" t="s">
        <v>17</v>
      </c>
      <c r="E211" t="s">
        <v>18</v>
      </c>
      <c r="F211" t="s">
        <v>19</v>
      </c>
      <c r="G211" t="s">
        <v>20</v>
      </c>
      <c r="J211" t="s">
        <v>17</v>
      </c>
      <c r="K211" t="str">
        <f>"7858816060496"</f>
        <v>7858816060496</v>
      </c>
      <c r="L211" t="str">
        <f>"87026049"</f>
        <v>87026049</v>
      </c>
      <c r="M211" t="s">
        <v>21</v>
      </c>
      <c r="N211" s="1">
        <v>44357.710416666669</v>
      </c>
      <c r="O211" t="s">
        <v>19</v>
      </c>
    </row>
    <row r="212" spans="1:15" x14ac:dyDescent="0.25">
      <c r="A212" t="s">
        <v>129</v>
      </c>
      <c r="B212" t="s">
        <v>15</v>
      </c>
      <c r="C212" t="s">
        <v>55</v>
      </c>
      <c r="D212" t="s">
        <v>17</v>
      </c>
      <c r="E212" t="s">
        <v>18</v>
      </c>
      <c r="F212" t="s">
        <v>19</v>
      </c>
      <c r="G212" t="s">
        <v>20</v>
      </c>
      <c r="J212" t="s">
        <v>17</v>
      </c>
      <c r="K212" t="str">
        <f>"6905631106180"</f>
        <v>6905631106180</v>
      </c>
      <c r="L212" t="str">
        <f>"40020168"</f>
        <v>40020168</v>
      </c>
      <c r="M212" t="s">
        <v>21</v>
      </c>
      <c r="N212" s="1">
        <v>44434.84097222222</v>
      </c>
      <c r="O212" t="s">
        <v>19</v>
      </c>
    </row>
    <row r="213" spans="1:15" x14ac:dyDescent="0.25">
      <c r="A213" t="s">
        <v>130</v>
      </c>
      <c r="B213" t="s">
        <v>15</v>
      </c>
      <c r="C213" t="s">
        <v>55</v>
      </c>
      <c r="D213" t="s">
        <v>17</v>
      </c>
      <c r="E213" t="s">
        <v>18</v>
      </c>
      <c r="F213" t="s">
        <v>19</v>
      </c>
      <c r="G213" t="s">
        <v>20</v>
      </c>
      <c r="J213" t="s">
        <v>17</v>
      </c>
      <c r="K213" t="str">
        <f>"7858816053917"</f>
        <v>7858816053917</v>
      </c>
      <c r="L213" t="str">
        <f>"87025391"</f>
        <v>87025391</v>
      </c>
      <c r="M213" t="s">
        <v>21</v>
      </c>
      <c r="N213" s="1">
        <v>43603.767361111109</v>
      </c>
      <c r="O213" t="s">
        <v>19</v>
      </c>
    </row>
    <row r="214" spans="1:15" x14ac:dyDescent="0.25">
      <c r="A214" t="s">
        <v>131</v>
      </c>
      <c r="B214" t="s">
        <v>15</v>
      </c>
      <c r="C214" t="s">
        <v>35</v>
      </c>
      <c r="D214" t="s">
        <v>17</v>
      </c>
      <c r="E214" t="s">
        <v>18</v>
      </c>
      <c r="F214" t="s">
        <v>19</v>
      </c>
      <c r="G214" t="s">
        <v>20</v>
      </c>
      <c r="J214" t="s">
        <v>17</v>
      </c>
      <c r="K214" t="str">
        <f>"6954851217411"</f>
        <v>6954851217411</v>
      </c>
      <c r="L214" t="str">
        <f>"100207253"</f>
        <v>100207253</v>
      </c>
      <c r="M214" t="s">
        <v>75</v>
      </c>
      <c r="N214" s="1">
        <v>42941.855555555558</v>
      </c>
      <c r="O214" t="s">
        <v>19</v>
      </c>
    </row>
    <row r="215" spans="1:15" x14ac:dyDescent="0.25">
      <c r="A215" t="s">
        <v>132</v>
      </c>
      <c r="B215" t="s">
        <v>15</v>
      </c>
      <c r="C215" t="s">
        <v>35</v>
      </c>
      <c r="D215" t="s">
        <v>17</v>
      </c>
      <c r="E215" t="s">
        <v>18</v>
      </c>
      <c r="F215" t="s">
        <v>19</v>
      </c>
      <c r="G215" t="s">
        <v>20</v>
      </c>
      <c r="J215" t="s">
        <v>17</v>
      </c>
      <c r="K215" t="str">
        <f>"10118847"</f>
        <v>10118847</v>
      </c>
      <c r="L215" t="str">
        <f>"10118847"</f>
        <v>10118847</v>
      </c>
      <c r="M215" t="s">
        <v>21</v>
      </c>
      <c r="N215" s="1">
        <v>43083.785416666666</v>
      </c>
      <c r="O215" t="s">
        <v>19</v>
      </c>
    </row>
    <row r="216" spans="1:15" x14ac:dyDescent="0.25">
      <c r="A216" t="s">
        <v>133</v>
      </c>
      <c r="B216" t="s">
        <v>15</v>
      </c>
      <c r="C216" t="s">
        <v>35</v>
      </c>
      <c r="D216" t="s">
        <v>17</v>
      </c>
      <c r="E216" t="s">
        <v>18</v>
      </c>
      <c r="F216" t="s">
        <v>19</v>
      </c>
      <c r="G216" t="s">
        <v>20</v>
      </c>
      <c r="J216" t="s">
        <v>17</v>
      </c>
      <c r="K216" t="str">
        <f>"7858816056482"</f>
        <v>7858816056482</v>
      </c>
      <c r="L216" t="str">
        <f>"87025648"</f>
        <v>87025648</v>
      </c>
      <c r="M216" t="s">
        <v>21</v>
      </c>
      <c r="N216" s="1">
        <v>42872.839583333334</v>
      </c>
      <c r="O216" t="s">
        <v>19</v>
      </c>
    </row>
    <row r="217" spans="1:15" x14ac:dyDescent="0.25">
      <c r="A217" t="s">
        <v>134</v>
      </c>
      <c r="B217" t="s">
        <v>15</v>
      </c>
      <c r="C217" t="s">
        <v>35</v>
      </c>
      <c r="D217" t="s">
        <v>17</v>
      </c>
      <c r="E217" t="s">
        <v>18</v>
      </c>
      <c r="F217" t="s">
        <v>19</v>
      </c>
      <c r="G217" t="s">
        <v>20</v>
      </c>
      <c r="J217" t="s">
        <v>17</v>
      </c>
      <c r="K217" t="str">
        <f>"7858816048166"</f>
        <v>7858816048166</v>
      </c>
      <c r="L217" t="str">
        <f>"87024816"</f>
        <v>87024816</v>
      </c>
      <c r="M217" t="s">
        <v>21</v>
      </c>
      <c r="N217" s="1">
        <v>43819.622916666667</v>
      </c>
      <c r="O217" t="s">
        <v>19</v>
      </c>
    </row>
    <row r="218" spans="1:15" x14ac:dyDescent="0.25">
      <c r="A218" t="s">
        <v>135</v>
      </c>
      <c r="B218" t="s">
        <v>15</v>
      </c>
      <c r="C218" t="s">
        <v>55</v>
      </c>
      <c r="D218" t="s">
        <v>17</v>
      </c>
      <c r="E218" t="s">
        <v>18</v>
      </c>
      <c r="F218" t="s">
        <v>19</v>
      </c>
      <c r="G218" t="s">
        <v>20</v>
      </c>
      <c r="J218" t="s">
        <v>17</v>
      </c>
      <c r="K218" t="str">
        <f>"7858816057861"</f>
        <v>7858816057861</v>
      </c>
      <c r="L218" t="str">
        <f>"87025786"</f>
        <v>87025786</v>
      </c>
      <c r="M218" t="s">
        <v>84</v>
      </c>
      <c r="N218" s="1">
        <v>43545.8125</v>
      </c>
      <c r="O218" t="s">
        <v>19</v>
      </c>
    </row>
    <row r="219" spans="1:15" x14ac:dyDescent="0.25">
      <c r="A219" t="s">
        <v>136</v>
      </c>
      <c r="B219" t="s">
        <v>15</v>
      </c>
      <c r="C219" t="s">
        <v>35</v>
      </c>
      <c r="D219" t="s">
        <v>17</v>
      </c>
      <c r="E219" t="s">
        <v>18</v>
      </c>
      <c r="F219" t="s">
        <v>19</v>
      </c>
      <c r="G219" t="s">
        <v>20</v>
      </c>
      <c r="J219" t="s">
        <v>17</v>
      </c>
      <c r="K219" t="str">
        <f>"87020097"</f>
        <v>87020097</v>
      </c>
      <c r="L219" t="str">
        <f>"87020097"</f>
        <v>87020097</v>
      </c>
      <c r="M219" t="s">
        <v>21</v>
      </c>
      <c r="N219" s="1">
        <v>43313.70208333333</v>
      </c>
      <c r="O219" t="s">
        <v>19</v>
      </c>
    </row>
    <row r="220" spans="1:15" x14ac:dyDescent="0.25">
      <c r="A220" t="s">
        <v>136</v>
      </c>
      <c r="B220" t="s">
        <v>15</v>
      </c>
      <c r="C220" t="s">
        <v>35</v>
      </c>
      <c r="D220" t="s">
        <v>17</v>
      </c>
      <c r="E220" t="s">
        <v>18</v>
      </c>
      <c r="F220" t="s">
        <v>19</v>
      </c>
      <c r="G220" t="s">
        <v>20</v>
      </c>
      <c r="J220" t="s">
        <v>17</v>
      </c>
      <c r="K220" t="str">
        <f>"7809601100026"</f>
        <v>7809601100026</v>
      </c>
      <c r="L220" t="str">
        <f>"98021111"</f>
        <v>98021111</v>
      </c>
      <c r="M220" t="s">
        <v>21</v>
      </c>
      <c r="N220" s="1">
        <v>44321.879861111112</v>
      </c>
      <c r="O220" t="s">
        <v>19</v>
      </c>
    </row>
    <row r="221" spans="1:15" x14ac:dyDescent="0.25">
      <c r="A221" t="s">
        <v>137</v>
      </c>
      <c r="B221" t="s">
        <v>15</v>
      </c>
      <c r="C221" t="s">
        <v>35</v>
      </c>
      <c r="D221" t="s">
        <v>17</v>
      </c>
      <c r="E221" t="s">
        <v>18</v>
      </c>
      <c r="F221" t="s">
        <v>19</v>
      </c>
      <c r="G221" t="s">
        <v>20</v>
      </c>
      <c r="J221" t="s">
        <v>17</v>
      </c>
      <c r="K221" t="str">
        <f>"10000006"</f>
        <v>10000006</v>
      </c>
      <c r="L221" t="str">
        <f>"10000006"</f>
        <v>10000006</v>
      </c>
      <c r="M221" t="s">
        <v>84</v>
      </c>
      <c r="N221" s="1">
        <v>43313.701388888891</v>
      </c>
      <c r="O221" t="s">
        <v>19</v>
      </c>
    </row>
    <row r="222" spans="1:15" x14ac:dyDescent="0.25">
      <c r="A222" t="s">
        <v>138</v>
      </c>
      <c r="B222" t="s">
        <v>15</v>
      </c>
      <c r="C222" t="s">
        <v>35</v>
      </c>
      <c r="D222" t="s">
        <v>17</v>
      </c>
      <c r="E222" t="s">
        <v>18</v>
      </c>
      <c r="F222" t="s">
        <v>19</v>
      </c>
      <c r="G222" t="s">
        <v>20</v>
      </c>
      <c r="J222" t="s">
        <v>17</v>
      </c>
      <c r="K222" t="str">
        <f>"7858816052644"</f>
        <v>7858816052644</v>
      </c>
      <c r="L222" t="str">
        <f>"87025264"</f>
        <v>87025264</v>
      </c>
      <c r="M222" t="s">
        <v>21</v>
      </c>
      <c r="N222" s="1">
        <v>43446.877083333333</v>
      </c>
      <c r="O222" t="s">
        <v>19</v>
      </c>
    </row>
    <row r="223" spans="1:15" x14ac:dyDescent="0.25">
      <c r="A223" t="s">
        <v>139</v>
      </c>
      <c r="B223" t="s">
        <v>15</v>
      </c>
      <c r="C223" t="s">
        <v>55</v>
      </c>
      <c r="D223" t="s">
        <v>17</v>
      </c>
      <c r="E223" t="s">
        <v>18</v>
      </c>
      <c r="F223" t="s">
        <v>19</v>
      </c>
      <c r="G223" t="s">
        <v>20</v>
      </c>
      <c r="J223" t="s">
        <v>17</v>
      </c>
      <c r="K223" t="str">
        <f>"34020701"</f>
        <v>34020701</v>
      </c>
      <c r="L223" t="str">
        <f>"34020701"</f>
        <v>34020701</v>
      </c>
      <c r="M223" t="s">
        <v>21</v>
      </c>
      <c r="N223" s="1">
        <v>43825.92083333333</v>
      </c>
      <c r="O223" t="s">
        <v>19</v>
      </c>
    </row>
    <row r="224" spans="1:15" x14ac:dyDescent="0.25">
      <c r="A224" t="s">
        <v>140</v>
      </c>
      <c r="B224" t="s">
        <v>15</v>
      </c>
      <c r="C224" t="s">
        <v>35</v>
      </c>
      <c r="D224" t="s">
        <v>17</v>
      </c>
      <c r="E224" t="s">
        <v>18</v>
      </c>
      <c r="F224" t="s">
        <v>19</v>
      </c>
      <c r="G224" t="s">
        <v>20</v>
      </c>
      <c r="J224" t="s">
        <v>17</v>
      </c>
      <c r="K224" t="str">
        <f>"32P0000205"</f>
        <v>32P0000205</v>
      </c>
      <c r="L224" t="str">
        <f>"32P0000205"</f>
        <v>32P0000205</v>
      </c>
      <c r="M224" t="s">
        <v>21</v>
      </c>
      <c r="N224" s="1">
        <v>44001.664583333331</v>
      </c>
      <c r="O224" t="s">
        <v>19</v>
      </c>
    </row>
    <row r="225" spans="1:15" x14ac:dyDescent="0.25">
      <c r="A225" t="s">
        <v>141</v>
      </c>
      <c r="B225" t="s">
        <v>15</v>
      </c>
      <c r="C225" t="s">
        <v>35</v>
      </c>
      <c r="D225" t="s">
        <v>17</v>
      </c>
      <c r="E225" t="s">
        <v>18</v>
      </c>
      <c r="F225" t="s">
        <v>19</v>
      </c>
      <c r="G225" t="s">
        <v>20</v>
      </c>
      <c r="J225" t="s">
        <v>17</v>
      </c>
      <c r="K225" t="str">
        <f>"10000004"</f>
        <v>10000004</v>
      </c>
      <c r="L225" t="str">
        <f>"10000004"</f>
        <v>10000004</v>
      </c>
      <c r="M225" t="s">
        <v>84</v>
      </c>
      <c r="N225" s="1">
        <v>43447.630555555559</v>
      </c>
      <c r="O225" t="s">
        <v>19</v>
      </c>
    </row>
    <row r="226" spans="1:15" x14ac:dyDescent="0.25">
      <c r="A226" t="s">
        <v>142</v>
      </c>
      <c r="B226" t="s">
        <v>15</v>
      </c>
      <c r="C226" t="s">
        <v>55</v>
      </c>
      <c r="D226" t="s">
        <v>17</v>
      </c>
      <c r="E226" t="s">
        <v>18</v>
      </c>
      <c r="F226" t="s">
        <v>19</v>
      </c>
      <c r="G226" t="s">
        <v>20</v>
      </c>
      <c r="J226" t="s">
        <v>17</v>
      </c>
      <c r="K226" t="str">
        <f>"4521831234663"</f>
        <v>4521831234663</v>
      </c>
      <c r="L226" t="str">
        <f>"10003261"</f>
        <v>10003261</v>
      </c>
      <c r="M226" t="s">
        <v>75</v>
      </c>
      <c r="N226" s="1">
        <v>42872.839583333334</v>
      </c>
      <c r="O226" t="s">
        <v>19</v>
      </c>
    </row>
    <row r="227" spans="1:15" x14ac:dyDescent="0.25">
      <c r="A227" t="s">
        <v>143</v>
      </c>
      <c r="B227" t="s">
        <v>15</v>
      </c>
      <c r="C227" t="s">
        <v>55</v>
      </c>
      <c r="D227" t="s">
        <v>17</v>
      </c>
      <c r="E227" t="s">
        <v>18</v>
      </c>
      <c r="F227" t="s">
        <v>19</v>
      </c>
      <c r="G227" t="s">
        <v>20</v>
      </c>
      <c r="J227" t="s">
        <v>17</v>
      </c>
      <c r="K227" t="str">
        <f>"4567201505278"</f>
        <v>4567201505278</v>
      </c>
      <c r="L227" t="str">
        <f>"10003436"</f>
        <v>10003436</v>
      </c>
      <c r="M227" t="s">
        <v>75</v>
      </c>
      <c r="N227" s="1">
        <v>42872.839583333334</v>
      </c>
      <c r="O227" t="s">
        <v>19</v>
      </c>
    </row>
    <row r="228" spans="1:15" x14ac:dyDescent="0.25">
      <c r="A228" t="s">
        <v>144</v>
      </c>
      <c r="B228" t="s">
        <v>15</v>
      </c>
      <c r="C228" t="s">
        <v>35</v>
      </c>
      <c r="D228" t="s">
        <v>17</v>
      </c>
      <c r="E228" t="s">
        <v>18</v>
      </c>
      <c r="F228" t="s">
        <v>19</v>
      </c>
      <c r="G228" t="s">
        <v>20</v>
      </c>
      <c r="J228" t="s">
        <v>17</v>
      </c>
      <c r="K228" t="str">
        <f>"6686996111803"</f>
        <v>6686996111803</v>
      </c>
      <c r="L228" t="str">
        <f>"40026018"</f>
        <v>40026018</v>
      </c>
      <c r="M228" t="s">
        <v>21</v>
      </c>
      <c r="N228" s="1">
        <v>42872.849305555559</v>
      </c>
      <c r="O228" t="s">
        <v>19</v>
      </c>
    </row>
    <row r="229" spans="1:15" x14ac:dyDescent="0.25">
      <c r="A229" t="s">
        <v>145</v>
      </c>
      <c r="B229" t="s">
        <v>15</v>
      </c>
      <c r="C229" t="s">
        <v>37</v>
      </c>
      <c r="D229" t="s">
        <v>17</v>
      </c>
      <c r="E229" t="s">
        <v>18</v>
      </c>
      <c r="F229" t="s">
        <v>19</v>
      </c>
      <c r="G229" t="s">
        <v>20</v>
      </c>
      <c r="J229" t="s">
        <v>17</v>
      </c>
      <c r="K229" t="str">
        <f>"34125200"</f>
        <v>34125200</v>
      </c>
      <c r="L229" t="str">
        <f>"34125200"</f>
        <v>34125200</v>
      </c>
      <c r="M229" t="s">
        <v>21</v>
      </c>
      <c r="N229" s="1">
        <v>43720.955555555556</v>
      </c>
      <c r="O229" t="s">
        <v>19</v>
      </c>
    </row>
    <row r="230" spans="1:15" x14ac:dyDescent="0.25">
      <c r="A230" t="s">
        <v>146</v>
      </c>
      <c r="B230" t="s">
        <v>15</v>
      </c>
      <c r="C230" t="s">
        <v>35</v>
      </c>
      <c r="D230" t="s">
        <v>17</v>
      </c>
      <c r="E230" t="s">
        <v>18</v>
      </c>
      <c r="F230" t="s">
        <v>19</v>
      </c>
      <c r="G230" t="s">
        <v>20</v>
      </c>
      <c r="J230" t="s">
        <v>17</v>
      </c>
      <c r="K230" t="str">
        <f>"6545446546452"</f>
        <v>6545446546452</v>
      </c>
      <c r="L230" t="str">
        <f>"34020009"</f>
        <v>34020009</v>
      </c>
      <c r="M230" t="s">
        <v>84</v>
      </c>
      <c r="N230" s="1">
        <v>43370.880555555559</v>
      </c>
      <c r="O230" t="s">
        <v>19</v>
      </c>
    </row>
    <row r="231" spans="1:15" x14ac:dyDescent="0.25">
      <c r="A231" t="s">
        <v>147</v>
      </c>
      <c r="B231" t="s">
        <v>15</v>
      </c>
      <c r="C231" t="s">
        <v>55</v>
      </c>
      <c r="D231" t="s">
        <v>17</v>
      </c>
      <c r="E231" t="s">
        <v>18</v>
      </c>
      <c r="F231" t="s">
        <v>19</v>
      </c>
      <c r="G231" t="s">
        <v>20</v>
      </c>
      <c r="J231" t="s">
        <v>17</v>
      </c>
      <c r="K231" t="str">
        <f>"7858816058622"</f>
        <v>7858816058622</v>
      </c>
      <c r="L231" t="str">
        <f>"87025862"</f>
        <v>87025862</v>
      </c>
      <c r="M231" t="s">
        <v>21</v>
      </c>
      <c r="N231" s="1">
        <v>43595.811805555553</v>
      </c>
      <c r="O231" t="s">
        <v>19</v>
      </c>
    </row>
    <row r="232" spans="1:15" x14ac:dyDescent="0.25">
      <c r="A232" t="s">
        <v>148</v>
      </c>
      <c r="B232" t="s">
        <v>15</v>
      </c>
      <c r="C232" t="s">
        <v>55</v>
      </c>
      <c r="D232" t="s">
        <v>17</v>
      </c>
      <c r="E232" t="s">
        <v>18</v>
      </c>
      <c r="F232" t="s">
        <v>19</v>
      </c>
      <c r="G232" t="s">
        <v>20</v>
      </c>
      <c r="J232" t="s">
        <v>17</v>
      </c>
      <c r="K232" t="str">
        <f>"7858816085154"</f>
        <v>7858816085154</v>
      </c>
      <c r="L232" t="str">
        <f>"87028515"</f>
        <v>87028515</v>
      </c>
      <c r="M232" t="s">
        <v>21</v>
      </c>
      <c r="N232" s="1">
        <v>44357.706250000003</v>
      </c>
      <c r="O232" t="s">
        <v>19</v>
      </c>
    </row>
    <row r="233" spans="1:15" x14ac:dyDescent="0.25">
      <c r="A233" t="s">
        <v>149</v>
      </c>
      <c r="B233" t="s">
        <v>15</v>
      </c>
      <c r="C233" t="s">
        <v>55</v>
      </c>
      <c r="D233" t="s">
        <v>17</v>
      </c>
      <c r="E233" t="s">
        <v>18</v>
      </c>
      <c r="F233" t="s">
        <v>19</v>
      </c>
      <c r="G233" t="s">
        <v>20</v>
      </c>
      <c r="J233" t="s">
        <v>17</v>
      </c>
      <c r="K233" t="str">
        <f>"6971696236568"</f>
        <v>6971696236568</v>
      </c>
      <c r="L233" t="str">
        <f>"76020020"</f>
        <v>76020020</v>
      </c>
      <c r="M233" t="s">
        <v>84</v>
      </c>
      <c r="N233" s="1">
        <v>43567.978472222225</v>
      </c>
      <c r="O233" t="s">
        <v>19</v>
      </c>
    </row>
    <row r="234" spans="1:15" x14ac:dyDescent="0.25">
      <c r="A234" t="s">
        <v>150</v>
      </c>
      <c r="B234" t="s">
        <v>15</v>
      </c>
      <c r="C234" t="s">
        <v>55</v>
      </c>
      <c r="D234" t="s">
        <v>17</v>
      </c>
      <c r="E234" t="s">
        <v>18</v>
      </c>
      <c r="F234" t="s">
        <v>19</v>
      </c>
      <c r="G234" t="s">
        <v>20</v>
      </c>
      <c r="J234" t="s">
        <v>17</v>
      </c>
      <c r="K234" t="str">
        <f>"7858816082450"</f>
        <v>7858816082450</v>
      </c>
      <c r="L234" t="str">
        <f>"87028245"</f>
        <v>87028245</v>
      </c>
      <c r="M234" t="s">
        <v>21</v>
      </c>
      <c r="N234" s="1">
        <v>44356.701388888891</v>
      </c>
      <c r="O234" t="s">
        <v>19</v>
      </c>
    </row>
    <row r="235" spans="1:15" x14ac:dyDescent="0.25">
      <c r="A235" t="s">
        <v>151</v>
      </c>
      <c r="B235" t="s">
        <v>15</v>
      </c>
      <c r="C235" t="s">
        <v>55</v>
      </c>
      <c r="D235" t="s">
        <v>17</v>
      </c>
      <c r="E235" t="s">
        <v>18</v>
      </c>
      <c r="F235" t="s">
        <v>19</v>
      </c>
      <c r="G235" t="s">
        <v>20</v>
      </c>
      <c r="J235" t="s">
        <v>17</v>
      </c>
      <c r="K235" t="str">
        <f>"6993124566863"</f>
        <v>6993124566863</v>
      </c>
      <c r="L235" t="str">
        <f>"61020210"</f>
        <v>61020210</v>
      </c>
      <c r="M235" t="s">
        <v>21</v>
      </c>
      <c r="N235" s="1">
        <v>43834.65625</v>
      </c>
      <c r="O235" t="s">
        <v>19</v>
      </c>
    </row>
    <row r="236" spans="1:15" x14ac:dyDescent="0.25">
      <c r="A236" t="s">
        <v>152</v>
      </c>
      <c r="B236" t="s">
        <v>15</v>
      </c>
      <c r="C236" t="s">
        <v>35</v>
      </c>
      <c r="D236" t="s">
        <v>17</v>
      </c>
      <c r="E236" t="s">
        <v>18</v>
      </c>
      <c r="F236" t="s">
        <v>19</v>
      </c>
      <c r="G236" t="s">
        <v>20</v>
      </c>
      <c r="J236" t="s">
        <v>17</v>
      </c>
      <c r="K236" t="str">
        <f>"100200321"</f>
        <v>100200321</v>
      </c>
      <c r="L236" t="str">
        <f>"100200321"</f>
        <v>100200321</v>
      </c>
      <c r="M236" t="s">
        <v>75</v>
      </c>
      <c r="N236" s="1">
        <v>42872.847222222219</v>
      </c>
      <c r="O236" t="s">
        <v>19</v>
      </c>
    </row>
    <row r="237" spans="1:15" x14ac:dyDescent="0.25">
      <c r="A237" t="s">
        <v>153</v>
      </c>
      <c r="B237" t="s">
        <v>15</v>
      </c>
      <c r="C237" t="s">
        <v>35</v>
      </c>
      <c r="D237" t="s">
        <v>17</v>
      </c>
      <c r="E237" t="s">
        <v>18</v>
      </c>
      <c r="F237" t="s">
        <v>19</v>
      </c>
      <c r="G237" t="s">
        <v>20</v>
      </c>
      <c r="J237" t="s">
        <v>17</v>
      </c>
      <c r="K237" t="str">
        <f>"5620000933549"</f>
        <v>5620000933549</v>
      </c>
      <c r="L237" t="str">
        <f>"280293354"</f>
        <v>280293354</v>
      </c>
      <c r="M237" t="s">
        <v>84</v>
      </c>
      <c r="N237" s="1">
        <v>43335.90625</v>
      </c>
      <c r="O237" t="s">
        <v>19</v>
      </c>
    </row>
    <row r="238" spans="1:15" x14ac:dyDescent="0.25">
      <c r="A238" t="s">
        <v>154</v>
      </c>
      <c r="B238" t="s">
        <v>15</v>
      </c>
      <c r="C238" t="s">
        <v>64</v>
      </c>
      <c r="D238" t="s">
        <v>17</v>
      </c>
      <c r="E238" t="s">
        <v>18</v>
      </c>
      <c r="F238" t="s">
        <v>19</v>
      </c>
      <c r="G238" t="s">
        <v>20</v>
      </c>
      <c r="J238" t="s">
        <v>17</v>
      </c>
      <c r="K238" t="str">
        <f>"6935364050412"</f>
        <v>6935364050412</v>
      </c>
      <c r="L238" t="str">
        <f>"92930727"</f>
        <v>92930727</v>
      </c>
      <c r="M238" t="s">
        <v>21</v>
      </c>
      <c r="N238" s="1">
        <v>42872.847222222219</v>
      </c>
      <c r="O238" t="s">
        <v>19</v>
      </c>
    </row>
    <row r="239" spans="1:15" x14ac:dyDescent="0.25">
      <c r="A239" t="s">
        <v>155</v>
      </c>
      <c r="B239" t="s">
        <v>15</v>
      </c>
      <c r="C239" t="s">
        <v>64</v>
      </c>
      <c r="D239" t="s">
        <v>17</v>
      </c>
      <c r="E239" t="s">
        <v>18</v>
      </c>
      <c r="F239" t="s">
        <v>19</v>
      </c>
      <c r="G239" t="s">
        <v>20</v>
      </c>
      <c r="J239" t="s">
        <v>17</v>
      </c>
      <c r="K239" t="str">
        <f>"6935364050368"</f>
        <v>6935364050368</v>
      </c>
      <c r="L239" t="str">
        <f>"92930821"</f>
        <v>92930821</v>
      </c>
      <c r="M239" t="s">
        <v>21</v>
      </c>
      <c r="N239" s="1">
        <v>42872.847222222219</v>
      </c>
      <c r="O239" t="s">
        <v>19</v>
      </c>
    </row>
    <row r="240" spans="1:15" x14ac:dyDescent="0.25">
      <c r="A240" t="s">
        <v>156</v>
      </c>
      <c r="B240" t="s">
        <v>15</v>
      </c>
      <c r="C240" t="s">
        <v>23</v>
      </c>
      <c r="D240" t="s">
        <v>17</v>
      </c>
      <c r="E240" t="s">
        <v>18</v>
      </c>
      <c r="F240" t="s">
        <v>19</v>
      </c>
      <c r="G240" t="s">
        <v>20</v>
      </c>
      <c r="J240" t="s">
        <v>17</v>
      </c>
      <c r="K240" t="str">
        <f>"2020050060760"</f>
        <v>2020050060760</v>
      </c>
      <c r="L240" t="str">
        <f>"18526076"</f>
        <v>18526076</v>
      </c>
      <c r="M240" t="s">
        <v>21</v>
      </c>
      <c r="N240" s="1">
        <v>42872.847222222219</v>
      </c>
      <c r="O240" t="s">
        <v>19</v>
      </c>
    </row>
    <row r="241" spans="1:15" x14ac:dyDescent="0.25">
      <c r="A241" t="s">
        <v>157</v>
      </c>
      <c r="B241" t="s">
        <v>15</v>
      </c>
      <c r="C241" t="s">
        <v>35</v>
      </c>
      <c r="D241" t="s">
        <v>17</v>
      </c>
      <c r="E241" t="s">
        <v>18</v>
      </c>
      <c r="F241" t="s">
        <v>19</v>
      </c>
      <c r="G241" t="s">
        <v>20</v>
      </c>
      <c r="J241" t="s">
        <v>17</v>
      </c>
      <c r="K241" t="str">
        <f>"6686996119250"</f>
        <v>6686996119250</v>
      </c>
      <c r="L241" t="str">
        <f>"40029250"</f>
        <v>40029250</v>
      </c>
      <c r="M241" t="s">
        <v>21</v>
      </c>
      <c r="N241" s="1">
        <v>44322.75277777778</v>
      </c>
      <c r="O241" t="s">
        <v>19</v>
      </c>
    </row>
    <row r="242" spans="1:15" x14ac:dyDescent="0.25">
      <c r="A242" t="s">
        <v>158</v>
      </c>
      <c r="B242" t="s">
        <v>15</v>
      </c>
      <c r="C242" t="s">
        <v>35</v>
      </c>
      <c r="D242" t="s">
        <v>17</v>
      </c>
      <c r="E242" t="s">
        <v>18</v>
      </c>
      <c r="F242" t="s">
        <v>19</v>
      </c>
      <c r="G242" t="s">
        <v>20</v>
      </c>
      <c r="J242" t="s">
        <v>17</v>
      </c>
      <c r="K242" t="str">
        <f>"9295002254"</f>
        <v>9295002254</v>
      </c>
      <c r="L242" t="str">
        <f>"98029295"</f>
        <v>98029295</v>
      </c>
      <c r="M242" t="s">
        <v>21</v>
      </c>
      <c r="N242" s="1">
        <v>43686.703472222223</v>
      </c>
      <c r="O242" t="s">
        <v>19</v>
      </c>
    </row>
    <row r="243" spans="1:15" x14ac:dyDescent="0.25">
      <c r="A243" t="s">
        <v>159</v>
      </c>
      <c r="B243" t="s">
        <v>15</v>
      </c>
      <c r="C243" t="s">
        <v>35</v>
      </c>
      <c r="D243" t="s">
        <v>17</v>
      </c>
      <c r="E243" t="s">
        <v>18</v>
      </c>
      <c r="F243" t="s">
        <v>19</v>
      </c>
      <c r="G243" t="s">
        <v>20</v>
      </c>
      <c r="J243" t="s">
        <v>17</v>
      </c>
      <c r="K243" t="str">
        <f>"7298229081181"</f>
        <v>7298229081181</v>
      </c>
      <c r="L243" t="str">
        <f>"29VGA08118"</f>
        <v>29VGA08118</v>
      </c>
      <c r="M243" t="s">
        <v>21</v>
      </c>
      <c r="N243" s="1">
        <v>43994.872916666667</v>
      </c>
      <c r="O243" t="s">
        <v>19</v>
      </c>
    </row>
    <row r="244" spans="1:15" x14ac:dyDescent="0.25">
      <c r="A244" t="s">
        <v>160</v>
      </c>
      <c r="B244" t="s">
        <v>15</v>
      </c>
      <c r="C244" t="s">
        <v>35</v>
      </c>
      <c r="D244" t="s">
        <v>17</v>
      </c>
      <c r="E244" t="s">
        <v>18</v>
      </c>
      <c r="F244" t="s">
        <v>19</v>
      </c>
      <c r="G244" t="s">
        <v>20</v>
      </c>
      <c r="J244" t="s">
        <v>17</v>
      </c>
      <c r="K244" t="str">
        <f>"5626890040893"</f>
        <v>5626890040893</v>
      </c>
      <c r="L244" t="str">
        <f>"280291013"</f>
        <v>280291013</v>
      </c>
      <c r="M244" t="s">
        <v>84</v>
      </c>
      <c r="N244" s="1">
        <v>43335.901388888888</v>
      </c>
      <c r="O244" t="s">
        <v>19</v>
      </c>
    </row>
    <row r="245" spans="1:15" x14ac:dyDescent="0.25">
      <c r="A245" t="s">
        <v>161</v>
      </c>
      <c r="B245" t="s">
        <v>15</v>
      </c>
      <c r="C245" t="s">
        <v>35</v>
      </c>
      <c r="D245" t="s">
        <v>17</v>
      </c>
      <c r="E245" t="s">
        <v>18</v>
      </c>
      <c r="F245" t="s">
        <v>19</v>
      </c>
      <c r="G245" t="s">
        <v>20</v>
      </c>
      <c r="J245" t="s">
        <v>17</v>
      </c>
      <c r="K245" t="str">
        <f>"798324162749"</f>
        <v>798324162749</v>
      </c>
      <c r="L245" t="str">
        <f>"92020362"</f>
        <v>92020362</v>
      </c>
      <c r="M245" t="s">
        <v>21</v>
      </c>
      <c r="N245" s="1">
        <v>43888.874305555553</v>
      </c>
      <c r="O245" t="s">
        <v>19</v>
      </c>
    </row>
    <row r="246" spans="1:15" x14ac:dyDescent="0.25">
      <c r="A246" t="s">
        <v>162</v>
      </c>
      <c r="B246" t="s">
        <v>15</v>
      </c>
      <c r="C246" t="s">
        <v>35</v>
      </c>
      <c r="D246" t="s">
        <v>17</v>
      </c>
      <c r="E246" t="s">
        <v>18</v>
      </c>
      <c r="F246" t="s">
        <v>19</v>
      </c>
      <c r="G246" t="s">
        <v>20</v>
      </c>
      <c r="J246" t="s">
        <v>17</v>
      </c>
      <c r="K246" t="str">
        <f>"798323162733"</f>
        <v>798323162733</v>
      </c>
      <c r="L246" t="str">
        <f>"92520361"</f>
        <v>92520361</v>
      </c>
      <c r="M246" t="s">
        <v>21</v>
      </c>
      <c r="N246" s="1">
        <v>43985.871527777781</v>
      </c>
      <c r="O246" t="s">
        <v>19</v>
      </c>
    </row>
    <row r="247" spans="1:15" x14ac:dyDescent="0.25">
      <c r="A247" t="s">
        <v>163</v>
      </c>
      <c r="B247" t="s">
        <v>15</v>
      </c>
      <c r="C247" t="s">
        <v>164</v>
      </c>
      <c r="D247" t="s">
        <v>17</v>
      </c>
      <c r="E247" t="s">
        <v>18</v>
      </c>
      <c r="F247" t="s">
        <v>19</v>
      </c>
      <c r="G247" t="s">
        <v>20</v>
      </c>
      <c r="J247" t="s">
        <v>17</v>
      </c>
      <c r="K247" t="str">
        <f>"7804947005202"</f>
        <v>7804947005202</v>
      </c>
      <c r="L247" t="str">
        <f>"47883543"</f>
        <v>47883543</v>
      </c>
      <c r="M247" t="s">
        <v>21</v>
      </c>
      <c r="N247" s="1">
        <v>43147.689583333333</v>
      </c>
      <c r="O247" t="s">
        <v>19</v>
      </c>
    </row>
    <row r="248" spans="1:15" x14ac:dyDescent="0.25">
      <c r="A248" t="s">
        <v>165</v>
      </c>
      <c r="B248" t="s">
        <v>15</v>
      </c>
      <c r="C248" t="s">
        <v>31</v>
      </c>
      <c r="D248" t="s">
        <v>17</v>
      </c>
      <c r="E248" t="s">
        <v>18</v>
      </c>
      <c r="F248" t="s">
        <v>19</v>
      </c>
      <c r="G248" t="s">
        <v>20</v>
      </c>
      <c r="J248" t="s">
        <v>17</v>
      </c>
      <c r="K248" t="str">
        <f>"9836172345011"</f>
        <v>9836172345011</v>
      </c>
      <c r="L248" t="str">
        <f>"19PLC0415B"</f>
        <v>19PLC0415B</v>
      </c>
      <c r="M248" t="s">
        <v>21</v>
      </c>
      <c r="N248" s="1">
        <v>43994.852777777778</v>
      </c>
      <c r="O248" t="s">
        <v>19</v>
      </c>
    </row>
    <row r="249" spans="1:15" x14ac:dyDescent="0.25">
      <c r="A249" t="s">
        <v>166</v>
      </c>
      <c r="B249" t="s">
        <v>15</v>
      </c>
      <c r="C249" t="s">
        <v>37</v>
      </c>
      <c r="D249" t="s">
        <v>17</v>
      </c>
      <c r="E249" t="s">
        <v>18</v>
      </c>
      <c r="F249" t="s">
        <v>19</v>
      </c>
      <c r="G249" t="s">
        <v>20</v>
      </c>
      <c r="J249" t="s">
        <v>17</v>
      </c>
      <c r="K249" t="str">
        <f>"10000861"</f>
        <v>10000861</v>
      </c>
      <c r="L249" t="str">
        <f>"10000861"</f>
        <v>10000861</v>
      </c>
      <c r="M249" t="s">
        <v>21</v>
      </c>
      <c r="N249" s="1">
        <v>43546.633333333331</v>
      </c>
      <c r="O249" t="s">
        <v>19</v>
      </c>
    </row>
    <row r="250" spans="1:15" x14ac:dyDescent="0.25">
      <c r="A250" t="s">
        <v>167</v>
      </c>
      <c r="B250" t="s">
        <v>15</v>
      </c>
      <c r="C250" t="s">
        <v>31</v>
      </c>
      <c r="D250" t="s">
        <v>17</v>
      </c>
      <c r="E250" t="s">
        <v>18</v>
      </c>
      <c r="F250" t="s">
        <v>19</v>
      </c>
      <c r="G250" t="s">
        <v>20</v>
      </c>
      <c r="J250" t="s">
        <v>17</v>
      </c>
      <c r="K250" t="str">
        <f>"716829982884"</f>
        <v>716829982884</v>
      </c>
      <c r="L250" t="str">
        <f>"10001998"</f>
        <v>10001998</v>
      </c>
      <c r="M250" t="s">
        <v>84</v>
      </c>
      <c r="N250" s="1">
        <v>43546.628472222219</v>
      </c>
      <c r="O250" t="s">
        <v>19</v>
      </c>
    </row>
    <row r="251" spans="1:15" x14ac:dyDescent="0.25">
      <c r="A251" t="s">
        <v>168</v>
      </c>
      <c r="B251" t="s">
        <v>15</v>
      </c>
      <c r="C251" t="s">
        <v>31</v>
      </c>
      <c r="D251" t="s">
        <v>17</v>
      </c>
      <c r="E251" t="s">
        <v>18</v>
      </c>
      <c r="F251" t="s">
        <v>19</v>
      </c>
      <c r="G251" t="s">
        <v>20</v>
      </c>
      <c r="J251" t="s">
        <v>17</v>
      </c>
      <c r="K251" t="str">
        <f>"9887312134095"</f>
        <v>9887312134095</v>
      </c>
      <c r="L251" t="str">
        <f>"98080450"</f>
        <v>98080450</v>
      </c>
      <c r="M251" t="s">
        <v>21</v>
      </c>
      <c r="N251" s="1">
        <v>42872.847222222219</v>
      </c>
      <c r="O251" t="s">
        <v>19</v>
      </c>
    </row>
    <row r="252" spans="1:15" x14ac:dyDescent="0.25">
      <c r="A252" t="s">
        <v>169</v>
      </c>
      <c r="B252" t="s">
        <v>15</v>
      </c>
      <c r="C252" t="s">
        <v>37</v>
      </c>
      <c r="D252" t="s">
        <v>17</v>
      </c>
      <c r="E252" t="s">
        <v>18</v>
      </c>
      <c r="F252" t="s">
        <v>19</v>
      </c>
      <c r="G252" t="s">
        <v>20</v>
      </c>
      <c r="J252" t="s">
        <v>17</v>
      </c>
      <c r="K252" t="str">
        <f>"6925871667135"</f>
        <v>6925871667135</v>
      </c>
      <c r="L252" t="str">
        <f>"22526713"</f>
        <v>22526713</v>
      </c>
      <c r="M252" t="s">
        <v>75</v>
      </c>
      <c r="N252" s="1">
        <v>43082.645138888889</v>
      </c>
      <c r="O252" t="s">
        <v>19</v>
      </c>
    </row>
    <row r="253" spans="1:15" x14ac:dyDescent="0.25">
      <c r="A253" t="s">
        <v>170</v>
      </c>
      <c r="B253" t="s">
        <v>15</v>
      </c>
      <c r="C253" t="s">
        <v>171</v>
      </c>
      <c r="D253" t="s">
        <v>17</v>
      </c>
      <c r="E253" t="s">
        <v>18</v>
      </c>
      <c r="F253" t="s">
        <v>19</v>
      </c>
      <c r="G253" t="s">
        <v>20</v>
      </c>
      <c r="J253" t="s">
        <v>17</v>
      </c>
      <c r="K253" t="str">
        <f>"25000900"</f>
        <v>25000900</v>
      </c>
      <c r="L253" t="str">
        <f>"25000900"</f>
        <v>25000900</v>
      </c>
      <c r="M253" t="s">
        <v>21</v>
      </c>
      <c r="N253" s="1">
        <v>43063.756944444445</v>
      </c>
      <c r="O253" t="s">
        <v>19</v>
      </c>
    </row>
    <row r="254" spans="1:15" x14ac:dyDescent="0.25">
      <c r="A254" t="s">
        <v>172</v>
      </c>
      <c r="B254" t="s">
        <v>15</v>
      </c>
      <c r="C254" t="s">
        <v>164</v>
      </c>
      <c r="D254" t="s">
        <v>17</v>
      </c>
      <c r="E254" t="s">
        <v>18</v>
      </c>
      <c r="F254" t="s">
        <v>19</v>
      </c>
      <c r="G254" t="s">
        <v>20</v>
      </c>
      <c r="J254" t="s">
        <v>17</v>
      </c>
      <c r="K254" t="str">
        <f>"760412331993"</f>
        <v>760412331993</v>
      </c>
      <c r="L254" t="str">
        <f>"47522516"</f>
        <v>47522516</v>
      </c>
      <c r="M254" t="s">
        <v>21</v>
      </c>
      <c r="N254" s="1">
        <v>42872.839583333334</v>
      </c>
      <c r="O254" t="s">
        <v>19</v>
      </c>
    </row>
    <row r="255" spans="1:15" x14ac:dyDescent="0.25">
      <c r="A255" t="s">
        <v>173</v>
      </c>
      <c r="B255" t="s">
        <v>15</v>
      </c>
      <c r="C255" t="s">
        <v>164</v>
      </c>
      <c r="D255" t="s">
        <v>17</v>
      </c>
      <c r="E255" t="s">
        <v>18</v>
      </c>
      <c r="F255" t="s">
        <v>19</v>
      </c>
      <c r="G255" t="s">
        <v>20</v>
      </c>
      <c r="J255" t="s">
        <v>17</v>
      </c>
      <c r="K255" t="str">
        <f>"47881000"</f>
        <v>47881000</v>
      </c>
      <c r="L255" t="str">
        <f>"47881000"</f>
        <v>47881000</v>
      </c>
      <c r="M255" t="s">
        <v>21</v>
      </c>
      <c r="N255" s="1">
        <v>42872.847222222219</v>
      </c>
      <c r="O255" t="s">
        <v>19</v>
      </c>
    </row>
    <row r="256" spans="1:15" x14ac:dyDescent="0.25">
      <c r="A256" t="s">
        <v>174</v>
      </c>
      <c r="B256" t="s">
        <v>15</v>
      </c>
      <c r="C256" t="s">
        <v>164</v>
      </c>
      <c r="D256" t="s">
        <v>17</v>
      </c>
      <c r="E256" t="s">
        <v>18</v>
      </c>
      <c r="F256" t="s">
        <v>19</v>
      </c>
      <c r="G256" t="s">
        <v>20</v>
      </c>
      <c r="J256" t="s">
        <v>17</v>
      </c>
      <c r="K256" t="str">
        <f>"47881234"</f>
        <v>47881234</v>
      </c>
      <c r="L256" t="str">
        <f>"47881234"</f>
        <v>47881234</v>
      </c>
      <c r="M256" t="s">
        <v>21</v>
      </c>
      <c r="N256" s="1">
        <v>43097.874305555553</v>
      </c>
      <c r="O256" t="s">
        <v>19</v>
      </c>
    </row>
    <row r="257" spans="1:15" x14ac:dyDescent="0.25">
      <c r="A257" t="s">
        <v>175</v>
      </c>
      <c r="B257" t="s">
        <v>15</v>
      </c>
      <c r="C257" t="s">
        <v>164</v>
      </c>
      <c r="D257" t="s">
        <v>17</v>
      </c>
      <c r="E257" t="s">
        <v>18</v>
      </c>
      <c r="F257" t="s">
        <v>19</v>
      </c>
      <c r="G257" t="s">
        <v>20</v>
      </c>
      <c r="J257" t="s">
        <v>18</v>
      </c>
      <c r="K257" t="str">
        <f>"7805040004840"</f>
        <v>7805040004840</v>
      </c>
      <c r="L257" t="str">
        <f>"47884000"</f>
        <v>47884000</v>
      </c>
      <c r="M257" t="s">
        <v>21</v>
      </c>
      <c r="N257" s="1">
        <v>42872.839583333334</v>
      </c>
      <c r="O257" t="s">
        <v>19</v>
      </c>
    </row>
    <row r="258" spans="1:15" x14ac:dyDescent="0.25">
      <c r="A258" t="s">
        <v>176</v>
      </c>
      <c r="B258" t="s">
        <v>15</v>
      </c>
      <c r="C258" t="s">
        <v>37</v>
      </c>
      <c r="D258" t="s">
        <v>17</v>
      </c>
      <c r="E258" t="s">
        <v>18</v>
      </c>
      <c r="F258" t="s">
        <v>19</v>
      </c>
      <c r="G258" t="s">
        <v>20</v>
      </c>
      <c r="J258" t="s">
        <v>17</v>
      </c>
      <c r="K258" t="str">
        <f>"7858816079702"</f>
        <v>7858816079702</v>
      </c>
      <c r="L258" t="str">
        <f>"87527970"</f>
        <v>87527970</v>
      </c>
      <c r="M258" t="s">
        <v>21</v>
      </c>
      <c r="N258" s="1">
        <v>44211.844444444447</v>
      </c>
      <c r="O258" t="s">
        <v>19</v>
      </c>
    </row>
    <row r="259" spans="1:15" x14ac:dyDescent="0.25">
      <c r="A259" t="s">
        <v>177</v>
      </c>
      <c r="B259" t="s">
        <v>15</v>
      </c>
      <c r="C259" t="s">
        <v>37</v>
      </c>
      <c r="D259" t="s">
        <v>17</v>
      </c>
      <c r="E259" t="s">
        <v>18</v>
      </c>
      <c r="F259" t="s">
        <v>19</v>
      </c>
      <c r="G259" t="s">
        <v>20</v>
      </c>
      <c r="J259" t="s">
        <v>17</v>
      </c>
      <c r="K259" t="str">
        <f>"7858816079009"</f>
        <v>7858816079009</v>
      </c>
      <c r="L259" t="str">
        <f>"87527900"</f>
        <v>87527900</v>
      </c>
      <c r="M259" t="s">
        <v>21</v>
      </c>
      <c r="N259" s="1">
        <v>44211.843055555553</v>
      </c>
      <c r="O259" t="s">
        <v>19</v>
      </c>
    </row>
    <row r="260" spans="1:15" x14ac:dyDescent="0.25">
      <c r="A260" t="s">
        <v>178</v>
      </c>
      <c r="B260" t="s">
        <v>15</v>
      </c>
      <c r="C260" t="s">
        <v>37</v>
      </c>
      <c r="D260" t="s">
        <v>17</v>
      </c>
      <c r="E260" t="s">
        <v>18</v>
      </c>
      <c r="F260" t="s">
        <v>19</v>
      </c>
      <c r="G260" t="s">
        <v>20</v>
      </c>
      <c r="J260" t="s">
        <v>17</v>
      </c>
      <c r="K260" t="str">
        <f>"6925871602259"</f>
        <v>6925871602259</v>
      </c>
      <c r="L260" t="str">
        <f>"22520225"</f>
        <v>22520225</v>
      </c>
      <c r="M260" t="s">
        <v>84</v>
      </c>
      <c r="N260" s="1">
        <v>43419.633333333331</v>
      </c>
      <c r="O260" t="s">
        <v>19</v>
      </c>
    </row>
    <row r="261" spans="1:15" x14ac:dyDescent="0.25">
      <c r="A261" t="s">
        <v>179</v>
      </c>
      <c r="B261" t="s">
        <v>15</v>
      </c>
      <c r="C261" t="s">
        <v>37</v>
      </c>
      <c r="D261" t="s">
        <v>17</v>
      </c>
      <c r="E261" t="s">
        <v>18</v>
      </c>
      <c r="F261" t="s">
        <v>19</v>
      </c>
      <c r="G261" t="s">
        <v>20</v>
      </c>
      <c r="J261" t="s">
        <v>17</v>
      </c>
      <c r="K261" t="str">
        <f>"22520112"</f>
        <v>22520112</v>
      </c>
      <c r="L261" t="str">
        <f>"22520112"</f>
        <v>22520112</v>
      </c>
      <c r="M261" t="s">
        <v>21</v>
      </c>
      <c r="N261" s="1">
        <v>44442.908333333333</v>
      </c>
      <c r="O261" t="s">
        <v>19</v>
      </c>
    </row>
    <row r="262" spans="1:15" x14ac:dyDescent="0.25">
      <c r="A262" t="s">
        <v>180</v>
      </c>
      <c r="B262" t="s">
        <v>15</v>
      </c>
      <c r="C262" t="s">
        <v>37</v>
      </c>
      <c r="D262" t="s">
        <v>17</v>
      </c>
      <c r="E262" t="s">
        <v>18</v>
      </c>
      <c r="F262" t="s">
        <v>19</v>
      </c>
      <c r="G262" t="s">
        <v>20</v>
      </c>
      <c r="J262" t="s">
        <v>17</v>
      </c>
      <c r="K262" t="str">
        <f>"22520113"</f>
        <v>22520113</v>
      </c>
      <c r="L262" t="str">
        <f>"22520113"</f>
        <v>22520113</v>
      </c>
      <c r="M262" t="s">
        <v>21</v>
      </c>
      <c r="N262" s="1">
        <v>44442.90902777778</v>
      </c>
      <c r="O262" t="s">
        <v>19</v>
      </c>
    </row>
    <row r="263" spans="1:15" x14ac:dyDescent="0.25">
      <c r="A263" t="s">
        <v>181</v>
      </c>
      <c r="B263" t="s">
        <v>15</v>
      </c>
      <c r="C263" t="s">
        <v>37</v>
      </c>
      <c r="D263" t="s">
        <v>17</v>
      </c>
      <c r="E263" t="s">
        <v>18</v>
      </c>
      <c r="F263" t="s">
        <v>19</v>
      </c>
      <c r="G263" t="s">
        <v>20</v>
      </c>
      <c r="J263" t="s">
        <v>17</v>
      </c>
      <c r="K263" t="str">
        <f>"22520114"</f>
        <v>22520114</v>
      </c>
      <c r="L263" t="str">
        <f>"22520114"</f>
        <v>22520114</v>
      </c>
      <c r="M263" t="s">
        <v>21</v>
      </c>
      <c r="N263" s="1">
        <v>44442.909722222219</v>
      </c>
      <c r="O263" t="s">
        <v>19</v>
      </c>
    </row>
    <row r="264" spans="1:15" x14ac:dyDescent="0.25">
      <c r="A264" t="s">
        <v>182</v>
      </c>
      <c r="B264" t="s">
        <v>15</v>
      </c>
      <c r="C264" t="s">
        <v>37</v>
      </c>
      <c r="D264" t="s">
        <v>17</v>
      </c>
      <c r="E264" t="s">
        <v>18</v>
      </c>
      <c r="F264" t="s">
        <v>19</v>
      </c>
      <c r="G264" t="s">
        <v>20</v>
      </c>
      <c r="J264" t="s">
        <v>17</v>
      </c>
      <c r="K264" t="str">
        <f>"2018073551006"</f>
        <v>2018073551006</v>
      </c>
      <c r="L264" t="str">
        <f>"18520001"</f>
        <v>18520001</v>
      </c>
      <c r="M264" t="s">
        <v>84</v>
      </c>
      <c r="N264" s="1">
        <v>43397.617361111108</v>
      </c>
      <c r="O264" t="s">
        <v>19</v>
      </c>
    </row>
    <row r="265" spans="1:15" x14ac:dyDescent="0.25">
      <c r="A265" t="s">
        <v>183</v>
      </c>
      <c r="B265" t="s">
        <v>15</v>
      </c>
      <c r="C265" t="s">
        <v>37</v>
      </c>
      <c r="D265" t="s">
        <v>17</v>
      </c>
      <c r="E265" t="s">
        <v>18</v>
      </c>
      <c r="F265" t="s">
        <v>19</v>
      </c>
      <c r="G265" t="s">
        <v>20</v>
      </c>
      <c r="J265" t="s">
        <v>17</v>
      </c>
      <c r="K265" t="str">
        <f>"10520370"</f>
        <v>10520370</v>
      </c>
      <c r="L265" t="str">
        <f>"10520370"</f>
        <v>10520370</v>
      </c>
      <c r="M265" t="s">
        <v>21</v>
      </c>
      <c r="N265" s="1">
        <v>44027.73541666667</v>
      </c>
      <c r="O265" t="s">
        <v>19</v>
      </c>
    </row>
    <row r="266" spans="1:15" x14ac:dyDescent="0.25">
      <c r="A266" t="s">
        <v>184</v>
      </c>
      <c r="B266" t="s">
        <v>15</v>
      </c>
      <c r="C266" t="s">
        <v>37</v>
      </c>
      <c r="D266" t="s">
        <v>17</v>
      </c>
      <c r="E266" t="s">
        <v>18</v>
      </c>
      <c r="F266" t="s">
        <v>19</v>
      </c>
      <c r="G266" t="s">
        <v>20</v>
      </c>
      <c r="J266" t="s">
        <v>17</v>
      </c>
      <c r="K266" t="str">
        <f>"10006829"</f>
        <v>10006829</v>
      </c>
      <c r="L266" t="str">
        <f>"10006829"</f>
        <v>10006829</v>
      </c>
      <c r="M266" t="s">
        <v>21</v>
      </c>
      <c r="N266" s="1">
        <v>42872.839583333334</v>
      </c>
      <c r="O266" t="s">
        <v>19</v>
      </c>
    </row>
    <row r="267" spans="1:15" x14ac:dyDescent="0.25">
      <c r="A267" t="s">
        <v>185</v>
      </c>
      <c r="B267" t="s">
        <v>15</v>
      </c>
      <c r="C267" t="s">
        <v>37</v>
      </c>
      <c r="D267" t="s">
        <v>17</v>
      </c>
      <c r="E267" t="s">
        <v>18</v>
      </c>
      <c r="F267" t="s">
        <v>19</v>
      </c>
      <c r="G267" t="s">
        <v>20</v>
      </c>
      <c r="J267" t="s">
        <v>17</v>
      </c>
      <c r="K267" t="str">
        <f>"7892017122508"</f>
        <v>7892017122508</v>
      </c>
      <c r="L267" t="str">
        <f>"40523011"</f>
        <v>40523011</v>
      </c>
      <c r="M267" t="s">
        <v>21</v>
      </c>
      <c r="N267" s="1">
        <v>44349.70416666667</v>
      </c>
      <c r="O267" t="s">
        <v>19</v>
      </c>
    </row>
    <row r="268" spans="1:15" x14ac:dyDescent="0.25">
      <c r="A268" t="s">
        <v>186</v>
      </c>
      <c r="B268" t="s">
        <v>15</v>
      </c>
      <c r="C268" t="s">
        <v>37</v>
      </c>
      <c r="D268" t="s">
        <v>17</v>
      </c>
      <c r="E268" t="s">
        <v>18</v>
      </c>
      <c r="F268" t="s">
        <v>19</v>
      </c>
      <c r="G268" t="s">
        <v>20</v>
      </c>
      <c r="J268" t="s">
        <v>17</v>
      </c>
      <c r="K268" t="str">
        <f>"6955454441555"</f>
        <v>6955454441555</v>
      </c>
      <c r="L268" t="str">
        <f>"40524155"</f>
        <v>40524155</v>
      </c>
      <c r="M268" t="s">
        <v>21</v>
      </c>
      <c r="N268" s="1">
        <v>43313.926388888889</v>
      </c>
      <c r="O268" t="s">
        <v>19</v>
      </c>
    </row>
    <row r="269" spans="1:15" x14ac:dyDescent="0.25">
      <c r="A269" t="s">
        <v>187</v>
      </c>
      <c r="B269" t="s">
        <v>15</v>
      </c>
      <c r="C269" t="s">
        <v>37</v>
      </c>
      <c r="D269" t="s">
        <v>17</v>
      </c>
      <c r="E269" t="s">
        <v>18</v>
      </c>
      <c r="F269" t="s">
        <v>19</v>
      </c>
      <c r="G269" t="s">
        <v>20</v>
      </c>
      <c r="J269" t="s">
        <v>17</v>
      </c>
      <c r="K269" t="str">
        <f>"030878248075"</f>
        <v>030878248075</v>
      </c>
      <c r="L269" t="str">
        <f>"985224807"</f>
        <v>985224807</v>
      </c>
      <c r="M269" t="s">
        <v>84</v>
      </c>
      <c r="N269" s="1">
        <v>43279.779861111114</v>
      </c>
      <c r="O269" t="s">
        <v>19</v>
      </c>
    </row>
    <row r="270" spans="1:15" x14ac:dyDescent="0.25">
      <c r="A270" t="s">
        <v>188</v>
      </c>
      <c r="B270" t="s">
        <v>15</v>
      </c>
      <c r="C270" t="s">
        <v>37</v>
      </c>
      <c r="D270" t="s">
        <v>17</v>
      </c>
      <c r="E270" t="s">
        <v>18</v>
      </c>
      <c r="F270" t="s">
        <v>19</v>
      </c>
      <c r="G270" t="s">
        <v>20</v>
      </c>
      <c r="J270" t="s">
        <v>17</v>
      </c>
      <c r="K270" t="str">
        <f>"7858816075377"</f>
        <v>7858816075377</v>
      </c>
      <c r="L270" t="str">
        <f>"87527537"</f>
        <v>87527537</v>
      </c>
      <c r="M270" t="s">
        <v>21</v>
      </c>
      <c r="N270" s="1">
        <v>44211.902083333334</v>
      </c>
      <c r="O270" t="s">
        <v>19</v>
      </c>
    </row>
    <row r="271" spans="1:15" x14ac:dyDescent="0.25">
      <c r="A271" t="s">
        <v>189</v>
      </c>
      <c r="B271" t="s">
        <v>15</v>
      </c>
      <c r="C271" t="s">
        <v>37</v>
      </c>
      <c r="D271" t="s">
        <v>17</v>
      </c>
      <c r="E271" t="s">
        <v>18</v>
      </c>
      <c r="F271" t="s">
        <v>19</v>
      </c>
      <c r="G271" t="s">
        <v>20</v>
      </c>
      <c r="J271" t="s">
        <v>17</v>
      </c>
      <c r="K271" t="str">
        <f>"49051487"</f>
        <v>49051487</v>
      </c>
      <c r="L271" t="str">
        <f>"49051487"</f>
        <v>49051487</v>
      </c>
      <c r="M271" t="s">
        <v>75</v>
      </c>
      <c r="N271" s="1">
        <v>42872.839583333334</v>
      </c>
      <c r="O271" t="s">
        <v>19</v>
      </c>
    </row>
    <row r="272" spans="1:15" x14ac:dyDescent="0.25">
      <c r="A272" t="s">
        <v>190</v>
      </c>
      <c r="B272" t="s">
        <v>15</v>
      </c>
      <c r="C272" t="s">
        <v>37</v>
      </c>
      <c r="D272" t="s">
        <v>17</v>
      </c>
      <c r="E272" t="s">
        <v>18</v>
      </c>
      <c r="F272" t="s">
        <v>19</v>
      </c>
      <c r="G272" t="s">
        <v>20</v>
      </c>
      <c r="J272" t="s">
        <v>17</v>
      </c>
      <c r="K272" t="str">
        <f>"18525793"</f>
        <v>18525793</v>
      </c>
      <c r="L272" t="str">
        <f>"18525793"</f>
        <v>18525793</v>
      </c>
      <c r="M272" t="s">
        <v>21</v>
      </c>
      <c r="N272" s="1">
        <v>43571.977083333331</v>
      </c>
      <c r="O272" t="s">
        <v>19</v>
      </c>
    </row>
    <row r="273" spans="1:15" x14ac:dyDescent="0.25">
      <c r="A273" t="s">
        <v>191</v>
      </c>
      <c r="B273" t="s">
        <v>15</v>
      </c>
      <c r="C273" t="s">
        <v>37</v>
      </c>
      <c r="D273" t="s">
        <v>17</v>
      </c>
      <c r="E273" t="s">
        <v>18</v>
      </c>
      <c r="F273" t="s">
        <v>19</v>
      </c>
      <c r="G273" t="s">
        <v>20</v>
      </c>
      <c r="J273" t="s">
        <v>17</v>
      </c>
      <c r="K273" t="str">
        <f>"8518783723006"</f>
        <v>8518783723006</v>
      </c>
      <c r="L273" t="str">
        <f>"10003775"</f>
        <v>10003775</v>
      </c>
      <c r="M273" t="s">
        <v>21</v>
      </c>
      <c r="N273" s="1">
        <v>43612.617361111108</v>
      </c>
      <c r="O273" t="s">
        <v>19</v>
      </c>
    </row>
    <row r="274" spans="1:15" x14ac:dyDescent="0.25">
      <c r="A274" t="s">
        <v>192</v>
      </c>
      <c r="B274" t="s">
        <v>15</v>
      </c>
      <c r="C274" t="s">
        <v>37</v>
      </c>
      <c r="D274" t="s">
        <v>17</v>
      </c>
      <c r="E274" t="s">
        <v>18</v>
      </c>
      <c r="F274" t="s">
        <v>19</v>
      </c>
      <c r="G274" t="s">
        <v>20</v>
      </c>
      <c r="J274" t="s">
        <v>17</v>
      </c>
      <c r="K274" t="str">
        <f>"10000096"</f>
        <v>10000096</v>
      </c>
      <c r="L274" t="str">
        <f>"10000096"</f>
        <v>10000096</v>
      </c>
      <c r="M274" t="s">
        <v>84</v>
      </c>
      <c r="N274" s="1">
        <v>43571.977777777778</v>
      </c>
      <c r="O274" t="s">
        <v>19</v>
      </c>
    </row>
    <row r="275" spans="1:15" x14ac:dyDescent="0.25">
      <c r="A275" t="s">
        <v>193</v>
      </c>
      <c r="B275" t="s">
        <v>15</v>
      </c>
      <c r="C275" t="s">
        <v>37</v>
      </c>
      <c r="D275" t="s">
        <v>17</v>
      </c>
      <c r="E275" t="s">
        <v>18</v>
      </c>
      <c r="F275" t="s">
        <v>19</v>
      </c>
      <c r="G275" t="s">
        <v>20</v>
      </c>
      <c r="J275" t="s">
        <v>17</v>
      </c>
      <c r="K275" t="str">
        <f>"7858816002793"</f>
        <v>7858816002793</v>
      </c>
      <c r="L275" t="str">
        <f>"87520279"</f>
        <v>87520279</v>
      </c>
      <c r="M275" t="s">
        <v>21</v>
      </c>
      <c r="N275" s="1">
        <v>44211.911805555559</v>
      </c>
      <c r="O275" t="s">
        <v>19</v>
      </c>
    </row>
    <row r="276" spans="1:15" x14ac:dyDescent="0.25">
      <c r="A276" t="s">
        <v>194</v>
      </c>
      <c r="B276" t="s">
        <v>15</v>
      </c>
      <c r="C276" t="s">
        <v>37</v>
      </c>
      <c r="D276" t="s">
        <v>17</v>
      </c>
      <c r="E276" t="s">
        <v>18</v>
      </c>
      <c r="F276" t="s">
        <v>19</v>
      </c>
      <c r="G276" t="s">
        <v>20</v>
      </c>
      <c r="J276" t="s">
        <v>18</v>
      </c>
      <c r="K276" t="str">
        <f>"2018011011760"</f>
        <v>2018011011760</v>
      </c>
      <c r="L276" t="str">
        <f>"18522776"</f>
        <v>18522776</v>
      </c>
      <c r="M276" t="s">
        <v>21</v>
      </c>
      <c r="N276" s="1">
        <v>43497.833333333336</v>
      </c>
      <c r="O276" t="s">
        <v>19</v>
      </c>
    </row>
    <row r="277" spans="1:15" x14ac:dyDescent="0.25">
      <c r="A277" t="s">
        <v>195</v>
      </c>
      <c r="B277" t="s">
        <v>15</v>
      </c>
      <c r="C277" t="s">
        <v>37</v>
      </c>
      <c r="D277" t="s">
        <v>17</v>
      </c>
      <c r="E277" t="s">
        <v>18</v>
      </c>
      <c r="F277" t="s">
        <v>19</v>
      </c>
      <c r="G277" t="s">
        <v>20</v>
      </c>
      <c r="J277" t="s">
        <v>17</v>
      </c>
      <c r="K277" t="str">
        <f>"752356806774"</f>
        <v>752356806774</v>
      </c>
      <c r="L277" t="str">
        <f>"10004140"</f>
        <v>10004140</v>
      </c>
      <c r="M277" t="s">
        <v>21</v>
      </c>
      <c r="N277" s="1">
        <v>43819.89166666667</v>
      </c>
      <c r="O277" t="s">
        <v>19</v>
      </c>
    </row>
    <row r="278" spans="1:15" x14ac:dyDescent="0.25">
      <c r="A278" t="s">
        <v>196</v>
      </c>
      <c r="B278" t="s">
        <v>15</v>
      </c>
      <c r="C278" t="s">
        <v>37</v>
      </c>
      <c r="D278" t="s">
        <v>17</v>
      </c>
      <c r="E278" t="s">
        <v>18</v>
      </c>
      <c r="F278" t="s">
        <v>19</v>
      </c>
      <c r="G278" t="s">
        <v>20</v>
      </c>
      <c r="J278" t="s">
        <v>17</v>
      </c>
      <c r="K278" t="str">
        <f>"10000959"</f>
        <v>10000959</v>
      </c>
      <c r="L278" t="str">
        <f>"10000959"</f>
        <v>10000959</v>
      </c>
      <c r="M278" t="s">
        <v>21</v>
      </c>
      <c r="N278" s="1">
        <v>43084.862500000003</v>
      </c>
      <c r="O278" t="s">
        <v>19</v>
      </c>
    </row>
    <row r="279" spans="1:15" x14ac:dyDescent="0.25">
      <c r="A279" t="s">
        <v>197</v>
      </c>
      <c r="B279" t="s">
        <v>15</v>
      </c>
      <c r="C279" t="s">
        <v>37</v>
      </c>
      <c r="D279" t="s">
        <v>17</v>
      </c>
      <c r="E279" t="s">
        <v>18</v>
      </c>
      <c r="F279" t="s">
        <v>19</v>
      </c>
      <c r="G279" t="s">
        <v>20</v>
      </c>
      <c r="J279" t="s">
        <v>17</v>
      </c>
      <c r="K279" t="str">
        <f>"5901234123457"</f>
        <v>5901234123457</v>
      </c>
      <c r="L279" t="str">
        <f>"10520970"</f>
        <v>10520970</v>
      </c>
      <c r="M279" t="s">
        <v>75</v>
      </c>
      <c r="N279" s="1">
        <v>43034.65902777778</v>
      </c>
      <c r="O279" t="s">
        <v>19</v>
      </c>
    </row>
    <row r="280" spans="1:15" x14ac:dyDescent="0.25">
      <c r="A280" t="s">
        <v>198</v>
      </c>
      <c r="B280" t="s">
        <v>15</v>
      </c>
      <c r="C280" t="s">
        <v>37</v>
      </c>
      <c r="D280" t="s">
        <v>17</v>
      </c>
      <c r="E280" t="s">
        <v>18</v>
      </c>
      <c r="F280" t="s">
        <v>19</v>
      </c>
      <c r="G280" t="s">
        <v>20</v>
      </c>
      <c r="J280" t="s">
        <v>18</v>
      </c>
      <c r="K280" t="str">
        <f>"RA4562387925MD"</f>
        <v>RA4562387925MD</v>
      </c>
      <c r="L280" t="str">
        <f>"40527925"</f>
        <v>40527925</v>
      </c>
      <c r="M280" t="s">
        <v>21</v>
      </c>
      <c r="N280" s="1">
        <v>44286.736805555556</v>
      </c>
      <c r="O280" t="s">
        <v>19</v>
      </c>
    </row>
    <row r="281" spans="1:15" x14ac:dyDescent="0.25">
      <c r="A281" t="s">
        <v>199</v>
      </c>
      <c r="B281" t="s">
        <v>15</v>
      </c>
      <c r="C281" t="s">
        <v>37</v>
      </c>
      <c r="D281" t="s">
        <v>17</v>
      </c>
      <c r="E281" t="s">
        <v>18</v>
      </c>
      <c r="F281" t="s">
        <v>19</v>
      </c>
      <c r="G281" t="s">
        <v>20</v>
      </c>
      <c r="J281" t="s">
        <v>17</v>
      </c>
      <c r="K281" t="str">
        <f>"8051134858649"</f>
        <v>8051134858649</v>
      </c>
      <c r="L281" t="str">
        <f>"40528649"</f>
        <v>40528649</v>
      </c>
      <c r="M281" t="s">
        <v>21</v>
      </c>
      <c r="N281" s="1">
        <v>44286.737500000003</v>
      </c>
      <c r="O281" t="s">
        <v>19</v>
      </c>
    </row>
    <row r="282" spans="1:15" x14ac:dyDescent="0.25">
      <c r="A282" t="s">
        <v>200</v>
      </c>
      <c r="B282" t="s">
        <v>15</v>
      </c>
      <c r="C282" t="s">
        <v>37</v>
      </c>
      <c r="D282" t="s">
        <v>17</v>
      </c>
      <c r="E282" t="s">
        <v>18</v>
      </c>
      <c r="F282" t="s">
        <v>19</v>
      </c>
      <c r="G282" t="s">
        <v>20</v>
      </c>
      <c r="J282" t="s">
        <v>17</v>
      </c>
      <c r="K282" t="str">
        <f>"2019053557285"</f>
        <v>2019053557285</v>
      </c>
      <c r="L282" t="str">
        <f>"18525728"</f>
        <v>18525728</v>
      </c>
      <c r="M282" t="s">
        <v>21</v>
      </c>
      <c r="N282" s="1">
        <v>43571.977083333331</v>
      </c>
      <c r="O282" t="s">
        <v>19</v>
      </c>
    </row>
    <row r="283" spans="1:15" x14ac:dyDescent="0.25">
      <c r="A283" t="s">
        <v>201</v>
      </c>
      <c r="B283" t="s">
        <v>15</v>
      </c>
      <c r="C283" t="s">
        <v>37</v>
      </c>
      <c r="D283" t="s">
        <v>17</v>
      </c>
      <c r="E283" t="s">
        <v>18</v>
      </c>
      <c r="F283" t="s">
        <v>19</v>
      </c>
      <c r="G283" t="s">
        <v>20</v>
      </c>
      <c r="J283" t="s">
        <v>17</v>
      </c>
      <c r="K283" t="str">
        <f>"7858816002809"</f>
        <v>7858816002809</v>
      </c>
      <c r="L283" t="str">
        <f>"87520028"</f>
        <v>87520028</v>
      </c>
      <c r="M283" t="s">
        <v>21</v>
      </c>
      <c r="N283" s="1">
        <v>44211.901388888888</v>
      </c>
      <c r="O283" t="s">
        <v>19</v>
      </c>
    </row>
    <row r="284" spans="1:15" x14ac:dyDescent="0.25">
      <c r="A284" t="s">
        <v>202</v>
      </c>
      <c r="B284" t="s">
        <v>15</v>
      </c>
      <c r="C284" t="s">
        <v>37</v>
      </c>
      <c r="D284" t="s">
        <v>17</v>
      </c>
      <c r="E284" t="s">
        <v>18</v>
      </c>
      <c r="F284" t="s">
        <v>19</v>
      </c>
      <c r="G284" t="s">
        <v>20</v>
      </c>
      <c r="J284" t="s">
        <v>17</v>
      </c>
      <c r="K284" t="str">
        <f>"31F0000315"</f>
        <v>31F0000315</v>
      </c>
      <c r="L284" t="str">
        <f>"31F0000315"</f>
        <v>31F0000315</v>
      </c>
      <c r="M284" t="s">
        <v>21</v>
      </c>
      <c r="N284" s="1">
        <v>43994.813888888886</v>
      </c>
      <c r="O284" t="s">
        <v>19</v>
      </c>
    </row>
    <row r="285" spans="1:15" x14ac:dyDescent="0.25">
      <c r="A285" t="s">
        <v>203</v>
      </c>
      <c r="B285" t="s">
        <v>15</v>
      </c>
      <c r="C285" t="s">
        <v>37</v>
      </c>
      <c r="D285" t="s">
        <v>17</v>
      </c>
      <c r="E285" t="s">
        <v>18</v>
      </c>
      <c r="F285" t="s">
        <v>19</v>
      </c>
      <c r="G285" t="s">
        <v>20</v>
      </c>
      <c r="J285" t="s">
        <v>17</v>
      </c>
      <c r="K285" t="str">
        <f>"8699258561108"</f>
        <v>8699258561108</v>
      </c>
      <c r="L285" t="str">
        <f>"10001781"</f>
        <v>10001781</v>
      </c>
      <c r="M285" t="s">
        <v>21</v>
      </c>
      <c r="N285" s="1">
        <v>42924.696527777778</v>
      </c>
      <c r="O285" t="s">
        <v>19</v>
      </c>
    </row>
    <row r="286" spans="1:15" x14ac:dyDescent="0.25">
      <c r="A286" t="s">
        <v>204</v>
      </c>
      <c r="B286" t="s">
        <v>15</v>
      </c>
      <c r="C286" t="s">
        <v>64</v>
      </c>
      <c r="D286" t="s">
        <v>17</v>
      </c>
      <c r="E286" t="s">
        <v>18</v>
      </c>
      <c r="F286" t="s">
        <v>19</v>
      </c>
      <c r="G286" t="s">
        <v>20</v>
      </c>
      <c r="J286" t="s">
        <v>17</v>
      </c>
      <c r="K286" t="str">
        <f>"8985941205498"</f>
        <v>8985941205498</v>
      </c>
      <c r="L286" t="str">
        <f>"40925498"</f>
        <v>40925498</v>
      </c>
      <c r="M286" t="s">
        <v>21</v>
      </c>
      <c r="N286" s="1">
        <v>44434.834722222222</v>
      </c>
      <c r="O286" t="s">
        <v>19</v>
      </c>
    </row>
    <row r="287" spans="1:15" x14ac:dyDescent="0.25">
      <c r="A287" t="s">
        <v>205</v>
      </c>
      <c r="B287" t="s">
        <v>15</v>
      </c>
      <c r="C287" t="s">
        <v>37</v>
      </c>
      <c r="D287" t="s">
        <v>17</v>
      </c>
      <c r="E287" t="s">
        <v>18</v>
      </c>
      <c r="F287" t="s">
        <v>19</v>
      </c>
      <c r="G287" t="s">
        <v>20</v>
      </c>
      <c r="J287" t="s">
        <v>17</v>
      </c>
      <c r="K287" t="str">
        <f>"10011781"</f>
        <v>10011781</v>
      </c>
      <c r="L287" t="str">
        <f>"10011781"</f>
        <v>10011781</v>
      </c>
      <c r="M287" t="s">
        <v>21</v>
      </c>
      <c r="N287" s="1">
        <v>43708.886805555558</v>
      </c>
      <c r="O287" t="s">
        <v>19</v>
      </c>
    </row>
    <row r="288" spans="1:15" x14ac:dyDescent="0.25">
      <c r="A288" t="s">
        <v>206</v>
      </c>
      <c r="B288" t="s">
        <v>15</v>
      </c>
      <c r="C288" t="s">
        <v>64</v>
      </c>
      <c r="D288" t="s">
        <v>17</v>
      </c>
      <c r="E288" t="s">
        <v>18</v>
      </c>
      <c r="F288" t="s">
        <v>19</v>
      </c>
      <c r="G288" t="s">
        <v>20</v>
      </c>
      <c r="J288" t="s">
        <v>17</v>
      </c>
      <c r="K288" t="str">
        <f>"898594120548"</f>
        <v>898594120548</v>
      </c>
      <c r="L288" t="str">
        <f>"40920548"</f>
        <v>40920548</v>
      </c>
      <c r="M288" t="s">
        <v>21</v>
      </c>
      <c r="N288" s="1">
        <v>44306.888888888891</v>
      </c>
      <c r="O288" t="s">
        <v>19</v>
      </c>
    </row>
    <row r="289" spans="1:15" x14ac:dyDescent="0.25">
      <c r="A289" t="s">
        <v>206</v>
      </c>
      <c r="B289" t="s">
        <v>15</v>
      </c>
      <c r="C289" t="s">
        <v>64</v>
      </c>
      <c r="D289" t="s">
        <v>17</v>
      </c>
      <c r="E289" t="s">
        <v>18</v>
      </c>
      <c r="F289" t="s">
        <v>19</v>
      </c>
      <c r="G289" t="s">
        <v>20</v>
      </c>
      <c r="J289" t="s">
        <v>17</v>
      </c>
      <c r="K289" t="str">
        <f>"8985941205481"</f>
        <v>8985941205481</v>
      </c>
      <c r="L289" t="str">
        <f>"40925481"</f>
        <v>40925481</v>
      </c>
      <c r="M289" t="s">
        <v>21</v>
      </c>
      <c r="N289" s="1">
        <v>44434.835416666669</v>
      </c>
      <c r="O289" t="s">
        <v>19</v>
      </c>
    </row>
    <row r="290" spans="1:15" x14ac:dyDescent="0.25">
      <c r="A290" t="s">
        <v>207</v>
      </c>
      <c r="B290" t="s">
        <v>15</v>
      </c>
      <c r="C290" t="s">
        <v>64</v>
      </c>
      <c r="D290" t="s">
        <v>17</v>
      </c>
      <c r="E290" t="s">
        <v>18</v>
      </c>
      <c r="F290" t="s">
        <v>19</v>
      </c>
      <c r="G290" t="s">
        <v>20</v>
      </c>
      <c r="J290" t="s">
        <v>17</v>
      </c>
      <c r="K290" t="str">
        <f>"4710007738016"</f>
        <v>4710007738016</v>
      </c>
      <c r="L290" t="str">
        <f>"98930026"</f>
        <v>98930026</v>
      </c>
      <c r="M290" t="s">
        <v>21</v>
      </c>
      <c r="N290" s="1">
        <v>43502.895833333336</v>
      </c>
      <c r="O290" t="s">
        <v>19</v>
      </c>
    </row>
    <row r="291" spans="1:15" x14ac:dyDescent="0.25">
      <c r="A291" t="s">
        <v>208</v>
      </c>
      <c r="B291" t="s">
        <v>15</v>
      </c>
      <c r="C291" t="s">
        <v>64</v>
      </c>
      <c r="D291" t="s">
        <v>17</v>
      </c>
      <c r="E291" t="s">
        <v>18</v>
      </c>
      <c r="F291" t="s">
        <v>19</v>
      </c>
      <c r="G291" t="s">
        <v>20</v>
      </c>
      <c r="J291" t="s">
        <v>17</v>
      </c>
      <c r="K291" t="str">
        <f>"8279283380082"</f>
        <v>8279283380082</v>
      </c>
      <c r="L291" t="str">
        <f>"40930082"</f>
        <v>40930082</v>
      </c>
      <c r="M291" t="s">
        <v>21</v>
      </c>
      <c r="N291" s="1">
        <v>44306.929861111108</v>
      </c>
      <c r="O291" t="s">
        <v>19</v>
      </c>
    </row>
    <row r="292" spans="1:15" x14ac:dyDescent="0.25">
      <c r="A292" t="s">
        <v>209</v>
      </c>
      <c r="B292" t="s">
        <v>15</v>
      </c>
      <c r="C292" t="s">
        <v>64</v>
      </c>
      <c r="D292" t="s">
        <v>17</v>
      </c>
      <c r="E292" t="s">
        <v>18</v>
      </c>
      <c r="F292" t="s">
        <v>19</v>
      </c>
      <c r="G292" t="s">
        <v>20</v>
      </c>
      <c r="J292" t="s">
        <v>17</v>
      </c>
      <c r="K292" t="str">
        <f>"4710268256694"</f>
        <v>4710268256694</v>
      </c>
      <c r="L292" t="str">
        <f>"98205006"</f>
        <v>98205006</v>
      </c>
      <c r="M292" t="s">
        <v>21</v>
      </c>
      <c r="N292" s="1">
        <v>43609.799305555556</v>
      </c>
      <c r="O292" t="s">
        <v>19</v>
      </c>
    </row>
    <row r="293" spans="1:15" x14ac:dyDescent="0.25">
      <c r="A293" t="s">
        <v>210</v>
      </c>
      <c r="B293" t="s">
        <v>15</v>
      </c>
      <c r="C293" t="s">
        <v>55</v>
      </c>
      <c r="D293" t="s">
        <v>17</v>
      </c>
      <c r="E293" t="s">
        <v>18</v>
      </c>
      <c r="F293" t="s">
        <v>19</v>
      </c>
      <c r="G293" t="s">
        <v>20</v>
      </c>
      <c r="J293" t="s">
        <v>17</v>
      </c>
      <c r="K293" t="str">
        <f>"190198001757"</f>
        <v>190198001757</v>
      </c>
      <c r="L293" t="str">
        <f>"30020062"</f>
        <v>30020062</v>
      </c>
      <c r="M293" t="s">
        <v>84</v>
      </c>
      <c r="N293" s="1">
        <v>43350.655555555553</v>
      </c>
      <c r="O293" t="s">
        <v>19</v>
      </c>
    </row>
    <row r="294" spans="1:15" x14ac:dyDescent="0.25">
      <c r="A294" t="s">
        <v>211</v>
      </c>
      <c r="B294" t="s">
        <v>15</v>
      </c>
      <c r="C294" t="s">
        <v>37</v>
      </c>
      <c r="D294" t="s">
        <v>17</v>
      </c>
      <c r="E294" t="s">
        <v>18</v>
      </c>
      <c r="F294" t="s">
        <v>19</v>
      </c>
      <c r="G294" t="s">
        <v>20</v>
      </c>
      <c r="J294" t="s">
        <v>17</v>
      </c>
      <c r="K294" t="str">
        <f>"76520026"</f>
        <v>76520026</v>
      </c>
      <c r="L294" t="str">
        <f>"76520026"</f>
        <v>76520026</v>
      </c>
      <c r="M294" t="s">
        <v>21</v>
      </c>
      <c r="N294" s="1">
        <v>42872.839583333334</v>
      </c>
      <c r="O294" t="s">
        <v>19</v>
      </c>
    </row>
    <row r="295" spans="1:15" x14ac:dyDescent="0.25">
      <c r="A295" t="s">
        <v>212</v>
      </c>
      <c r="B295" t="s">
        <v>15</v>
      </c>
      <c r="C295" t="s">
        <v>37</v>
      </c>
      <c r="D295" t="s">
        <v>17</v>
      </c>
      <c r="E295" t="s">
        <v>18</v>
      </c>
      <c r="F295" t="s">
        <v>19</v>
      </c>
      <c r="G295" t="s">
        <v>20</v>
      </c>
      <c r="J295" t="s">
        <v>17</v>
      </c>
      <c r="K295" t="str">
        <f>"6942665222608"</f>
        <v>6942665222608</v>
      </c>
      <c r="L295" t="str">
        <f>"22520260"</f>
        <v>22520260</v>
      </c>
      <c r="M295" t="s">
        <v>21</v>
      </c>
      <c r="N295" s="1">
        <v>44370.696527777778</v>
      </c>
      <c r="O295" t="s">
        <v>19</v>
      </c>
    </row>
    <row r="296" spans="1:15" x14ac:dyDescent="0.25">
      <c r="A296" t="s">
        <v>213</v>
      </c>
      <c r="B296" t="s">
        <v>15</v>
      </c>
      <c r="C296" t="s">
        <v>37</v>
      </c>
      <c r="D296" t="s">
        <v>17</v>
      </c>
      <c r="E296" t="s">
        <v>18</v>
      </c>
      <c r="F296" t="s">
        <v>19</v>
      </c>
      <c r="G296" t="s">
        <v>20</v>
      </c>
      <c r="J296" t="s">
        <v>17</v>
      </c>
      <c r="K296" t="str">
        <f>"7858816061332"</f>
        <v>7858816061332</v>
      </c>
      <c r="L296" t="str">
        <f>"87526133"</f>
        <v>87526133</v>
      </c>
      <c r="M296" t="s">
        <v>21</v>
      </c>
      <c r="N296" s="1">
        <v>43839.826388888891</v>
      </c>
      <c r="O296" t="s">
        <v>19</v>
      </c>
    </row>
    <row r="297" spans="1:15" x14ac:dyDescent="0.25">
      <c r="A297" t="s">
        <v>214</v>
      </c>
      <c r="B297" t="s">
        <v>15</v>
      </c>
      <c r="C297" t="s">
        <v>37</v>
      </c>
      <c r="D297" t="s">
        <v>17</v>
      </c>
      <c r="E297" t="s">
        <v>18</v>
      </c>
      <c r="F297" t="s">
        <v>19</v>
      </c>
      <c r="G297" t="s">
        <v>20</v>
      </c>
      <c r="J297" t="s">
        <v>17</v>
      </c>
      <c r="K297" t="str">
        <f>"76520033"</f>
        <v>76520033</v>
      </c>
      <c r="L297" t="str">
        <f>"76520033"</f>
        <v>76520033</v>
      </c>
      <c r="M297" t="s">
        <v>21</v>
      </c>
      <c r="N297" s="1">
        <v>42872.847222222219</v>
      </c>
      <c r="O297" t="s">
        <v>19</v>
      </c>
    </row>
    <row r="298" spans="1:15" x14ac:dyDescent="0.25">
      <c r="A298" t="s">
        <v>215</v>
      </c>
      <c r="B298" t="s">
        <v>15</v>
      </c>
      <c r="C298" t="s">
        <v>37</v>
      </c>
      <c r="D298" t="s">
        <v>17</v>
      </c>
      <c r="E298" t="s">
        <v>18</v>
      </c>
      <c r="F298" t="s">
        <v>19</v>
      </c>
      <c r="G298" t="s">
        <v>20</v>
      </c>
      <c r="J298" t="s">
        <v>17</v>
      </c>
      <c r="K298" t="str">
        <f>"7858816071218"</f>
        <v>7858816071218</v>
      </c>
      <c r="L298" t="str">
        <f>"87523827"</f>
        <v>87523827</v>
      </c>
      <c r="M298" t="s">
        <v>21</v>
      </c>
      <c r="N298" s="1">
        <v>43873.617361111108</v>
      </c>
      <c r="O298" t="s">
        <v>19</v>
      </c>
    </row>
    <row r="299" spans="1:15" x14ac:dyDescent="0.25">
      <c r="A299" t="s">
        <v>216</v>
      </c>
      <c r="B299" t="s">
        <v>15</v>
      </c>
      <c r="C299" t="s">
        <v>217</v>
      </c>
      <c r="D299" t="s">
        <v>17</v>
      </c>
      <c r="E299" t="s">
        <v>18</v>
      </c>
      <c r="F299" t="s">
        <v>19</v>
      </c>
      <c r="G299" t="s">
        <v>20</v>
      </c>
      <c r="J299" t="s">
        <v>17</v>
      </c>
      <c r="K299" t="str">
        <f>"10111726"</f>
        <v>10111726</v>
      </c>
      <c r="L299" t="str">
        <f>"10111726"</f>
        <v>10111726</v>
      </c>
      <c r="M299" t="s">
        <v>21</v>
      </c>
      <c r="N299" s="1">
        <v>43819.882638888892</v>
      </c>
      <c r="O299" t="s">
        <v>19</v>
      </c>
    </row>
    <row r="300" spans="1:15" x14ac:dyDescent="0.25">
      <c r="A300" t="s">
        <v>218</v>
      </c>
      <c r="B300" t="s">
        <v>15</v>
      </c>
      <c r="C300" t="s">
        <v>219</v>
      </c>
      <c r="D300" t="s">
        <v>17</v>
      </c>
      <c r="E300" t="s">
        <v>18</v>
      </c>
      <c r="F300" t="s">
        <v>19</v>
      </c>
      <c r="G300" t="s">
        <v>20</v>
      </c>
      <c r="J300" t="s">
        <v>17</v>
      </c>
      <c r="K300" t="str">
        <f>"10000035"</f>
        <v>10000035</v>
      </c>
      <c r="L300" t="str">
        <f>"10000035"</f>
        <v>10000035</v>
      </c>
      <c r="M300" t="s">
        <v>21</v>
      </c>
      <c r="N300" s="1">
        <v>43612.622916666667</v>
      </c>
      <c r="O300" t="s">
        <v>19</v>
      </c>
    </row>
    <row r="301" spans="1:15" x14ac:dyDescent="0.25">
      <c r="A301" t="s">
        <v>220</v>
      </c>
      <c r="B301" t="s">
        <v>15</v>
      </c>
      <c r="C301" t="s">
        <v>221</v>
      </c>
      <c r="D301" t="s">
        <v>17</v>
      </c>
      <c r="E301" t="s">
        <v>18</v>
      </c>
      <c r="F301" t="s">
        <v>19</v>
      </c>
      <c r="G301" t="s">
        <v>20</v>
      </c>
      <c r="J301" t="s">
        <v>17</v>
      </c>
      <c r="K301" t="str">
        <f>"742832862684"</f>
        <v>742832862684</v>
      </c>
      <c r="L301" t="str">
        <f>"27CBY62684"</f>
        <v>27CBY62684</v>
      </c>
      <c r="M301" t="s">
        <v>21</v>
      </c>
      <c r="N301" s="1">
        <v>43994.870138888888</v>
      </c>
      <c r="O301" t="s">
        <v>19</v>
      </c>
    </row>
    <row r="302" spans="1:15" x14ac:dyDescent="0.25">
      <c r="A302" t="s">
        <v>222</v>
      </c>
      <c r="B302" t="s">
        <v>15</v>
      </c>
      <c r="C302" t="s">
        <v>30</v>
      </c>
      <c r="D302" t="s">
        <v>17</v>
      </c>
      <c r="E302" t="s">
        <v>18</v>
      </c>
      <c r="F302" t="s">
        <v>19</v>
      </c>
      <c r="G302" t="s">
        <v>20</v>
      </c>
      <c r="J302" t="s">
        <v>17</v>
      </c>
      <c r="K302" t="str">
        <f>"10118513"</f>
        <v>10118513</v>
      </c>
      <c r="L302" t="str">
        <f>"10118513"</f>
        <v>10118513</v>
      </c>
      <c r="M302" t="s">
        <v>21</v>
      </c>
      <c r="N302" s="1">
        <v>43313.703472222223</v>
      </c>
      <c r="O302" t="s">
        <v>19</v>
      </c>
    </row>
    <row r="303" spans="1:15" x14ac:dyDescent="0.25">
      <c r="A303" t="s">
        <v>223</v>
      </c>
      <c r="B303" t="s">
        <v>15</v>
      </c>
      <c r="C303" t="s">
        <v>30</v>
      </c>
      <c r="D303" t="s">
        <v>17</v>
      </c>
      <c r="E303" t="s">
        <v>18</v>
      </c>
      <c r="F303" t="s">
        <v>19</v>
      </c>
      <c r="G303" t="s">
        <v>20</v>
      </c>
      <c r="J303" t="s">
        <v>17</v>
      </c>
      <c r="K303" t="str">
        <f>"10001307"</f>
        <v>10001307</v>
      </c>
      <c r="L303" t="str">
        <f>"10001307"</f>
        <v>10001307</v>
      </c>
      <c r="M303" t="s">
        <v>21</v>
      </c>
      <c r="N303" s="1">
        <v>44254.813888888886</v>
      </c>
      <c r="O303" t="s">
        <v>19</v>
      </c>
    </row>
    <row r="304" spans="1:15" x14ac:dyDescent="0.25">
      <c r="A304" t="s">
        <v>224</v>
      </c>
      <c r="B304" t="s">
        <v>15</v>
      </c>
      <c r="C304" t="s">
        <v>225</v>
      </c>
      <c r="D304" t="s">
        <v>17</v>
      </c>
      <c r="E304" t="s">
        <v>18</v>
      </c>
      <c r="F304" t="s">
        <v>19</v>
      </c>
      <c r="G304" t="s">
        <v>20</v>
      </c>
      <c r="H304" t="s">
        <v>8</v>
      </c>
      <c r="I304" t="s">
        <v>8</v>
      </c>
      <c r="J304" t="s">
        <v>17</v>
      </c>
      <c r="K304" t="str">
        <f>"4728022312586"</f>
        <v>4728022312586</v>
      </c>
      <c r="L304" t="str">
        <f>"40030008"</f>
        <v>40030008</v>
      </c>
      <c r="M304" t="s">
        <v>21</v>
      </c>
      <c r="N304" s="1">
        <v>42872.849305555559</v>
      </c>
      <c r="O304" t="s">
        <v>19</v>
      </c>
    </row>
    <row r="305" spans="1:15" x14ac:dyDescent="0.25">
      <c r="A305" t="s">
        <v>226</v>
      </c>
      <c r="B305" t="s">
        <v>15</v>
      </c>
      <c r="C305" t="s">
        <v>221</v>
      </c>
      <c r="D305" t="s">
        <v>17</v>
      </c>
      <c r="E305" t="s">
        <v>18</v>
      </c>
      <c r="F305" t="s">
        <v>19</v>
      </c>
      <c r="G305" t="s">
        <v>20</v>
      </c>
      <c r="J305" t="s">
        <v>17</v>
      </c>
      <c r="K305" t="str">
        <f>"7858816014239"</f>
        <v>7858816014239</v>
      </c>
      <c r="L305" t="str">
        <f>"87351423"</f>
        <v>87351423</v>
      </c>
      <c r="M305" t="s">
        <v>21</v>
      </c>
      <c r="N305" s="1">
        <v>43609.796527777777</v>
      </c>
      <c r="O305" t="s">
        <v>19</v>
      </c>
    </row>
    <row r="306" spans="1:15" x14ac:dyDescent="0.25">
      <c r="A306" t="s">
        <v>227</v>
      </c>
      <c r="B306" t="s">
        <v>15</v>
      </c>
      <c r="C306" t="s">
        <v>30</v>
      </c>
      <c r="D306" t="s">
        <v>17</v>
      </c>
      <c r="E306" t="s">
        <v>18</v>
      </c>
      <c r="F306" t="s">
        <v>19</v>
      </c>
      <c r="G306" t="s">
        <v>20</v>
      </c>
      <c r="J306" t="s">
        <v>17</v>
      </c>
      <c r="K306" t="str">
        <f>"7858816058301"</f>
        <v>7858816058301</v>
      </c>
      <c r="L306" t="str">
        <f>"87745830"</f>
        <v>87745830</v>
      </c>
      <c r="M306" t="s">
        <v>21</v>
      </c>
      <c r="N306" s="1">
        <v>44404.679166666669</v>
      </c>
      <c r="O306" t="s">
        <v>19</v>
      </c>
    </row>
    <row r="307" spans="1:15" x14ac:dyDescent="0.25">
      <c r="A307" t="s">
        <v>228</v>
      </c>
      <c r="B307" t="s">
        <v>15</v>
      </c>
      <c r="C307" t="s">
        <v>30</v>
      </c>
      <c r="D307" t="s">
        <v>17</v>
      </c>
      <c r="E307" t="s">
        <v>18</v>
      </c>
      <c r="F307" t="s">
        <v>19</v>
      </c>
      <c r="G307" t="s">
        <v>20</v>
      </c>
      <c r="J307" t="s">
        <v>17</v>
      </c>
      <c r="K307" t="str">
        <f>"7858816088384"</f>
        <v>7858816088384</v>
      </c>
      <c r="L307" t="str">
        <f>"87748838"</f>
        <v>87748838</v>
      </c>
      <c r="M307" t="s">
        <v>21</v>
      </c>
      <c r="N307" s="1">
        <v>44404.677083333336</v>
      </c>
      <c r="O307" t="s">
        <v>19</v>
      </c>
    </row>
    <row r="308" spans="1:15" x14ac:dyDescent="0.25">
      <c r="A308" t="s">
        <v>229</v>
      </c>
      <c r="B308" t="s">
        <v>15</v>
      </c>
      <c r="C308" t="s">
        <v>30</v>
      </c>
      <c r="D308" t="s">
        <v>17</v>
      </c>
      <c r="E308" t="s">
        <v>18</v>
      </c>
      <c r="F308" t="s">
        <v>19</v>
      </c>
      <c r="G308" t="s">
        <v>20</v>
      </c>
      <c r="J308" t="s">
        <v>17</v>
      </c>
      <c r="K308" t="str">
        <f>"6927900010462"</f>
        <v>6927900010462</v>
      </c>
      <c r="L308" t="str">
        <f>"25740200"</f>
        <v>25740200</v>
      </c>
      <c r="M308" t="s">
        <v>21</v>
      </c>
      <c r="N308" s="1">
        <v>42872.847222222219</v>
      </c>
      <c r="O308" t="s">
        <v>19</v>
      </c>
    </row>
    <row r="309" spans="1:15" x14ac:dyDescent="0.25">
      <c r="A309" t="s">
        <v>230</v>
      </c>
      <c r="B309" t="s">
        <v>15</v>
      </c>
      <c r="C309" t="s">
        <v>225</v>
      </c>
      <c r="D309" t="s">
        <v>17</v>
      </c>
      <c r="E309" t="s">
        <v>18</v>
      </c>
      <c r="F309" t="s">
        <v>19</v>
      </c>
      <c r="G309" t="s">
        <v>20</v>
      </c>
      <c r="H309" t="s">
        <v>8</v>
      </c>
      <c r="I309" t="s">
        <v>8</v>
      </c>
      <c r="J309" t="s">
        <v>17</v>
      </c>
      <c r="K309" t="str">
        <f>"6932448282882"</f>
        <v>6932448282882</v>
      </c>
      <c r="L309" t="str">
        <f>"98350288"</f>
        <v>98350288</v>
      </c>
      <c r="M309" t="s">
        <v>21</v>
      </c>
      <c r="N309" s="1">
        <v>42872.847222222219</v>
      </c>
      <c r="O309" t="s">
        <v>19</v>
      </c>
    </row>
    <row r="310" spans="1:15" x14ac:dyDescent="0.25">
      <c r="A310" t="s">
        <v>231</v>
      </c>
      <c r="B310" t="s">
        <v>15</v>
      </c>
      <c r="C310" t="s">
        <v>225</v>
      </c>
      <c r="D310" t="s">
        <v>17</v>
      </c>
      <c r="E310" t="s">
        <v>18</v>
      </c>
      <c r="F310" t="s">
        <v>19</v>
      </c>
      <c r="G310" t="s">
        <v>20</v>
      </c>
      <c r="J310" t="s">
        <v>17</v>
      </c>
      <c r="K310" t="str">
        <f>"7804625560603"</f>
        <v>7804625560603</v>
      </c>
      <c r="L310" t="str">
        <f>"42400011"</f>
        <v>42400011</v>
      </c>
      <c r="M310" t="s">
        <v>75</v>
      </c>
      <c r="N310" s="1">
        <v>42872.839583333334</v>
      </c>
      <c r="O310" t="s">
        <v>19</v>
      </c>
    </row>
    <row r="311" spans="1:15" x14ac:dyDescent="0.25">
      <c r="A311" t="s">
        <v>232</v>
      </c>
      <c r="B311" t="s">
        <v>15</v>
      </c>
      <c r="C311" t="s">
        <v>225</v>
      </c>
      <c r="D311" t="s">
        <v>17</v>
      </c>
      <c r="E311" t="s">
        <v>18</v>
      </c>
      <c r="F311" t="s">
        <v>19</v>
      </c>
      <c r="G311" t="s">
        <v>20</v>
      </c>
      <c r="H311" t="s">
        <v>8</v>
      </c>
      <c r="I311" t="s">
        <v>8</v>
      </c>
      <c r="J311" t="s">
        <v>17</v>
      </c>
      <c r="K311" t="str">
        <f>"7804612212867"</f>
        <v>7804612212867</v>
      </c>
      <c r="L311" t="str">
        <f>"98030060"</f>
        <v>98030060</v>
      </c>
      <c r="M311" t="s">
        <v>21</v>
      </c>
      <c r="N311" s="1">
        <v>43404.650694444441</v>
      </c>
      <c r="O311" t="s">
        <v>19</v>
      </c>
    </row>
    <row r="312" spans="1:15" x14ac:dyDescent="0.25">
      <c r="A312" t="s">
        <v>232</v>
      </c>
      <c r="B312" t="s">
        <v>15</v>
      </c>
      <c r="C312" t="s">
        <v>225</v>
      </c>
      <c r="D312" t="s">
        <v>17</v>
      </c>
      <c r="E312" t="s">
        <v>18</v>
      </c>
      <c r="F312" t="s">
        <v>19</v>
      </c>
      <c r="G312" t="s">
        <v>20</v>
      </c>
      <c r="H312" t="s">
        <v>8</v>
      </c>
      <c r="I312" t="s">
        <v>8</v>
      </c>
      <c r="J312" t="s">
        <v>17</v>
      </c>
      <c r="K312" t="str">
        <f>"7804612212874"</f>
        <v>7804612212874</v>
      </c>
      <c r="L312" t="str">
        <f>"98036000"</f>
        <v>98036000</v>
      </c>
      <c r="M312" t="s">
        <v>21</v>
      </c>
      <c r="N312" s="1">
        <v>43642.927777777775</v>
      </c>
      <c r="O312" t="s">
        <v>19</v>
      </c>
    </row>
    <row r="313" spans="1:15" x14ac:dyDescent="0.25">
      <c r="A313" t="s">
        <v>233</v>
      </c>
      <c r="B313" t="s">
        <v>15</v>
      </c>
      <c r="C313" t="s">
        <v>225</v>
      </c>
      <c r="D313" t="s">
        <v>17</v>
      </c>
      <c r="E313" t="s">
        <v>18</v>
      </c>
      <c r="F313" t="s">
        <v>19</v>
      </c>
      <c r="G313" t="s">
        <v>20</v>
      </c>
      <c r="H313" t="s">
        <v>8</v>
      </c>
      <c r="I313" t="s">
        <v>8</v>
      </c>
      <c r="J313" t="s">
        <v>17</v>
      </c>
      <c r="K313" t="str">
        <f>"7804612213758"</f>
        <v>7804612213758</v>
      </c>
      <c r="L313" t="str">
        <f>"98031000"</f>
        <v>98031000</v>
      </c>
      <c r="M313" t="s">
        <v>21</v>
      </c>
      <c r="N313" s="1">
        <v>44321.881249999999</v>
      </c>
      <c r="O313" t="s">
        <v>19</v>
      </c>
    </row>
    <row r="314" spans="1:15" x14ac:dyDescent="0.25">
      <c r="A314" t="s">
        <v>234</v>
      </c>
      <c r="B314" t="s">
        <v>15</v>
      </c>
      <c r="C314" t="s">
        <v>30</v>
      </c>
      <c r="D314" t="s">
        <v>17</v>
      </c>
      <c r="E314" t="s">
        <v>18</v>
      </c>
      <c r="F314" t="s">
        <v>19</v>
      </c>
      <c r="G314" t="s">
        <v>20</v>
      </c>
      <c r="J314" t="s">
        <v>17</v>
      </c>
      <c r="K314" t="str">
        <f>"6924374860104"</f>
        <v>6924374860104</v>
      </c>
      <c r="L314" t="str">
        <f>"96740013"</f>
        <v>96740013</v>
      </c>
      <c r="M314" t="s">
        <v>75</v>
      </c>
      <c r="N314" s="1">
        <v>42872.847222222219</v>
      </c>
      <c r="O314" t="s">
        <v>19</v>
      </c>
    </row>
    <row r="315" spans="1:15" x14ac:dyDescent="0.25">
      <c r="A315" t="s">
        <v>235</v>
      </c>
      <c r="B315" t="s">
        <v>15</v>
      </c>
      <c r="C315" t="s">
        <v>225</v>
      </c>
      <c r="D315" t="s">
        <v>17</v>
      </c>
      <c r="E315" t="s">
        <v>18</v>
      </c>
      <c r="F315" t="s">
        <v>19</v>
      </c>
      <c r="G315" t="s">
        <v>20</v>
      </c>
      <c r="J315" t="s">
        <v>17</v>
      </c>
      <c r="K315" t="str">
        <f>"110348834"</f>
        <v>110348834</v>
      </c>
      <c r="L315" t="str">
        <f>"110348834"</f>
        <v>110348834</v>
      </c>
      <c r="M315" t="s">
        <v>75</v>
      </c>
      <c r="N315" s="1">
        <v>42872.847222222219</v>
      </c>
      <c r="O315" t="s">
        <v>19</v>
      </c>
    </row>
    <row r="316" spans="1:15" x14ac:dyDescent="0.25">
      <c r="A316" t="s">
        <v>236</v>
      </c>
      <c r="B316" t="s">
        <v>15</v>
      </c>
      <c r="C316" t="s">
        <v>225</v>
      </c>
      <c r="D316" t="s">
        <v>17</v>
      </c>
      <c r="E316" t="s">
        <v>18</v>
      </c>
      <c r="F316" t="s">
        <v>19</v>
      </c>
      <c r="G316" t="s">
        <v>20</v>
      </c>
      <c r="J316" t="s">
        <v>17</v>
      </c>
      <c r="K316" t="str">
        <f>"87001131"</f>
        <v>87001131</v>
      </c>
      <c r="L316" t="str">
        <f>"87001131"</f>
        <v>87001131</v>
      </c>
      <c r="M316" t="s">
        <v>75</v>
      </c>
      <c r="N316" s="1">
        <v>42872.847222222219</v>
      </c>
      <c r="O316" t="s">
        <v>19</v>
      </c>
    </row>
    <row r="317" spans="1:15" x14ac:dyDescent="0.25">
      <c r="A317" t="s">
        <v>237</v>
      </c>
      <c r="B317" t="s">
        <v>15</v>
      </c>
      <c r="C317" t="s">
        <v>30</v>
      </c>
      <c r="D317" t="s">
        <v>17</v>
      </c>
      <c r="E317" t="s">
        <v>18</v>
      </c>
      <c r="F317" t="s">
        <v>19</v>
      </c>
      <c r="G317" t="s">
        <v>20</v>
      </c>
      <c r="J317" t="s">
        <v>17</v>
      </c>
      <c r="K317" t="str">
        <f>"4720007700951"</f>
        <v>4720007700951</v>
      </c>
      <c r="L317" t="str">
        <f>"65742019"</f>
        <v>65742019</v>
      </c>
      <c r="M317" t="s">
        <v>21</v>
      </c>
      <c r="N317" s="1">
        <v>43817.811805555553</v>
      </c>
      <c r="O317" t="s">
        <v>19</v>
      </c>
    </row>
    <row r="318" spans="1:15" x14ac:dyDescent="0.25">
      <c r="A318" t="s">
        <v>238</v>
      </c>
      <c r="B318" t="s">
        <v>15</v>
      </c>
      <c r="C318" t="s">
        <v>30</v>
      </c>
      <c r="D318" t="s">
        <v>17</v>
      </c>
      <c r="E318" t="s">
        <v>18</v>
      </c>
      <c r="F318" t="s">
        <v>19</v>
      </c>
      <c r="G318" t="s">
        <v>20</v>
      </c>
      <c r="J318" t="s">
        <v>17</v>
      </c>
      <c r="K318" t="str">
        <f>"6933863822622"</f>
        <v>6933863822622</v>
      </c>
      <c r="L318" t="str">
        <f>"10002042"</f>
        <v>10002042</v>
      </c>
      <c r="M318" t="s">
        <v>75</v>
      </c>
      <c r="N318" s="1">
        <v>42924.655555555553</v>
      </c>
      <c r="O318" t="s">
        <v>19</v>
      </c>
    </row>
    <row r="319" spans="1:15" x14ac:dyDescent="0.25">
      <c r="A319" t="s">
        <v>239</v>
      </c>
      <c r="B319" t="s">
        <v>15</v>
      </c>
      <c r="C319" t="s">
        <v>30</v>
      </c>
      <c r="D319" t="s">
        <v>17</v>
      </c>
      <c r="E319" t="s">
        <v>18</v>
      </c>
      <c r="F319" t="s">
        <v>19</v>
      </c>
      <c r="G319" t="s">
        <v>20</v>
      </c>
      <c r="J319" t="s">
        <v>17</v>
      </c>
      <c r="K319" t="str">
        <f>"6925871643283"</f>
        <v>6925871643283</v>
      </c>
      <c r="L319" t="str">
        <f>"22744328"</f>
        <v>22744328</v>
      </c>
      <c r="M319" t="s">
        <v>21</v>
      </c>
      <c r="N319" s="1">
        <v>43826.604166666664</v>
      </c>
      <c r="O319" t="s">
        <v>19</v>
      </c>
    </row>
    <row r="320" spans="1:15" x14ac:dyDescent="0.25">
      <c r="A320" t="s">
        <v>240</v>
      </c>
      <c r="B320" t="s">
        <v>15</v>
      </c>
      <c r="C320" t="s">
        <v>30</v>
      </c>
      <c r="D320" t="s">
        <v>17</v>
      </c>
      <c r="E320" t="s">
        <v>18</v>
      </c>
      <c r="F320" t="s">
        <v>19</v>
      </c>
      <c r="G320" t="s">
        <v>20</v>
      </c>
      <c r="J320" t="s">
        <v>17</v>
      </c>
      <c r="K320" t="str">
        <f>"6925871646550"</f>
        <v>6925871646550</v>
      </c>
      <c r="L320" t="str">
        <f>"22744655"</f>
        <v>22744655</v>
      </c>
      <c r="M320" t="s">
        <v>75</v>
      </c>
      <c r="N320" s="1">
        <v>43043.745138888888</v>
      </c>
      <c r="O320" t="s">
        <v>19</v>
      </c>
    </row>
    <row r="321" spans="1:15" x14ac:dyDescent="0.25">
      <c r="A321" t="s">
        <v>241</v>
      </c>
      <c r="B321" t="s">
        <v>15</v>
      </c>
      <c r="C321" t="s">
        <v>30</v>
      </c>
      <c r="D321" t="s">
        <v>17</v>
      </c>
      <c r="E321" t="s">
        <v>18</v>
      </c>
      <c r="F321" t="s">
        <v>19</v>
      </c>
      <c r="G321" t="s">
        <v>20</v>
      </c>
      <c r="J321" t="s">
        <v>17</v>
      </c>
      <c r="K321" t="str">
        <f>"8669885004972"</f>
        <v>8669885004972</v>
      </c>
      <c r="L321" t="str">
        <f>"66000497"</f>
        <v>66000497</v>
      </c>
      <c r="M321" t="s">
        <v>75</v>
      </c>
      <c r="N321" s="1">
        <v>42872.839583333334</v>
      </c>
      <c r="O321" t="s">
        <v>19</v>
      </c>
    </row>
    <row r="322" spans="1:15" x14ac:dyDescent="0.25">
      <c r="A322" t="s">
        <v>241</v>
      </c>
      <c r="B322" t="s">
        <v>15</v>
      </c>
      <c r="C322" t="s">
        <v>30</v>
      </c>
      <c r="D322" t="s">
        <v>17</v>
      </c>
      <c r="E322" t="s">
        <v>18</v>
      </c>
      <c r="F322" t="s">
        <v>19</v>
      </c>
      <c r="G322" t="s">
        <v>20</v>
      </c>
      <c r="J322" t="s">
        <v>17</v>
      </c>
      <c r="K322" t="str">
        <f>"66000513"</f>
        <v>66000513</v>
      </c>
      <c r="L322" t="str">
        <f>"66000513"</f>
        <v>66000513</v>
      </c>
      <c r="M322" t="s">
        <v>75</v>
      </c>
      <c r="N322" s="1">
        <v>42872.839583333334</v>
      </c>
      <c r="O322" t="s">
        <v>19</v>
      </c>
    </row>
    <row r="323" spans="1:15" x14ac:dyDescent="0.25">
      <c r="A323" t="s">
        <v>242</v>
      </c>
      <c r="B323" t="s">
        <v>15</v>
      </c>
      <c r="C323" t="s">
        <v>30</v>
      </c>
      <c r="D323" t="s">
        <v>17</v>
      </c>
      <c r="E323" t="s">
        <v>18</v>
      </c>
      <c r="F323" t="s">
        <v>19</v>
      </c>
      <c r="G323" t="s">
        <v>20</v>
      </c>
      <c r="J323" t="s">
        <v>17</v>
      </c>
      <c r="K323" t="str">
        <f>"87001446"</f>
        <v>87001446</v>
      </c>
      <c r="L323" t="str">
        <f>"87001446"</f>
        <v>87001446</v>
      </c>
      <c r="M323" t="s">
        <v>75</v>
      </c>
      <c r="N323" s="1">
        <v>42872.847222222219</v>
      </c>
      <c r="O323" t="s">
        <v>19</v>
      </c>
    </row>
    <row r="324" spans="1:15" x14ac:dyDescent="0.25">
      <c r="A324" t="s">
        <v>243</v>
      </c>
      <c r="B324" t="s">
        <v>15</v>
      </c>
      <c r="C324" t="s">
        <v>30</v>
      </c>
      <c r="D324" t="s">
        <v>17</v>
      </c>
      <c r="E324" t="s">
        <v>18</v>
      </c>
      <c r="F324" t="s">
        <v>19</v>
      </c>
      <c r="G324" t="s">
        <v>20</v>
      </c>
      <c r="J324" t="s">
        <v>17</v>
      </c>
      <c r="K324" t="str">
        <f>"6954774711133"</f>
        <v>6954774711133</v>
      </c>
      <c r="L324" t="str">
        <f>"87740995"</f>
        <v>87740995</v>
      </c>
      <c r="M324" t="s">
        <v>75</v>
      </c>
      <c r="N324" s="1">
        <v>42872.847222222219</v>
      </c>
      <c r="O324" t="s">
        <v>19</v>
      </c>
    </row>
    <row r="325" spans="1:15" x14ac:dyDescent="0.25">
      <c r="A325" t="s">
        <v>244</v>
      </c>
      <c r="B325" t="s">
        <v>15</v>
      </c>
      <c r="C325" t="s">
        <v>30</v>
      </c>
      <c r="D325" t="s">
        <v>17</v>
      </c>
      <c r="E325" t="s">
        <v>18</v>
      </c>
      <c r="F325" t="s">
        <v>19</v>
      </c>
      <c r="G325" t="s">
        <v>20</v>
      </c>
      <c r="J325" t="s">
        <v>17</v>
      </c>
      <c r="K325" t="str">
        <f>"6975618108902"</f>
        <v>6975618108902</v>
      </c>
      <c r="L325" t="str">
        <f>"10001439"</f>
        <v>10001439</v>
      </c>
      <c r="M325" t="s">
        <v>21</v>
      </c>
      <c r="N325" s="1">
        <v>43839.645138888889</v>
      </c>
      <c r="O325" t="s">
        <v>19</v>
      </c>
    </row>
    <row r="326" spans="1:15" x14ac:dyDescent="0.25">
      <c r="A326" t="s">
        <v>245</v>
      </c>
      <c r="B326" t="s">
        <v>15</v>
      </c>
      <c r="C326" t="s">
        <v>30</v>
      </c>
      <c r="D326" t="s">
        <v>17</v>
      </c>
      <c r="E326" t="s">
        <v>18</v>
      </c>
      <c r="F326" t="s">
        <v>19</v>
      </c>
      <c r="G326" t="s">
        <v>20</v>
      </c>
      <c r="J326" t="s">
        <v>17</v>
      </c>
      <c r="K326" t="str">
        <f>"6926898192266"</f>
        <v>6926898192266</v>
      </c>
      <c r="L326" t="str">
        <f>"10003315"</f>
        <v>10003315</v>
      </c>
      <c r="M326" t="s">
        <v>75</v>
      </c>
      <c r="N326" s="1">
        <v>42924.652777777781</v>
      </c>
      <c r="O326" t="s">
        <v>19</v>
      </c>
    </row>
    <row r="327" spans="1:15" x14ac:dyDescent="0.25">
      <c r="A327" t="s">
        <v>246</v>
      </c>
      <c r="B327" t="s">
        <v>15</v>
      </c>
      <c r="C327" t="s">
        <v>30</v>
      </c>
      <c r="D327" t="s">
        <v>17</v>
      </c>
      <c r="E327" t="s">
        <v>18</v>
      </c>
      <c r="F327" t="s">
        <v>19</v>
      </c>
      <c r="G327" t="s">
        <v>20</v>
      </c>
      <c r="J327" t="s">
        <v>17</v>
      </c>
      <c r="K327" t="str">
        <f>"22740700"</f>
        <v>22740700</v>
      </c>
      <c r="L327" t="str">
        <f>"22740700"</f>
        <v>22740700</v>
      </c>
      <c r="M327" t="s">
        <v>21</v>
      </c>
      <c r="N327" s="1">
        <v>44341.806250000001</v>
      </c>
      <c r="O327" t="s">
        <v>19</v>
      </c>
    </row>
    <row r="328" spans="1:15" x14ac:dyDescent="0.25">
      <c r="A328" t="s">
        <v>247</v>
      </c>
      <c r="B328" t="s">
        <v>15</v>
      </c>
      <c r="C328" t="s">
        <v>30</v>
      </c>
      <c r="D328" t="s">
        <v>17</v>
      </c>
      <c r="E328" t="s">
        <v>18</v>
      </c>
      <c r="F328" t="s">
        <v>19</v>
      </c>
      <c r="G328" t="s">
        <v>20</v>
      </c>
      <c r="J328" t="s">
        <v>17</v>
      </c>
      <c r="K328" t="str">
        <f>"7804612213888"</f>
        <v>7804612213888</v>
      </c>
      <c r="L328" t="str">
        <f>"98740007"</f>
        <v>98740007</v>
      </c>
      <c r="M328" t="s">
        <v>21</v>
      </c>
      <c r="N328" s="1">
        <v>44247.624305555553</v>
      </c>
      <c r="O328" t="s">
        <v>19</v>
      </c>
    </row>
    <row r="329" spans="1:15" x14ac:dyDescent="0.25">
      <c r="A329" t="s">
        <v>248</v>
      </c>
      <c r="B329" t="s">
        <v>15</v>
      </c>
      <c r="C329" t="s">
        <v>30</v>
      </c>
      <c r="D329" t="s">
        <v>17</v>
      </c>
      <c r="E329" t="s">
        <v>18</v>
      </c>
      <c r="F329" t="s">
        <v>19</v>
      </c>
      <c r="G329" t="s">
        <v>20</v>
      </c>
      <c r="J329" t="s">
        <v>17</v>
      </c>
      <c r="K329" t="str">
        <f>"6650590704068"</f>
        <v>6650590704068</v>
      </c>
      <c r="L329" t="str">
        <f>"98740770"</f>
        <v>98740770</v>
      </c>
      <c r="M329" t="s">
        <v>84</v>
      </c>
      <c r="N329" s="1">
        <v>43495.738194444442</v>
      </c>
      <c r="O329" t="s">
        <v>19</v>
      </c>
    </row>
    <row r="330" spans="1:15" x14ac:dyDescent="0.25">
      <c r="A330" t="s">
        <v>249</v>
      </c>
      <c r="B330" t="s">
        <v>15</v>
      </c>
      <c r="C330" t="s">
        <v>30</v>
      </c>
      <c r="D330" t="s">
        <v>17</v>
      </c>
      <c r="E330" t="s">
        <v>18</v>
      </c>
      <c r="F330" t="s">
        <v>19</v>
      </c>
      <c r="G330" t="s">
        <v>20</v>
      </c>
      <c r="J330" t="s">
        <v>17</v>
      </c>
      <c r="K330" t="str">
        <f>"6650590698688"</f>
        <v>6650590698688</v>
      </c>
      <c r="L330" t="str">
        <f>"98740980"</f>
        <v>98740980</v>
      </c>
      <c r="M330" t="s">
        <v>84</v>
      </c>
      <c r="N330" s="1">
        <v>43495.736805555556</v>
      </c>
      <c r="O330" t="s">
        <v>19</v>
      </c>
    </row>
    <row r="331" spans="1:15" x14ac:dyDescent="0.25">
      <c r="A331" t="s">
        <v>250</v>
      </c>
      <c r="B331" t="s">
        <v>15</v>
      </c>
      <c r="C331" t="s">
        <v>30</v>
      </c>
      <c r="D331" t="s">
        <v>17</v>
      </c>
      <c r="E331" t="s">
        <v>18</v>
      </c>
      <c r="F331" t="s">
        <v>19</v>
      </c>
      <c r="G331" t="s">
        <v>20</v>
      </c>
      <c r="J331" t="s">
        <v>17</v>
      </c>
      <c r="K331" t="str">
        <f>"7804612213628"</f>
        <v>7804612213628</v>
      </c>
      <c r="L331" t="str">
        <f>"91740207"</f>
        <v>91740207</v>
      </c>
      <c r="M331" t="s">
        <v>21</v>
      </c>
      <c r="N331" s="1">
        <v>43875.71597222222</v>
      </c>
      <c r="O331" t="s">
        <v>19</v>
      </c>
    </row>
    <row r="332" spans="1:15" x14ac:dyDescent="0.25">
      <c r="A332" t="s">
        <v>251</v>
      </c>
      <c r="B332" t="s">
        <v>15</v>
      </c>
      <c r="C332" t="s">
        <v>30</v>
      </c>
      <c r="D332" t="s">
        <v>17</v>
      </c>
      <c r="E332" t="s">
        <v>18</v>
      </c>
      <c r="F332" t="s">
        <v>19</v>
      </c>
      <c r="G332" t="s">
        <v>20</v>
      </c>
      <c r="J332" t="s">
        <v>17</v>
      </c>
      <c r="K332" t="str">
        <f>"7804612214007"</f>
        <v>7804612214007</v>
      </c>
      <c r="L332" t="str">
        <f>"98740004"</f>
        <v>98740004</v>
      </c>
      <c r="M332" t="s">
        <v>21</v>
      </c>
      <c r="N332" s="1">
        <v>44370.931250000001</v>
      </c>
      <c r="O332" t="s">
        <v>19</v>
      </c>
    </row>
    <row r="333" spans="1:15" x14ac:dyDescent="0.25">
      <c r="A333" t="s">
        <v>252</v>
      </c>
      <c r="B333" t="s">
        <v>15</v>
      </c>
      <c r="C333" t="s">
        <v>30</v>
      </c>
      <c r="D333" t="s">
        <v>17</v>
      </c>
      <c r="E333" t="s">
        <v>18</v>
      </c>
      <c r="F333" t="s">
        <v>19</v>
      </c>
      <c r="G333" t="s">
        <v>20</v>
      </c>
      <c r="J333" t="s">
        <v>17</v>
      </c>
      <c r="K333" t="str">
        <f>"7503022688537"</f>
        <v>7503022688537</v>
      </c>
      <c r="L333" t="str">
        <f>"98740003"</f>
        <v>98740003</v>
      </c>
      <c r="M333" t="s">
        <v>21</v>
      </c>
      <c r="N333" s="1">
        <v>43719.666666666664</v>
      </c>
      <c r="O333" t="s">
        <v>19</v>
      </c>
    </row>
    <row r="334" spans="1:15" x14ac:dyDescent="0.25">
      <c r="A334" t="s">
        <v>253</v>
      </c>
      <c r="B334" t="s">
        <v>15</v>
      </c>
      <c r="C334" t="s">
        <v>30</v>
      </c>
      <c r="D334" t="s">
        <v>17</v>
      </c>
      <c r="E334" t="s">
        <v>18</v>
      </c>
      <c r="F334" t="s">
        <v>19</v>
      </c>
      <c r="G334" t="s">
        <v>20</v>
      </c>
      <c r="J334" t="s">
        <v>17</v>
      </c>
      <c r="K334" t="str">
        <f>"7804612214076"</f>
        <v>7804612214076</v>
      </c>
      <c r="L334" t="str">
        <f>"98740680"</f>
        <v>98740680</v>
      </c>
      <c r="M334" t="s">
        <v>21</v>
      </c>
      <c r="N334" s="1">
        <v>44401.78125</v>
      </c>
      <c r="O334" t="s">
        <v>19</v>
      </c>
    </row>
    <row r="335" spans="1:15" x14ac:dyDescent="0.25">
      <c r="A335" t="s">
        <v>254</v>
      </c>
      <c r="B335" t="s">
        <v>15</v>
      </c>
      <c r="C335" t="s">
        <v>30</v>
      </c>
      <c r="D335" t="s">
        <v>17</v>
      </c>
      <c r="E335" t="s">
        <v>18</v>
      </c>
      <c r="F335" t="s">
        <v>19</v>
      </c>
      <c r="G335" t="s">
        <v>20</v>
      </c>
      <c r="J335" t="s">
        <v>17</v>
      </c>
      <c r="K335" t="str">
        <f>"7804612213321"</f>
        <v>7804612213321</v>
      </c>
      <c r="L335" t="str">
        <f>"98740008"</f>
        <v>98740008</v>
      </c>
      <c r="M335" t="s">
        <v>21</v>
      </c>
      <c r="N335" s="1">
        <v>43369.718055555553</v>
      </c>
      <c r="O335" t="s">
        <v>19</v>
      </c>
    </row>
    <row r="336" spans="1:15" x14ac:dyDescent="0.25">
      <c r="A336" t="s">
        <v>254</v>
      </c>
      <c r="B336" t="s">
        <v>15</v>
      </c>
      <c r="C336" t="s">
        <v>30</v>
      </c>
      <c r="D336" t="s">
        <v>17</v>
      </c>
      <c r="E336" t="s">
        <v>18</v>
      </c>
      <c r="F336" t="s">
        <v>19</v>
      </c>
      <c r="G336" t="s">
        <v>20</v>
      </c>
      <c r="J336" t="s">
        <v>17</v>
      </c>
      <c r="K336" t="str">
        <f>"7804612213741"</f>
        <v>7804612213741</v>
      </c>
      <c r="L336" t="str">
        <f>"98740088"</f>
        <v>98740088</v>
      </c>
      <c r="M336" t="s">
        <v>21</v>
      </c>
      <c r="N336" s="1">
        <v>44401.780555555553</v>
      </c>
      <c r="O336" t="s">
        <v>19</v>
      </c>
    </row>
    <row r="337" spans="1:15" x14ac:dyDescent="0.25">
      <c r="A337" t="s">
        <v>255</v>
      </c>
      <c r="B337" t="s">
        <v>15</v>
      </c>
      <c r="C337" t="s">
        <v>30</v>
      </c>
      <c r="D337" t="s">
        <v>17</v>
      </c>
      <c r="E337" t="s">
        <v>18</v>
      </c>
      <c r="F337" t="s">
        <v>19</v>
      </c>
      <c r="G337" t="s">
        <v>20</v>
      </c>
      <c r="J337" t="s">
        <v>17</v>
      </c>
      <c r="K337" t="str">
        <f>"7804612212546"</f>
        <v>7804612212546</v>
      </c>
      <c r="L337" t="str">
        <f>"98742546"</f>
        <v>98742546</v>
      </c>
      <c r="M337" t="s">
        <v>75</v>
      </c>
      <c r="N337" s="1">
        <v>43216.658333333333</v>
      </c>
      <c r="O337" t="s">
        <v>19</v>
      </c>
    </row>
    <row r="338" spans="1:15" x14ac:dyDescent="0.25">
      <c r="A338" t="s">
        <v>256</v>
      </c>
      <c r="B338" t="s">
        <v>15</v>
      </c>
      <c r="C338" t="s">
        <v>30</v>
      </c>
      <c r="D338" t="s">
        <v>17</v>
      </c>
      <c r="E338" t="s">
        <v>18</v>
      </c>
      <c r="F338" t="s">
        <v>19</v>
      </c>
      <c r="G338" t="s">
        <v>20</v>
      </c>
      <c r="J338" t="s">
        <v>17</v>
      </c>
      <c r="K338" t="str">
        <f>"877401409"</f>
        <v>877401409</v>
      </c>
      <c r="L338" t="str">
        <f>"877401409"</f>
        <v>877401409</v>
      </c>
      <c r="M338" t="s">
        <v>75</v>
      </c>
      <c r="N338" s="1">
        <v>42872.849305555559</v>
      </c>
      <c r="O338" t="s">
        <v>19</v>
      </c>
    </row>
    <row r="339" spans="1:15" x14ac:dyDescent="0.25">
      <c r="A339" t="s">
        <v>257</v>
      </c>
      <c r="B339" t="s">
        <v>15</v>
      </c>
      <c r="C339" t="s">
        <v>30</v>
      </c>
      <c r="D339" t="s">
        <v>17</v>
      </c>
      <c r="E339" t="s">
        <v>18</v>
      </c>
      <c r="F339" t="s">
        <v>19</v>
      </c>
      <c r="G339" t="s">
        <v>20</v>
      </c>
      <c r="J339" t="s">
        <v>17</v>
      </c>
      <c r="K339" t="str">
        <f>"76740003"</f>
        <v>76740003</v>
      </c>
      <c r="L339" t="str">
        <f>"76740003"</f>
        <v>76740003</v>
      </c>
      <c r="M339" t="s">
        <v>75</v>
      </c>
      <c r="N339" s="1">
        <v>42872.847222222219</v>
      </c>
      <c r="O339" t="s">
        <v>19</v>
      </c>
    </row>
    <row r="340" spans="1:15" x14ac:dyDescent="0.25">
      <c r="A340" t="s">
        <v>258</v>
      </c>
      <c r="B340" t="s">
        <v>15</v>
      </c>
      <c r="C340" t="s">
        <v>30</v>
      </c>
      <c r="D340" t="s">
        <v>17</v>
      </c>
      <c r="E340" t="s">
        <v>18</v>
      </c>
      <c r="F340" t="s">
        <v>19</v>
      </c>
      <c r="G340" t="s">
        <v>20</v>
      </c>
      <c r="J340" t="s">
        <v>17</v>
      </c>
      <c r="K340" t="str">
        <f>"76740019"</f>
        <v>76740019</v>
      </c>
      <c r="L340" t="str">
        <f>"76740019"</f>
        <v>76740019</v>
      </c>
      <c r="M340" t="s">
        <v>75</v>
      </c>
      <c r="N340" s="1">
        <v>42872.847222222219</v>
      </c>
      <c r="O340" t="s">
        <v>19</v>
      </c>
    </row>
    <row r="341" spans="1:15" x14ac:dyDescent="0.25">
      <c r="A341" t="s">
        <v>259</v>
      </c>
      <c r="B341" t="s">
        <v>15</v>
      </c>
      <c r="C341" t="s">
        <v>30</v>
      </c>
      <c r="D341" t="s">
        <v>17</v>
      </c>
      <c r="E341" t="s">
        <v>18</v>
      </c>
      <c r="F341" t="s">
        <v>19</v>
      </c>
      <c r="G341" t="s">
        <v>20</v>
      </c>
      <c r="J341" t="s">
        <v>17</v>
      </c>
      <c r="K341" t="str">
        <f>"7804612212560"</f>
        <v>7804612212560</v>
      </c>
      <c r="L341" t="str">
        <f>"98740660"</f>
        <v>98740660</v>
      </c>
      <c r="M341" t="s">
        <v>84</v>
      </c>
      <c r="N341" s="1">
        <v>43531.586805555555</v>
      </c>
      <c r="O341" t="s">
        <v>19</v>
      </c>
    </row>
    <row r="342" spans="1:15" x14ac:dyDescent="0.25">
      <c r="A342" t="s">
        <v>260</v>
      </c>
      <c r="B342" t="s">
        <v>15</v>
      </c>
      <c r="C342" t="s">
        <v>30</v>
      </c>
      <c r="D342" t="s">
        <v>17</v>
      </c>
      <c r="E342" t="s">
        <v>18</v>
      </c>
      <c r="F342" t="s">
        <v>19</v>
      </c>
      <c r="G342" t="s">
        <v>20</v>
      </c>
      <c r="J342" t="s">
        <v>17</v>
      </c>
      <c r="K342" t="str">
        <f>"877401446"</f>
        <v>877401446</v>
      </c>
      <c r="L342" t="str">
        <f>"877401446"</f>
        <v>877401446</v>
      </c>
      <c r="M342" t="s">
        <v>75</v>
      </c>
      <c r="N342" s="1">
        <v>42872.849305555559</v>
      </c>
      <c r="O342" t="s">
        <v>19</v>
      </c>
    </row>
    <row r="343" spans="1:15" x14ac:dyDescent="0.25">
      <c r="A343" t="s">
        <v>261</v>
      </c>
      <c r="B343" t="s">
        <v>15</v>
      </c>
      <c r="C343" t="s">
        <v>225</v>
      </c>
      <c r="D343" t="s">
        <v>17</v>
      </c>
      <c r="E343" t="s">
        <v>18</v>
      </c>
      <c r="F343" t="s">
        <v>19</v>
      </c>
      <c r="G343" t="s">
        <v>20</v>
      </c>
      <c r="J343" t="s">
        <v>17</v>
      </c>
      <c r="K343" t="str">
        <f>"879401446"</f>
        <v>879401446</v>
      </c>
      <c r="L343" t="str">
        <f>"879401446"</f>
        <v>879401446</v>
      </c>
      <c r="M343" t="s">
        <v>75</v>
      </c>
      <c r="N343" s="1">
        <v>42872.849305555559</v>
      </c>
      <c r="O343" t="s">
        <v>19</v>
      </c>
    </row>
    <row r="344" spans="1:15" x14ac:dyDescent="0.25">
      <c r="A344" t="s">
        <v>262</v>
      </c>
      <c r="B344" t="s">
        <v>15</v>
      </c>
      <c r="C344" t="s">
        <v>30</v>
      </c>
      <c r="D344" t="s">
        <v>17</v>
      </c>
      <c r="E344" t="s">
        <v>18</v>
      </c>
      <c r="F344" t="s">
        <v>19</v>
      </c>
      <c r="G344" t="s">
        <v>20</v>
      </c>
      <c r="J344" t="s">
        <v>17</v>
      </c>
      <c r="K344" t="str">
        <f>"10001081"</f>
        <v>10001081</v>
      </c>
      <c r="L344" t="str">
        <f>"10001081"</f>
        <v>10001081</v>
      </c>
      <c r="M344" t="s">
        <v>21</v>
      </c>
      <c r="N344" s="1">
        <v>43819.595833333333</v>
      </c>
      <c r="O344" t="s">
        <v>19</v>
      </c>
    </row>
    <row r="345" spans="1:15" x14ac:dyDescent="0.25">
      <c r="A345" t="s">
        <v>263</v>
      </c>
      <c r="B345" t="s">
        <v>15</v>
      </c>
      <c r="C345" t="s">
        <v>30</v>
      </c>
      <c r="D345" t="s">
        <v>17</v>
      </c>
      <c r="E345" t="s">
        <v>18</v>
      </c>
      <c r="F345" t="s">
        <v>19</v>
      </c>
      <c r="G345" t="s">
        <v>20</v>
      </c>
      <c r="J345" t="s">
        <v>17</v>
      </c>
      <c r="K345" t="str">
        <f>"10000110"</f>
        <v>10000110</v>
      </c>
      <c r="L345" t="str">
        <f>"10000110"</f>
        <v>10000110</v>
      </c>
      <c r="M345" t="s">
        <v>21</v>
      </c>
      <c r="N345" s="1">
        <v>43819.59375</v>
      </c>
      <c r="O345" t="s">
        <v>19</v>
      </c>
    </row>
    <row r="346" spans="1:15" x14ac:dyDescent="0.25">
      <c r="A346" t="s">
        <v>264</v>
      </c>
      <c r="B346" t="s">
        <v>15</v>
      </c>
      <c r="C346" t="s">
        <v>30</v>
      </c>
      <c r="D346" t="s">
        <v>17</v>
      </c>
      <c r="E346" t="s">
        <v>18</v>
      </c>
      <c r="F346" t="s">
        <v>19</v>
      </c>
      <c r="G346" t="s">
        <v>20</v>
      </c>
      <c r="J346" t="s">
        <v>17</v>
      </c>
      <c r="K346" t="str">
        <f>"2016543123807"</f>
        <v>2016543123807</v>
      </c>
      <c r="L346" t="str">
        <f>"10112463"</f>
        <v>10112463</v>
      </c>
      <c r="M346" t="s">
        <v>21</v>
      </c>
      <c r="N346" s="1">
        <v>43854.736111111109</v>
      </c>
      <c r="O346" t="s">
        <v>19</v>
      </c>
    </row>
    <row r="347" spans="1:15" x14ac:dyDescent="0.25">
      <c r="A347" t="s">
        <v>265</v>
      </c>
      <c r="B347" t="s">
        <v>15</v>
      </c>
      <c r="C347" t="s">
        <v>30</v>
      </c>
      <c r="D347" t="s">
        <v>17</v>
      </c>
      <c r="E347" t="s">
        <v>18</v>
      </c>
      <c r="F347" t="s">
        <v>19</v>
      </c>
      <c r="G347" t="s">
        <v>20</v>
      </c>
      <c r="J347" t="s">
        <v>17</v>
      </c>
      <c r="K347" t="str">
        <f>"10112694"</f>
        <v>10112694</v>
      </c>
      <c r="L347" t="str">
        <f>"10112694"</f>
        <v>10112694</v>
      </c>
      <c r="M347" t="s">
        <v>21</v>
      </c>
      <c r="N347" s="1">
        <v>43826.689583333333</v>
      </c>
      <c r="O347" t="s">
        <v>19</v>
      </c>
    </row>
    <row r="348" spans="1:15" x14ac:dyDescent="0.25">
      <c r="A348" t="s">
        <v>266</v>
      </c>
      <c r="B348" t="s">
        <v>15</v>
      </c>
      <c r="C348" t="s">
        <v>30</v>
      </c>
      <c r="D348" t="s">
        <v>17</v>
      </c>
      <c r="E348" t="s">
        <v>18</v>
      </c>
      <c r="F348" t="s">
        <v>19</v>
      </c>
      <c r="G348" t="s">
        <v>20</v>
      </c>
      <c r="J348" t="s">
        <v>17</v>
      </c>
      <c r="K348" t="str">
        <f>"10000118"</f>
        <v>10000118</v>
      </c>
      <c r="L348" t="str">
        <f>"10000118"</f>
        <v>10000118</v>
      </c>
      <c r="M348" t="s">
        <v>84</v>
      </c>
      <c r="N348" s="1">
        <v>43470.772222222222</v>
      </c>
      <c r="O348" t="s">
        <v>19</v>
      </c>
    </row>
    <row r="349" spans="1:15" x14ac:dyDescent="0.25">
      <c r="A349" t="s">
        <v>267</v>
      </c>
      <c r="B349" t="s">
        <v>15</v>
      </c>
      <c r="C349" t="s">
        <v>30</v>
      </c>
      <c r="D349" t="s">
        <v>17</v>
      </c>
      <c r="E349" t="s">
        <v>18</v>
      </c>
      <c r="F349" t="s">
        <v>19</v>
      </c>
      <c r="G349" t="s">
        <v>20</v>
      </c>
      <c r="J349" t="s">
        <v>17</v>
      </c>
      <c r="K349" t="str">
        <f>"6960120731519"</f>
        <v>6960120731519</v>
      </c>
      <c r="L349" t="str">
        <f>"10001181"</f>
        <v>10001181</v>
      </c>
      <c r="M349" t="s">
        <v>84</v>
      </c>
      <c r="N349" s="1">
        <v>43571.975694444445</v>
      </c>
      <c r="O349" t="s">
        <v>19</v>
      </c>
    </row>
    <row r="350" spans="1:15" x14ac:dyDescent="0.25">
      <c r="A350" t="s">
        <v>268</v>
      </c>
      <c r="B350" t="s">
        <v>15</v>
      </c>
      <c r="C350" t="s">
        <v>30</v>
      </c>
      <c r="D350" t="s">
        <v>17</v>
      </c>
      <c r="E350" t="s">
        <v>18</v>
      </c>
      <c r="F350" t="s">
        <v>19</v>
      </c>
      <c r="G350" t="s">
        <v>20</v>
      </c>
      <c r="J350" t="s">
        <v>17</v>
      </c>
      <c r="K350" t="str">
        <f>"5902020120056"</f>
        <v>5902020120056</v>
      </c>
      <c r="L350" t="str">
        <f>"10120460"</f>
        <v>10120460</v>
      </c>
      <c r="M350" t="s">
        <v>21</v>
      </c>
      <c r="N350" s="1">
        <v>44371.817361111112</v>
      </c>
      <c r="O350" t="s">
        <v>19</v>
      </c>
    </row>
    <row r="351" spans="1:15" x14ac:dyDescent="0.25">
      <c r="A351" t="s">
        <v>269</v>
      </c>
      <c r="B351" t="s">
        <v>15</v>
      </c>
      <c r="C351" t="s">
        <v>30</v>
      </c>
      <c r="D351" t="s">
        <v>17</v>
      </c>
      <c r="E351" t="s">
        <v>18</v>
      </c>
      <c r="F351" t="s">
        <v>19</v>
      </c>
      <c r="G351" t="s">
        <v>20</v>
      </c>
      <c r="J351" t="s">
        <v>17</v>
      </c>
      <c r="K351" t="str">
        <f>"6973017980013"</f>
        <v>6973017980013</v>
      </c>
      <c r="L351" t="str">
        <f>"10122627"</f>
        <v>10122627</v>
      </c>
      <c r="M351" t="s">
        <v>21</v>
      </c>
      <c r="N351" s="1">
        <v>44371.790972222225</v>
      </c>
      <c r="O351" t="s">
        <v>19</v>
      </c>
    </row>
    <row r="352" spans="1:15" x14ac:dyDescent="0.25">
      <c r="A352" t="s">
        <v>270</v>
      </c>
      <c r="B352" t="s">
        <v>15</v>
      </c>
      <c r="C352" t="s">
        <v>30</v>
      </c>
      <c r="D352" t="s">
        <v>17</v>
      </c>
      <c r="E352" t="s">
        <v>18</v>
      </c>
      <c r="F352" t="s">
        <v>19</v>
      </c>
      <c r="G352" t="s">
        <v>20</v>
      </c>
      <c r="J352" t="s">
        <v>17</v>
      </c>
      <c r="K352" t="str">
        <f>"6989532512332"</f>
        <v>6989532512332</v>
      </c>
      <c r="L352" t="str">
        <f>"10013638"</f>
        <v>10013638</v>
      </c>
      <c r="M352" t="s">
        <v>84</v>
      </c>
      <c r="N352" s="1">
        <v>43571.976388888892</v>
      </c>
      <c r="O352" t="s">
        <v>19</v>
      </c>
    </row>
    <row r="353" spans="1:15" x14ac:dyDescent="0.25">
      <c r="A353" t="s">
        <v>271</v>
      </c>
      <c r="B353" t="s">
        <v>15</v>
      </c>
      <c r="C353" t="s">
        <v>30</v>
      </c>
      <c r="D353" t="s">
        <v>17</v>
      </c>
      <c r="E353" t="s">
        <v>18</v>
      </c>
      <c r="F353" t="s">
        <v>19</v>
      </c>
      <c r="G353" t="s">
        <v>20</v>
      </c>
      <c r="J353" t="s">
        <v>17</v>
      </c>
      <c r="K353" t="str">
        <f>"6932888255002"</f>
        <v>6932888255002</v>
      </c>
      <c r="L353" t="str">
        <f>"10014100"</f>
        <v>10014100</v>
      </c>
      <c r="M353" t="s">
        <v>75</v>
      </c>
      <c r="N353" s="1">
        <v>43195.701388888891</v>
      </c>
      <c r="O353" t="s">
        <v>19</v>
      </c>
    </row>
    <row r="354" spans="1:15" x14ac:dyDescent="0.25">
      <c r="A354" t="s">
        <v>272</v>
      </c>
      <c r="B354" t="s">
        <v>15</v>
      </c>
      <c r="C354" t="s">
        <v>30</v>
      </c>
      <c r="D354" t="s">
        <v>17</v>
      </c>
      <c r="E354" t="s">
        <v>18</v>
      </c>
      <c r="F354" t="s">
        <v>19</v>
      </c>
      <c r="G354" t="s">
        <v>20</v>
      </c>
      <c r="J354" t="s">
        <v>17</v>
      </c>
      <c r="K354" t="str">
        <f>"10015750"</f>
        <v>10015750</v>
      </c>
      <c r="L354" t="str">
        <f>"10015750"</f>
        <v>10015750</v>
      </c>
      <c r="M354" t="s">
        <v>75</v>
      </c>
      <c r="N354" s="1">
        <v>43195.705555555556</v>
      </c>
      <c r="O354" t="s">
        <v>19</v>
      </c>
    </row>
    <row r="355" spans="1:15" x14ac:dyDescent="0.25">
      <c r="A355" t="s">
        <v>273</v>
      </c>
      <c r="B355" t="s">
        <v>15</v>
      </c>
      <c r="C355" t="s">
        <v>30</v>
      </c>
      <c r="D355" t="s">
        <v>17</v>
      </c>
      <c r="E355" t="s">
        <v>18</v>
      </c>
      <c r="F355" t="s">
        <v>19</v>
      </c>
      <c r="G355" t="s">
        <v>20</v>
      </c>
      <c r="J355" t="s">
        <v>17</v>
      </c>
      <c r="K355" t="str">
        <f>"305541851228"</f>
        <v>305541851228</v>
      </c>
      <c r="L355" t="str">
        <f>"10015772"</f>
        <v>10015772</v>
      </c>
      <c r="M355" t="s">
        <v>75</v>
      </c>
      <c r="N355" s="1">
        <v>43195.74722222222</v>
      </c>
      <c r="O355" t="s">
        <v>19</v>
      </c>
    </row>
    <row r="356" spans="1:15" x14ac:dyDescent="0.25">
      <c r="A356" t="s">
        <v>274</v>
      </c>
      <c r="B356" t="s">
        <v>15</v>
      </c>
      <c r="C356" t="s">
        <v>30</v>
      </c>
      <c r="D356" t="s">
        <v>17</v>
      </c>
      <c r="E356" t="s">
        <v>18</v>
      </c>
      <c r="F356" t="s">
        <v>19</v>
      </c>
      <c r="G356" t="s">
        <v>20</v>
      </c>
      <c r="J356" t="s">
        <v>17</v>
      </c>
      <c r="K356" t="str">
        <f>"10002214"</f>
        <v>10002214</v>
      </c>
      <c r="L356" t="str">
        <f>"10002214"</f>
        <v>10002214</v>
      </c>
      <c r="M356" t="s">
        <v>84</v>
      </c>
      <c r="N356" s="1">
        <v>43546.635416666664</v>
      </c>
      <c r="O356" t="s">
        <v>19</v>
      </c>
    </row>
    <row r="357" spans="1:15" x14ac:dyDescent="0.25">
      <c r="A357" t="s">
        <v>275</v>
      </c>
      <c r="B357" t="s">
        <v>15</v>
      </c>
      <c r="C357" t="s">
        <v>30</v>
      </c>
      <c r="D357" t="s">
        <v>17</v>
      </c>
      <c r="E357" t="s">
        <v>18</v>
      </c>
      <c r="F357" t="s">
        <v>19</v>
      </c>
      <c r="G357" t="s">
        <v>20</v>
      </c>
      <c r="J357" t="s">
        <v>17</v>
      </c>
      <c r="K357" t="str">
        <f>"3136553706148"</f>
        <v>3136553706148</v>
      </c>
      <c r="L357" t="str">
        <f>"10002825"</f>
        <v>10002825</v>
      </c>
      <c r="M357" t="s">
        <v>21</v>
      </c>
      <c r="N357" s="1">
        <v>43826.699305555558</v>
      </c>
      <c r="O357" t="s">
        <v>19</v>
      </c>
    </row>
    <row r="358" spans="1:15" x14ac:dyDescent="0.25">
      <c r="A358" t="s">
        <v>276</v>
      </c>
      <c r="B358" t="s">
        <v>15</v>
      </c>
      <c r="C358" t="s">
        <v>30</v>
      </c>
      <c r="D358" t="s">
        <v>17</v>
      </c>
      <c r="E358" t="s">
        <v>18</v>
      </c>
      <c r="F358" t="s">
        <v>19</v>
      </c>
      <c r="G358" t="s">
        <v>20</v>
      </c>
      <c r="J358" t="s">
        <v>17</v>
      </c>
      <c r="K358" t="str">
        <f>"10002843"</f>
        <v>10002843</v>
      </c>
      <c r="L358" t="str">
        <f>"10002843"</f>
        <v>10002843</v>
      </c>
      <c r="M358" t="s">
        <v>21</v>
      </c>
      <c r="N358" s="1">
        <v>43687.684027777781</v>
      </c>
      <c r="O358" t="s">
        <v>19</v>
      </c>
    </row>
    <row r="359" spans="1:15" x14ac:dyDescent="0.25">
      <c r="A359" t="s">
        <v>277</v>
      </c>
      <c r="B359" t="s">
        <v>15</v>
      </c>
      <c r="C359" t="s">
        <v>30</v>
      </c>
      <c r="D359" t="s">
        <v>17</v>
      </c>
      <c r="E359" t="s">
        <v>18</v>
      </c>
      <c r="F359" t="s">
        <v>19</v>
      </c>
      <c r="G359" t="s">
        <v>20</v>
      </c>
      <c r="J359" t="s">
        <v>17</v>
      </c>
      <c r="K359" t="str">
        <f>"10003080"</f>
        <v>10003080</v>
      </c>
      <c r="L359" t="str">
        <f>"10003080"</f>
        <v>10003080</v>
      </c>
      <c r="M359" t="s">
        <v>21</v>
      </c>
      <c r="N359" s="1">
        <v>43708.867361111108</v>
      </c>
      <c r="O359" t="s">
        <v>19</v>
      </c>
    </row>
    <row r="360" spans="1:15" x14ac:dyDescent="0.25">
      <c r="A360" t="s">
        <v>278</v>
      </c>
      <c r="B360" t="s">
        <v>15</v>
      </c>
      <c r="C360" t="s">
        <v>30</v>
      </c>
      <c r="D360" t="s">
        <v>17</v>
      </c>
      <c r="E360" t="s">
        <v>18</v>
      </c>
      <c r="F360" t="s">
        <v>19</v>
      </c>
      <c r="G360" t="s">
        <v>20</v>
      </c>
      <c r="J360" t="s">
        <v>17</v>
      </c>
      <c r="K360" t="str">
        <f>"6950854681990"</f>
        <v>6950854681990</v>
      </c>
      <c r="L360" t="str">
        <f>"10003679"</f>
        <v>10003679</v>
      </c>
      <c r="M360" t="s">
        <v>84</v>
      </c>
      <c r="N360" s="1">
        <v>43404.894444444442</v>
      </c>
      <c r="O360" t="s">
        <v>19</v>
      </c>
    </row>
    <row r="361" spans="1:15" x14ac:dyDescent="0.25">
      <c r="A361" t="s">
        <v>279</v>
      </c>
      <c r="B361" t="s">
        <v>15</v>
      </c>
      <c r="C361" t="s">
        <v>30</v>
      </c>
      <c r="D361" t="s">
        <v>17</v>
      </c>
      <c r="E361" t="s">
        <v>18</v>
      </c>
      <c r="F361" t="s">
        <v>19</v>
      </c>
      <c r="G361" t="s">
        <v>20</v>
      </c>
      <c r="J361" t="s">
        <v>17</v>
      </c>
      <c r="K361" t="str">
        <f>"10000483"</f>
        <v>10000483</v>
      </c>
      <c r="L361" t="str">
        <f>"10000483"</f>
        <v>10000483</v>
      </c>
      <c r="M361" t="s">
        <v>84</v>
      </c>
      <c r="N361" s="1">
        <v>43571.809027777781</v>
      </c>
      <c r="O361" t="s">
        <v>19</v>
      </c>
    </row>
    <row r="362" spans="1:15" x14ac:dyDescent="0.25">
      <c r="A362" t="s">
        <v>280</v>
      </c>
      <c r="B362" t="s">
        <v>15</v>
      </c>
      <c r="C362" t="s">
        <v>30</v>
      </c>
      <c r="D362" t="s">
        <v>17</v>
      </c>
      <c r="E362" t="s">
        <v>18</v>
      </c>
      <c r="F362" t="s">
        <v>19</v>
      </c>
      <c r="G362" t="s">
        <v>20</v>
      </c>
      <c r="J362" t="s">
        <v>17</v>
      </c>
      <c r="K362" t="str">
        <f>"6966884625422"</f>
        <v>6966884625422</v>
      </c>
      <c r="L362" t="str">
        <f>"10006433"</f>
        <v>10006433</v>
      </c>
      <c r="M362" t="s">
        <v>84</v>
      </c>
      <c r="N362" s="1">
        <v>43454.670138888891</v>
      </c>
      <c r="O362" t="s">
        <v>19</v>
      </c>
    </row>
    <row r="363" spans="1:15" x14ac:dyDescent="0.25">
      <c r="A363" t="s">
        <v>281</v>
      </c>
      <c r="B363" t="s">
        <v>15</v>
      </c>
      <c r="C363" t="s">
        <v>30</v>
      </c>
      <c r="D363" t="s">
        <v>17</v>
      </c>
      <c r="E363" t="s">
        <v>18</v>
      </c>
      <c r="F363" t="s">
        <v>19</v>
      </c>
      <c r="G363" t="s">
        <v>20</v>
      </c>
      <c r="J363" t="s">
        <v>17</v>
      </c>
      <c r="K363" t="str">
        <f>"1000001092596"</f>
        <v>1000001092596</v>
      </c>
      <c r="L363" t="str">
        <f>"76742596"</f>
        <v>76742596</v>
      </c>
      <c r="M363" t="s">
        <v>84</v>
      </c>
      <c r="N363" s="1">
        <v>43465.770138888889</v>
      </c>
      <c r="O363" t="s">
        <v>19</v>
      </c>
    </row>
    <row r="364" spans="1:15" x14ac:dyDescent="0.25">
      <c r="A364" t="s">
        <v>282</v>
      </c>
      <c r="B364" t="s">
        <v>15</v>
      </c>
      <c r="C364" t="s">
        <v>30</v>
      </c>
      <c r="D364" t="s">
        <v>17</v>
      </c>
      <c r="E364" t="s">
        <v>18</v>
      </c>
      <c r="F364" t="s">
        <v>19</v>
      </c>
      <c r="G364" t="s">
        <v>20</v>
      </c>
      <c r="J364" t="s">
        <v>17</v>
      </c>
      <c r="K364" t="str">
        <f>"816479014345"</f>
        <v>816479014345</v>
      </c>
      <c r="L364" t="str">
        <f>"79MOTECBLK"</f>
        <v>79MOTECBLK</v>
      </c>
      <c r="M364" t="s">
        <v>21</v>
      </c>
      <c r="N364" s="1">
        <v>43805.90625</v>
      </c>
      <c r="O364" t="s">
        <v>19</v>
      </c>
    </row>
    <row r="365" spans="1:15" x14ac:dyDescent="0.25">
      <c r="A365" t="s">
        <v>283</v>
      </c>
      <c r="B365" t="s">
        <v>15</v>
      </c>
      <c r="C365" t="s">
        <v>30</v>
      </c>
      <c r="D365" t="s">
        <v>17</v>
      </c>
      <c r="E365" t="s">
        <v>18</v>
      </c>
      <c r="F365" t="s">
        <v>19</v>
      </c>
      <c r="G365" t="s">
        <v>20</v>
      </c>
      <c r="J365" t="s">
        <v>17</v>
      </c>
      <c r="K365" t="str">
        <f>"6925871647076"</f>
        <v>6925871647076</v>
      </c>
      <c r="L365" t="str">
        <f>"22744707"</f>
        <v>22744707</v>
      </c>
      <c r="M365" t="s">
        <v>21</v>
      </c>
      <c r="N365" s="1">
        <v>44296.635416666664</v>
      </c>
      <c r="O365" t="s">
        <v>19</v>
      </c>
    </row>
    <row r="366" spans="1:15" x14ac:dyDescent="0.25">
      <c r="A366" t="s">
        <v>284</v>
      </c>
      <c r="B366" t="s">
        <v>15</v>
      </c>
      <c r="C366" t="s">
        <v>30</v>
      </c>
      <c r="D366" t="s">
        <v>17</v>
      </c>
      <c r="E366" t="s">
        <v>18</v>
      </c>
      <c r="F366" t="s">
        <v>19</v>
      </c>
      <c r="G366" t="s">
        <v>20</v>
      </c>
      <c r="J366" t="s">
        <v>17</v>
      </c>
      <c r="K366" t="str">
        <f>"6925871640756"</f>
        <v>6925871640756</v>
      </c>
      <c r="L366" t="str">
        <f>"22744075"</f>
        <v>22744075</v>
      </c>
      <c r="M366" t="s">
        <v>21</v>
      </c>
      <c r="N366" s="1">
        <v>44442.883333333331</v>
      </c>
      <c r="O366" t="s">
        <v>19</v>
      </c>
    </row>
    <row r="367" spans="1:15" x14ac:dyDescent="0.25">
      <c r="A367" t="s">
        <v>285</v>
      </c>
      <c r="B367" t="s">
        <v>15</v>
      </c>
      <c r="C367" t="s">
        <v>30</v>
      </c>
      <c r="D367" t="s">
        <v>17</v>
      </c>
      <c r="E367" t="s">
        <v>18</v>
      </c>
      <c r="F367" t="s">
        <v>19</v>
      </c>
      <c r="G367" t="s">
        <v>20</v>
      </c>
      <c r="J367" t="s">
        <v>17</v>
      </c>
      <c r="K367" t="str">
        <f>"6925871641258"</f>
        <v>6925871641258</v>
      </c>
      <c r="L367" t="str">
        <f>"22746125"</f>
        <v>22746125</v>
      </c>
      <c r="M367" t="s">
        <v>21</v>
      </c>
      <c r="N367" s="1">
        <v>44296.609722222223</v>
      </c>
      <c r="O367" t="s">
        <v>19</v>
      </c>
    </row>
    <row r="368" spans="1:15" x14ac:dyDescent="0.25">
      <c r="A368" t="s">
        <v>286</v>
      </c>
      <c r="B368" t="s">
        <v>15</v>
      </c>
      <c r="C368" t="s">
        <v>30</v>
      </c>
      <c r="D368" t="s">
        <v>17</v>
      </c>
      <c r="E368" t="s">
        <v>18</v>
      </c>
      <c r="F368" t="s">
        <v>19</v>
      </c>
      <c r="G368" t="s">
        <v>20</v>
      </c>
      <c r="J368" t="s">
        <v>17</v>
      </c>
      <c r="K368" t="str">
        <f>"6925871641418"</f>
        <v>6925871641418</v>
      </c>
      <c r="L368" t="str">
        <f>"22744141"</f>
        <v>22744141</v>
      </c>
      <c r="M368" t="s">
        <v>84</v>
      </c>
      <c r="N368" s="1">
        <v>43369.897222222222</v>
      </c>
      <c r="O368" t="s">
        <v>19</v>
      </c>
    </row>
    <row r="369" spans="1:15" x14ac:dyDescent="0.25">
      <c r="A369" t="s">
        <v>287</v>
      </c>
      <c r="B369" t="s">
        <v>15</v>
      </c>
      <c r="C369" t="s">
        <v>30</v>
      </c>
      <c r="D369" t="s">
        <v>17</v>
      </c>
      <c r="E369" t="s">
        <v>18</v>
      </c>
      <c r="F369" t="s">
        <v>19</v>
      </c>
      <c r="G369" t="s">
        <v>20</v>
      </c>
      <c r="J369" t="s">
        <v>17</v>
      </c>
      <c r="K369" t="str">
        <f>"6925871641449"</f>
        <v>6925871641449</v>
      </c>
      <c r="L369" t="str">
        <f>"22744144"</f>
        <v>22744144</v>
      </c>
      <c r="M369" t="s">
        <v>84</v>
      </c>
      <c r="N369" s="1">
        <v>43396.623611111114</v>
      </c>
      <c r="O369" t="s">
        <v>19</v>
      </c>
    </row>
    <row r="370" spans="1:15" x14ac:dyDescent="0.25">
      <c r="A370" t="s">
        <v>288</v>
      </c>
      <c r="B370" t="s">
        <v>15</v>
      </c>
      <c r="C370" t="s">
        <v>30</v>
      </c>
      <c r="D370" t="s">
        <v>17</v>
      </c>
      <c r="E370" t="s">
        <v>18</v>
      </c>
      <c r="F370" t="s">
        <v>19</v>
      </c>
      <c r="G370" t="s">
        <v>20</v>
      </c>
      <c r="J370" t="s">
        <v>17</v>
      </c>
      <c r="K370" t="str">
        <f>"6925871641692"</f>
        <v>6925871641692</v>
      </c>
      <c r="L370" t="str">
        <f>"22064169"</f>
        <v>22064169</v>
      </c>
      <c r="M370" t="s">
        <v>84</v>
      </c>
      <c r="N370" s="1">
        <v>43501.954861111109</v>
      </c>
      <c r="O370" t="s">
        <v>19</v>
      </c>
    </row>
    <row r="371" spans="1:15" x14ac:dyDescent="0.25">
      <c r="A371" t="s">
        <v>289</v>
      </c>
      <c r="B371" t="s">
        <v>15</v>
      </c>
      <c r="C371" t="s">
        <v>30</v>
      </c>
      <c r="D371" t="s">
        <v>17</v>
      </c>
      <c r="E371" t="s">
        <v>18</v>
      </c>
      <c r="F371" t="s">
        <v>19</v>
      </c>
      <c r="G371" t="s">
        <v>20</v>
      </c>
      <c r="J371" t="s">
        <v>17</v>
      </c>
      <c r="K371" t="str">
        <f>"6925871642071"</f>
        <v>6925871642071</v>
      </c>
      <c r="L371" t="str">
        <f>"22744207"</f>
        <v>22744207</v>
      </c>
      <c r="M371" t="s">
        <v>75</v>
      </c>
      <c r="N371" s="1">
        <v>42872.839583333334</v>
      </c>
      <c r="O371" t="s">
        <v>19</v>
      </c>
    </row>
    <row r="372" spans="1:15" x14ac:dyDescent="0.25">
      <c r="A372" t="s">
        <v>290</v>
      </c>
      <c r="B372" t="s">
        <v>15</v>
      </c>
      <c r="C372" t="s">
        <v>30</v>
      </c>
      <c r="D372" t="s">
        <v>17</v>
      </c>
      <c r="E372" t="s">
        <v>18</v>
      </c>
      <c r="F372" t="s">
        <v>19</v>
      </c>
      <c r="G372" t="s">
        <v>20</v>
      </c>
      <c r="J372" t="s">
        <v>17</v>
      </c>
      <c r="K372" t="str">
        <f>"6925871642163"</f>
        <v>6925871642163</v>
      </c>
      <c r="L372" t="str">
        <f>"22744216"</f>
        <v>22744216</v>
      </c>
      <c r="M372" t="s">
        <v>84</v>
      </c>
      <c r="N372" s="1">
        <v>43463.611111111109</v>
      </c>
      <c r="O372" t="s">
        <v>19</v>
      </c>
    </row>
    <row r="373" spans="1:15" x14ac:dyDescent="0.25">
      <c r="A373" t="s">
        <v>291</v>
      </c>
      <c r="B373" t="s">
        <v>15</v>
      </c>
      <c r="C373" t="s">
        <v>30</v>
      </c>
      <c r="D373" t="s">
        <v>17</v>
      </c>
      <c r="E373" t="s">
        <v>18</v>
      </c>
      <c r="F373" t="s">
        <v>19</v>
      </c>
      <c r="G373" t="s">
        <v>20</v>
      </c>
      <c r="J373" t="s">
        <v>17</v>
      </c>
      <c r="K373" t="str">
        <f>"6925871642613"</f>
        <v>6925871642613</v>
      </c>
      <c r="L373" t="str">
        <f>"22744261"</f>
        <v>22744261</v>
      </c>
      <c r="M373" t="s">
        <v>21</v>
      </c>
      <c r="N373" s="1">
        <v>43818.696527777778</v>
      </c>
      <c r="O373" t="s">
        <v>19</v>
      </c>
    </row>
    <row r="374" spans="1:15" x14ac:dyDescent="0.25">
      <c r="A374" t="s">
        <v>292</v>
      </c>
      <c r="B374" t="s">
        <v>15</v>
      </c>
      <c r="C374" t="s">
        <v>30</v>
      </c>
      <c r="D374" t="s">
        <v>17</v>
      </c>
      <c r="E374" t="s">
        <v>18</v>
      </c>
      <c r="F374" t="s">
        <v>19</v>
      </c>
      <c r="G374" t="s">
        <v>20</v>
      </c>
      <c r="J374" t="s">
        <v>17</v>
      </c>
      <c r="K374" t="str">
        <f>"6925871642934"</f>
        <v>6925871642934</v>
      </c>
      <c r="L374" t="str">
        <f>"22744293"</f>
        <v>22744293</v>
      </c>
      <c r="M374" t="s">
        <v>21</v>
      </c>
      <c r="N374" s="1">
        <v>44442.882638888892</v>
      </c>
      <c r="O374" t="s">
        <v>19</v>
      </c>
    </row>
    <row r="375" spans="1:15" x14ac:dyDescent="0.25">
      <c r="A375" t="s">
        <v>293</v>
      </c>
      <c r="B375" t="s">
        <v>15</v>
      </c>
      <c r="C375" t="s">
        <v>30</v>
      </c>
      <c r="D375" t="s">
        <v>17</v>
      </c>
      <c r="E375" t="s">
        <v>18</v>
      </c>
      <c r="F375" t="s">
        <v>19</v>
      </c>
      <c r="G375" t="s">
        <v>20</v>
      </c>
      <c r="J375" t="s">
        <v>17</v>
      </c>
      <c r="K375" t="str">
        <f>"6925871643269"</f>
        <v>6925871643269</v>
      </c>
      <c r="L375" t="str">
        <f>"22744326"</f>
        <v>22744326</v>
      </c>
      <c r="M375" t="s">
        <v>21</v>
      </c>
      <c r="N375" s="1">
        <v>44296.636111111111</v>
      </c>
      <c r="O375" t="s">
        <v>19</v>
      </c>
    </row>
    <row r="376" spans="1:15" x14ac:dyDescent="0.25">
      <c r="A376" t="s">
        <v>294</v>
      </c>
      <c r="B376" t="s">
        <v>15</v>
      </c>
      <c r="C376" t="s">
        <v>30</v>
      </c>
      <c r="D376" t="s">
        <v>17</v>
      </c>
      <c r="E376" t="s">
        <v>18</v>
      </c>
      <c r="F376" t="s">
        <v>19</v>
      </c>
      <c r="G376" t="s">
        <v>20</v>
      </c>
      <c r="J376" t="s">
        <v>17</v>
      </c>
      <c r="K376" t="str">
        <f>"6925871643498"</f>
        <v>6925871643498</v>
      </c>
      <c r="L376" t="str">
        <f>"98744349"</f>
        <v>98744349</v>
      </c>
      <c r="M376" t="s">
        <v>21</v>
      </c>
      <c r="N376" s="1">
        <v>44247.657638888886</v>
      </c>
      <c r="O376" t="s">
        <v>19</v>
      </c>
    </row>
    <row r="377" spans="1:15" x14ac:dyDescent="0.25">
      <c r="A377" t="s">
        <v>295</v>
      </c>
      <c r="B377" t="s">
        <v>15</v>
      </c>
      <c r="C377" t="s">
        <v>30</v>
      </c>
      <c r="D377" t="s">
        <v>17</v>
      </c>
      <c r="E377" t="s">
        <v>18</v>
      </c>
      <c r="F377" t="s">
        <v>19</v>
      </c>
      <c r="G377" t="s">
        <v>20</v>
      </c>
      <c r="J377" t="s">
        <v>17</v>
      </c>
      <c r="K377" t="str">
        <f>"6925871643535"</f>
        <v>6925871643535</v>
      </c>
      <c r="L377" t="str">
        <f>"22744353"</f>
        <v>22744353</v>
      </c>
      <c r="M377" t="s">
        <v>21</v>
      </c>
      <c r="N377" s="1">
        <v>44341.76666666667</v>
      </c>
      <c r="O377" t="s">
        <v>19</v>
      </c>
    </row>
    <row r="378" spans="1:15" x14ac:dyDescent="0.25">
      <c r="A378" t="s">
        <v>296</v>
      </c>
      <c r="B378" t="s">
        <v>15</v>
      </c>
      <c r="C378" t="s">
        <v>30</v>
      </c>
      <c r="D378" t="s">
        <v>17</v>
      </c>
      <c r="E378" t="s">
        <v>18</v>
      </c>
      <c r="F378" t="s">
        <v>19</v>
      </c>
      <c r="G378" t="s">
        <v>20</v>
      </c>
      <c r="J378" t="s">
        <v>17</v>
      </c>
      <c r="K378" t="str">
        <f>"6925871643580"</f>
        <v>6925871643580</v>
      </c>
      <c r="L378" t="str">
        <f>"98744358"</f>
        <v>98744358</v>
      </c>
      <c r="M378" t="s">
        <v>21</v>
      </c>
      <c r="N378" s="1">
        <v>44247.658333333333</v>
      </c>
      <c r="O378" t="s">
        <v>19</v>
      </c>
    </row>
    <row r="379" spans="1:15" x14ac:dyDescent="0.25">
      <c r="A379" t="s">
        <v>297</v>
      </c>
      <c r="B379" t="s">
        <v>15</v>
      </c>
      <c r="C379" t="s">
        <v>30</v>
      </c>
      <c r="D379" t="s">
        <v>17</v>
      </c>
      <c r="E379" t="s">
        <v>18</v>
      </c>
      <c r="F379" t="s">
        <v>19</v>
      </c>
      <c r="G379" t="s">
        <v>20</v>
      </c>
      <c r="J379" t="s">
        <v>17</v>
      </c>
      <c r="K379" t="str">
        <f>"6925871643719"</f>
        <v>6925871643719</v>
      </c>
      <c r="L379" t="str">
        <f>"22744371"</f>
        <v>22744371</v>
      </c>
      <c r="M379" t="s">
        <v>21</v>
      </c>
      <c r="N379" s="1">
        <v>44405.908333333333</v>
      </c>
      <c r="O379" t="s">
        <v>19</v>
      </c>
    </row>
    <row r="380" spans="1:15" x14ac:dyDescent="0.25">
      <c r="A380" t="s">
        <v>298</v>
      </c>
      <c r="B380" t="s">
        <v>15</v>
      </c>
      <c r="C380" t="s">
        <v>30</v>
      </c>
      <c r="D380" t="s">
        <v>17</v>
      </c>
      <c r="E380" t="s">
        <v>18</v>
      </c>
      <c r="F380" t="s">
        <v>19</v>
      </c>
      <c r="G380" t="s">
        <v>20</v>
      </c>
      <c r="J380" t="s">
        <v>17</v>
      </c>
      <c r="K380" t="str">
        <f>"6925871646574"</f>
        <v>6925871646574</v>
      </c>
      <c r="L380" t="str">
        <f>"22744657"</f>
        <v>22744657</v>
      </c>
      <c r="M380" t="s">
        <v>84</v>
      </c>
      <c r="N380" s="1">
        <v>43463.640277777777</v>
      </c>
      <c r="O380" t="s">
        <v>19</v>
      </c>
    </row>
    <row r="381" spans="1:15" x14ac:dyDescent="0.25">
      <c r="A381" t="s">
        <v>299</v>
      </c>
      <c r="B381" t="s">
        <v>15</v>
      </c>
      <c r="C381" t="s">
        <v>30</v>
      </c>
      <c r="D381" t="s">
        <v>17</v>
      </c>
      <c r="E381" t="s">
        <v>18</v>
      </c>
      <c r="F381" t="s">
        <v>19</v>
      </c>
      <c r="G381" t="s">
        <v>20</v>
      </c>
      <c r="J381" t="s">
        <v>17</v>
      </c>
      <c r="K381" t="str">
        <f>"6925871646581"</f>
        <v>6925871646581</v>
      </c>
      <c r="L381" t="str">
        <f>"22744658"</f>
        <v>22744658</v>
      </c>
      <c r="M381" t="s">
        <v>75</v>
      </c>
      <c r="N381" s="1">
        <v>43082.654861111114</v>
      </c>
      <c r="O381" t="s">
        <v>19</v>
      </c>
    </row>
    <row r="382" spans="1:15" x14ac:dyDescent="0.25">
      <c r="A382" t="s">
        <v>300</v>
      </c>
      <c r="B382" t="s">
        <v>15</v>
      </c>
      <c r="C382" t="s">
        <v>30</v>
      </c>
      <c r="D382" t="s">
        <v>17</v>
      </c>
      <c r="E382" t="s">
        <v>18</v>
      </c>
      <c r="F382" t="s">
        <v>19</v>
      </c>
      <c r="G382" t="s">
        <v>20</v>
      </c>
      <c r="J382" t="s">
        <v>17</v>
      </c>
      <c r="K382" t="str">
        <f>"6925871646888"</f>
        <v>6925871646888</v>
      </c>
      <c r="L382" t="str">
        <f>"22744688"</f>
        <v>22744688</v>
      </c>
      <c r="M382" t="s">
        <v>75</v>
      </c>
      <c r="N382" s="1">
        <v>43063.822222222225</v>
      </c>
      <c r="O382" t="s">
        <v>19</v>
      </c>
    </row>
    <row r="383" spans="1:15" x14ac:dyDescent="0.25">
      <c r="A383" t="s">
        <v>301</v>
      </c>
      <c r="B383" t="s">
        <v>15</v>
      </c>
      <c r="C383" t="s">
        <v>30</v>
      </c>
      <c r="D383" t="s">
        <v>17</v>
      </c>
      <c r="E383" t="s">
        <v>18</v>
      </c>
      <c r="F383" t="s">
        <v>19</v>
      </c>
      <c r="G383" t="s">
        <v>20</v>
      </c>
      <c r="J383" t="s">
        <v>17</v>
      </c>
      <c r="K383" t="str">
        <f>"6925871646956"</f>
        <v>6925871646956</v>
      </c>
      <c r="L383" t="str">
        <f>"22744695"</f>
        <v>22744695</v>
      </c>
      <c r="M383" t="s">
        <v>21</v>
      </c>
      <c r="N383" s="1">
        <v>44341.768055555556</v>
      </c>
      <c r="O383" t="s">
        <v>19</v>
      </c>
    </row>
    <row r="384" spans="1:15" x14ac:dyDescent="0.25">
      <c r="A384" t="s">
        <v>302</v>
      </c>
      <c r="B384" t="s">
        <v>15</v>
      </c>
      <c r="C384" t="s">
        <v>30</v>
      </c>
      <c r="D384" t="s">
        <v>17</v>
      </c>
      <c r="E384" t="s">
        <v>18</v>
      </c>
      <c r="F384" t="s">
        <v>19</v>
      </c>
      <c r="G384" t="s">
        <v>20</v>
      </c>
      <c r="J384" t="s">
        <v>17</v>
      </c>
      <c r="K384" t="str">
        <f>"6925871646987"</f>
        <v>6925871646987</v>
      </c>
      <c r="L384" t="str">
        <f>"22744698"</f>
        <v>22744698</v>
      </c>
      <c r="M384" t="s">
        <v>21</v>
      </c>
      <c r="N384" s="1">
        <v>44296.634027777778</v>
      </c>
      <c r="O384" t="s">
        <v>19</v>
      </c>
    </row>
    <row r="385" spans="1:15" x14ac:dyDescent="0.25">
      <c r="A385" t="s">
        <v>303</v>
      </c>
      <c r="B385" t="s">
        <v>15</v>
      </c>
      <c r="C385" t="s">
        <v>30</v>
      </c>
      <c r="D385" t="s">
        <v>17</v>
      </c>
      <c r="E385" t="s">
        <v>18</v>
      </c>
      <c r="F385" t="s">
        <v>19</v>
      </c>
      <c r="G385" t="s">
        <v>20</v>
      </c>
      <c r="J385" t="s">
        <v>17</v>
      </c>
      <c r="K385" t="str">
        <f>"6925871647083"</f>
        <v>6925871647083</v>
      </c>
      <c r="L385" t="str">
        <f>"22744708"</f>
        <v>22744708</v>
      </c>
      <c r="M385" t="s">
        <v>21</v>
      </c>
      <c r="N385" s="1">
        <v>44296.790277777778</v>
      </c>
      <c r="O385" t="s">
        <v>19</v>
      </c>
    </row>
    <row r="386" spans="1:15" x14ac:dyDescent="0.25">
      <c r="A386" t="s">
        <v>304</v>
      </c>
      <c r="B386" t="s">
        <v>15</v>
      </c>
      <c r="C386" t="s">
        <v>30</v>
      </c>
      <c r="D386" t="s">
        <v>17</v>
      </c>
      <c r="E386" t="s">
        <v>18</v>
      </c>
      <c r="F386" t="s">
        <v>19</v>
      </c>
      <c r="G386" t="s">
        <v>20</v>
      </c>
      <c r="J386" t="s">
        <v>17</v>
      </c>
      <c r="K386" t="str">
        <f>"6925871647113"</f>
        <v>6925871647113</v>
      </c>
      <c r="L386" t="str">
        <f>"22744711"</f>
        <v>22744711</v>
      </c>
      <c r="M386" t="s">
        <v>21</v>
      </c>
      <c r="N386" s="1">
        <v>44405.86041666667</v>
      </c>
      <c r="O386" t="s">
        <v>19</v>
      </c>
    </row>
    <row r="387" spans="1:15" x14ac:dyDescent="0.25">
      <c r="A387" t="s">
        <v>305</v>
      </c>
      <c r="B387" t="s">
        <v>15</v>
      </c>
      <c r="C387" t="s">
        <v>30</v>
      </c>
      <c r="D387" t="s">
        <v>17</v>
      </c>
      <c r="E387" t="s">
        <v>18</v>
      </c>
      <c r="F387" t="s">
        <v>19</v>
      </c>
      <c r="G387" t="s">
        <v>20</v>
      </c>
      <c r="J387" t="s">
        <v>17</v>
      </c>
      <c r="K387" t="str">
        <f>"6925871647120"</f>
        <v>6925871647120</v>
      </c>
      <c r="L387" t="str">
        <f>"22744712"</f>
        <v>22744712</v>
      </c>
      <c r="M387" t="s">
        <v>21</v>
      </c>
      <c r="N387" s="1">
        <v>44405.861111111109</v>
      </c>
      <c r="O387" t="s">
        <v>19</v>
      </c>
    </row>
    <row r="388" spans="1:15" x14ac:dyDescent="0.25">
      <c r="A388" t="s">
        <v>306</v>
      </c>
      <c r="B388" t="s">
        <v>15</v>
      </c>
      <c r="C388" t="s">
        <v>30</v>
      </c>
      <c r="D388" t="s">
        <v>17</v>
      </c>
      <c r="E388" t="s">
        <v>18</v>
      </c>
      <c r="F388" t="s">
        <v>19</v>
      </c>
      <c r="G388" t="s">
        <v>20</v>
      </c>
      <c r="J388" t="s">
        <v>17</v>
      </c>
      <c r="K388" t="str">
        <f>"6925871647137"</f>
        <v>6925871647137</v>
      </c>
      <c r="L388" t="str">
        <f>"22744713"</f>
        <v>22744713</v>
      </c>
      <c r="M388" t="s">
        <v>21</v>
      </c>
      <c r="N388" s="1">
        <v>44405.861805555556</v>
      </c>
      <c r="O388" t="s">
        <v>19</v>
      </c>
    </row>
    <row r="389" spans="1:15" x14ac:dyDescent="0.25">
      <c r="A389" t="s">
        <v>307</v>
      </c>
      <c r="B389" t="s">
        <v>15</v>
      </c>
      <c r="C389" t="s">
        <v>30</v>
      </c>
      <c r="D389" t="s">
        <v>17</v>
      </c>
      <c r="E389" t="s">
        <v>18</v>
      </c>
      <c r="F389" t="s">
        <v>19</v>
      </c>
      <c r="G389" t="s">
        <v>20</v>
      </c>
      <c r="J389" t="s">
        <v>17</v>
      </c>
      <c r="K389" t="str">
        <f>"6925871647144"</f>
        <v>6925871647144</v>
      </c>
      <c r="L389" t="str">
        <f>"22744714"</f>
        <v>22744714</v>
      </c>
      <c r="M389" t="s">
        <v>21</v>
      </c>
      <c r="N389" s="1">
        <v>44405.862500000003</v>
      </c>
      <c r="O389" t="s">
        <v>19</v>
      </c>
    </row>
    <row r="390" spans="1:15" x14ac:dyDescent="0.25">
      <c r="A390" t="s">
        <v>308</v>
      </c>
      <c r="B390" t="s">
        <v>15</v>
      </c>
      <c r="C390" t="s">
        <v>30</v>
      </c>
      <c r="D390" t="s">
        <v>17</v>
      </c>
      <c r="E390" t="s">
        <v>18</v>
      </c>
      <c r="F390" t="s">
        <v>19</v>
      </c>
      <c r="G390" t="s">
        <v>20</v>
      </c>
      <c r="J390" t="s">
        <v>17</v>
      </c>
      <c r="K390" t="str">
        <f>"6925871647151"</f>
        <v>6925871647151</v>
      </c>
      <c r="L390" t="str">
        <f>"22744715"</f>
        <v>22744715</v>
      </c>
      <c r="M390" t="s">
        <v>21</v>
      </c>
      <c r="N390" s="1">
        <v>44405.866666666669</v>
      </c>
      <c r="O390" t="s">
        <v>19</v>
      </c>
    </row>
    <row r="391" spans="1:15" x14ac:dyDescent="0.25">
      <c r="A391" t="s">
        <v>309</v>
      </c>
      <c r="B391" t="s">
        <v>15</v>
      </c>
      <c r="C391" t="s">
        <v>30</v>
      </c>
      <c r="D391" t="s">
        <v>17</v>
      </c>
      <c r="E391" t="s">
        <v>18</v>
      </c>
      <c r="F391" t="s">
        <v>19</v>
      </c>
      <c r="G391" t="s">
        <v>20</v>
      </c>
      <c r="J391" t="s">
        <v>17</v>
      </c>
      <c r="K391" t="str">
        <f>"6925871646062"</f>
        <v>6925871646062</v>
      </c>
      <c r="L391" t="str">
        <f>"22064806"</f>
        <v>22064806</v>
      </c>
      <c r="M391" t="s">
        <v>84</v>
      </c>
      <c r="N391" s="1">
        <v>43377.604166666664</v>
      </c>
      <c r="O391" t="s">
        <v>19</v>
      </c>
    </row>
    <row r="392" spans="1:15" x14ac:dyDescent="0.25">
      <c r="A392" t="s">
        <v>310</v>
      </c>
      <c r="B392" t="s">
        <v>15</v>
      </c>
      <c r="C392" t="s">
        <v>30</v>
      </c>
      <c r="D392" t="s">
        <v>17</v>
      </c>
      <c r="E392" t="s">
        <v>18</v>
      </c>
      <c r="F392" t="s">
        <v>19</v>
      </c>
      <c r="G392" t="s">
        <v>20</v>
      </c>
      <c r="J392" t="s">
        <v>17</v>
      </c>
      <c r="K392" t="str">
        <f>"6925871648264"</f>
        <v>6925871648264</v>
      </c>
      <c r="L392" t="str">
        <f>"22744826"</f>
        <v>22744826</v>
      </c>
      <c r="M392" t="s">
        <v>21</v>
      </c>
      <c r="N392" s="1">
        <v>44352.693055555559</v>
      </c>
      <c r="O392" t="s">
        <v>19</v>
      </c>
    </row>
    <row r="393" spans="1:15" x14ac:dyDescent="0.25">
      <c r="A393" t="s">
        <v>311</v>
      </c>
      <c r="B393" t="s">
        <v>15</v>
      </c>
      <c r="C393" t="s">
        <v>30</v>
      </c>
      <c r="D393" t="s">
        <v>17</v>
      </c>
      <c r="E393" t="s">
        <v>18</v>
      </c>
      <c r="F393" t="s">
        <v>19</v>
      </c>
      <c r="G393" t="s">
        <v>20</v>
      </c>
      <c r="J393" t="s">
        <v>17</v>
      </c>
      <c r="K393" t="str">
        <f>"6925871648332"</f>
        <v>6925871648332</v>
      </c>
      <c r="L393" t="str">
        <f>"22744833"</f>
        <v>22744833</v>
      </c>
      <c r="M393" t="s">
        <v>84</v>
      </c>
      <c r="N393" s="1">
        <v>43446.67083333333</v>
      </c>
      <c r="O393" t="s">
        <v>19</v>
      </c>
    </row>
    <row r="394" spans="1:15" x14ac:dyDescent="0.25">
      <c r="A394" t="s">
        <v>312</v>
      </c>
      <c r="B394" t="s">
        <v>15</v>
      </c>
      <c r="C394" t="s">
        <v>30</v>
      </c>
      <c r="D394" t="s">
        <v>17</v>
      </c>
      <c r="E394" t="s">
        <v>18</v>
      </c>
      <c r="F394" t="s">
        <v>19</v>
      </c>
      <c r="G394" t="s">
        <v>20</v>
      </c>
      <c r="J394" t="s">
        <v>17</v>
      </c>
      <c r="K394" t="str">
        <f>"6918888888778"</f>
        <v>6918888888778</v>
      </c>
      <c r="L394" t="str">
        <f>"40740400"</f>
        <v>40740400</v>
      </c>
      <c r="M394" t="s">
        <v>21</v>
      </c>
      <c r="N394" s="1">
        <v>43125.64166666667</v>
      </c>
      <c r="O394" t="s">
        <v>19</v>
      </c>
    </row>
    <row r="395" spans="1:15" x14ac:dyDescent="0.25">
      <c r="A395" t="s">
        <v>313</v>
      </c>
      <c r="B395" t="s">
        <v>15</v>
      </c>
      <c r="C395" t="s">
        <v>30</v>
      </c>
      <c r="D395" t="s">
        <v>17</v>
      </c>
      <c r="E395" t="s">
        <v>18</v>
      </c>
      <c r="F395" t="s">
        <v>19</v>
      </c>
      <c r="G395" t="s">
        <v>20</v>
      </c>
      <c r="J395" t="s">
        <v>17</v>
      </c>
      <c r="K395" t="str">
        <f>"7809601112357"</f>
        <v>7809601112357</v>
      </c>
      <c r="L395" t="str">
        <f>"92740068"</f>
        <v>92740068</v>
      </c>
      <c r="M395" t="s">
        <v>21</v>
      </c>
      <c r="N395" s="1">
        <v>44453.62222222222</v>
      </c>
      <c r="O395" t="s">
        <v>19</v>
      </c>
    </row>
    <row r="396" spans="1:15" x14ac:dyDescent="0.25">
      <c r="A396" t="s">
        <v>314</v>
      </c>
      <c r="B396" t="s">
        <v>15</v>
      </c>
      <c r="C396" t="s">
        <v>30</v>
      </c>
      <c r="D396" t="s">
        <v>17</v>
      </c>
      <c r="E396" t="s">
        <v>18</v>
      </c>
      <c r="F396" t="s">
        <v>19</v>
      </c>
      <c r="G396" t="s">
        <v>20</v>
      </c>
      <c r="J396" t="s">
        <v>17</v>
      </c>
      <c r="K396" t="str">
        <f>"6927900077533"</f>
        <v>6927900077533</v>
      </c>
      <c r="L396" t="str">
        <f>"987407753"</f>
        <v>987407753</v>
      </c>
      <c r="M396" t="s">
        <v>84</v>
      </c>
      <c r="N396" s="1">
        <v>43369.716666666667</v>
      </c>
      <c r="O396" t="s">
        <v>19</v>
      </c>
    </row>
    <row r="397" spans="1:15" x14ac:dyDescent="0.25">
      <c r="A397" t="s">
        <v>315</v>
      </c>
      <c r="B397" t="s">
        <v>15</v>
      </c>
      <c r="C397" t="s">
        <v>30</v>
      </c>
      <c r="D397" t="s">
        <v>17</v>
      </c>
      <c r="E397" t="s">
        <v>18</v>
      </c>
      <c r="F397" t="s">
        <v>19</v>
      </c>
      <c r="G397" t="s">
        <v>20</v>
      </c>
      <c r="J397" t="s">
        <v>17</v>
      </c>
      <c r="K397" t="str">
        <f>"22740300"</f>
        <v>22740300</v>
      </c>
      <c r="L397" t="str">
        <f>"22740300"</f>
        <v>22740300</v>
      </c>
      <c r="M397" t="s">
        <v>21</v>
      </c>
      <c r="N397" s="1">
        <v>43195.644444444442</v>
      </c>
      <c r="O397" t="s">
        <v>19</v>
      </c>
    </row>
    <row r="398" spans="1:15" x14ac:dyDescent="0.25">
      <c r="A398" t="s">
        <v>316</v>
      </c>
      <c r="B398" t="s">
        <v>15</v>
      </c>
      <c r="C398" t="s">
        <v>30</v>
      </c>
      <c r="D398" t="s">
        <v>17</v>
      </c>
      <c r="E398" t="s">
        <v>18</v>
      </c>
      <c r="F398" t="s">
        <v>19</v>
      </c>
      <c r="G398" t="s">
        <v>20</v>
      </c>
      <c r="J398" t="s">
        <v>18</v>
      </c>
      <c r="K398" t="str">
        <f>"7858816009952"</f>
        <v>7858816009952</v>
      </c>
      <c r="L398" t="str">
        <f>"87744126"</f>
        <v>87744126</v>
      </c>
      <c r="M398" t="s">
        <v>21</v>
      </c>
      <c r="N398" s="1">
        <v>43252.725694444445</v>
      </c>
      <c r="O398" t="s">
        <v>19</v>
      </c>
    </row>
    <row r="399" spans="1:15" x14ac:dyDescent="0.25">
      <c r="A399" t="s">
        <v>317</v>
      </c>
      <c r="B399" t="s">
        <v>15</v>
      </c>
      <c r="C399" t="s">
        <v>30</v>
      </c>
      <c r="D399" t="s">
        <v>17</v>
      </c>
      <c r="E399" t="s">
        <v>18</v>
      </c>
      <c r="F399" t="s">
        <v>19</v>
      </c>
      <c r="G399" t="s">
        <v>20</v>
      </c>
      <c r="J399" t="s">
        <v>17</v>
      </c>
      <c r="K399" t="str">
        <f>"7858816045288"</f>
        <v>7858816045288</v>
      </c>
      <c r="L399" t="str">
        <f>"87744528"</f>
        <v>87744528</v>
      </c>
      <c r="M399" t="s">
        <v>21</v>
      </c>
      <c r="N399" s="1">
        <v>44404.722916666666</v>
      </c>
      <c r="O399" t="s">
        <v>19</v>
      </c>
    </row>
    <row r="400" spans="1:15" x14ac:dyDescent="0.25">
      <c r="A400" t="s">
        <v>318</v>
      </c>
      <c r="B400" t="s">
        <v>15</v>
      </c>
      <c r="C400" t="s">
        <v>30</v>
      </c>
      <c r="D400" t="s">
        <v>17</v>
      </c>
      <c r="E400" t="s">
        <v>18</v>
      </c>
      <c r="F400" t="s">
        <v>19</v>
      </c>
      <c r="G400" t="s">
        <v>20</v>
      </c>
      <c r="J400" t="s">
        <v>17</v>
      </c>
      <c r="K400" t="str">
        <f>"6959110816800"</f>
        <v>6959110816800</v>
      </c>
      <c r="L400" t="str">
        <f>"87001414"</f>
        <v>87001414</v>
      </c>
      <c r="M400" t="s">
        <v>75</v>
      </c>
      <c r="N400" s="1">
        <v>42872.847222222219</v>
      </c>
      <c r="O400" t="s">
        <v>19</v>
      </c>
    </row>
    <row r="401" spans="1:15" x14ac:dyDescent="0.25">
      <c r="A401" t="s">
        <v>318</v>
      </c>
      <c r="B401" t="s">
        <v>15</v>
      </c>
      <c r="C401" t="s">
        <v>30</v>
      </c>
      <c r="D401" t="s">
        <v>17</v>
      </c>
      <c r="E401" t="s">
        <v>18</v>
      </c>
      <c r="F401" t="s">
        <v>19</v>
      </c>
      <c r="G401" t="s">
        <v>20</v>
      </c>
      <c r="J401" t="s">
        <v>17</v>
      </c>
      <c r="K401" t="str">
        <f>"7858816053313"</f>
        <v>7858816053313</v>
      </c>
      <c r="L401" t="str">
        <f>"87745331"</f>
        <v>87745331</v>
      </c>
      <c r="M401" t="s">
        <v>21</v>
      </c>
      <c r="N401" s="1">
        <v>42872.847222222219</v>
      </c>
      <c r="O401" t="s">
        <v>19</v>
      </c>
    </row>
    <row r="402" spans="1:15" x14ac:dyDescent="0.25">
      <c r="A402" t="s">
        <v>319</v>
      </c>
      <c r="B402" t="s">
        <v>15</v>
      </c>
      <c r="C402" t="s">
        <v>30</v>
      </c>
      <c r="D402" t="s">
        <v>17</v>
      </c>
      <c r="E402" t="s">
        <v>18</v>
      </c>
      <c r="F402" t="s">
        <v>19</v>
      </c>
      <c r="G402" t="s">
        <v>20</v>
      </c>
      <c r="J402" t="s">
        <v>17</v>
      </c>
      <c r="K402" t="str">
        <f>"7858816066856"</f>
        <v>7858816066856</v>
      </c>
      <c r="L402" t="str">
        <f>"87746685"</f>
        <v>87746685</v>
      </c>
      <c r="M402" t="s">
        <v>21</v>
      </c>
      <c r="N402" s="1">
        <v>43510.63958333333</v>
      </c>
      <c r="O402" t="s">
        <v>19</v>
      </c>
    </row>
    <row r="403" spans="1:15" x14ac:dyDescent="0.25">
      <c r="A403" t="s">
        <v>320</v>
      </c>
      <c r="B403" t="s">
        <v>15</v>
      </c>
      <c r="C403" t="s">
        <v>30</v>
      </c>
      <c r="D403" t="s">
        <v>17</v>
      </c>
      <c r="E403" t="s">
        <v>18</v>
      </c>
      <c r="F403" t="s">
        <v>19</v>
      </c>
      <c r="G403" t="s">
        <v>20</v>
      </c>
      <c r="J403" t="s">
        <v>17</v>
      </c>
      <c r="K403" t="str">
        <f>"7858816072192"</f>
        <v>7858816072192</v>
      </c>
      <c r="L403" t="str">
        <f>"87747219"</f>
        <v>87747219</v>
      </c>
      <c r="M403" t="s">
        <v>21</v>
      </c>
      <c r="N403" s="1">
        <v>44404.718055555553</v>
      </c>
      <c r="O403" t="s">
        <v>19</v>
      </c>
    </row>
    <row r="404" spans="1:15" x14ac:dyDescent="0.25">
      <c r="A404" t="s">
        <v>321</v>
      </c>
      <c r="B404" t="s">
        <v>15</v>
      </c>
      <c r="C404" t="s">
        <v>30</v>
      </c>
      <c r="D404" t="s">
        <v>17</v>
      </c>
      <c r="E404" t="s">
        <v>18</v>
      </c>
      <c r="F404" t="s">
        <v>19</v>
      </c>
      <c r="G404" t="s">
        <v>20</v>
      </c>
      <c r="J404" t="s">
        <v>17</v>
      </c>
      <c r="K404" t="str">
        <f>"7858816077418"</f>
        <v>7858816077418</v>
      </c>
      <c r="L404" t="str">
        <f>"87747741"</f>
        <v>87747741</v>
      </c>
      <c r="M404" t="s">
        <v>21</v>
      </c>
      <c r="N404" s="1">
        <v>43173.813888888886</v>
      </c>
      <c r="O404" t="s">
        <v>19</v>
      </c>
    </row>
    <row r="405" spans="1:15" x14ac:dyDescent="0.25">
      <c r="A405" t="s">
        <v>322</v>
      </c>
      <c r="B405" t="s">
        <v>15</v>
      </c>
      <c r="C405" t="s">
        <v>30</v>
      </c>
      <c r="D405" t="s">
        <v>17</v>
      </c>
      <c r="E405" t="s">
        <v>18</v>
      </c>
      <c r="F405" t="s">
        <v>19</v>
      </c>
      <c r="G405" t="s">
        <v>20</v>
      </c>
      <c r="J405" t="s">
        <v>17</v>
      </c>
      <c r="K405" t="str">
        <f>"7858816078514"</f>
        <v>7858816078514</v>
      </c>
      <c r="L405" t="str">
        <f>"87747551"</f>
        <v>87747551</v>
      </c>
      <c r="M405" t="s">
        <v>21</v>
      </c>
      <c r="N405" s="1">
        <v>43501.943749999999</v>
      </c>
      <c r="O405" t="s">
        <v>19</v>
      </c>
    </row>
    <row r="406" spans="1:15" x14ac:dyDescent="0.25">
      <c r="A406" t="s">
        <v>323</v>
      </c>
      <c r="B406" t="s">
        <v>15</v>
      </c>
      <c r="C406" t="s">
        <v>30</v>
      </c>
      <c r="D406" t="s">
        <v>17</v>
      </c>
      <c r="E406" t="s">
        <v>18</v>
      </c>
      <c r="F406" t="s">
        <v>19</v>
      </c>
      <c r="G406" t="s">
        <v>20</v>
      </c>
      <c r="H406" t="s">
        <v>8</v>
      </c>
      <c r="I406" t="s">
        <v>8</v>
      </c>
      <c r="J406" t="s">
        <v>17</v>
      </c>
      <c r="K406" t="str">
        <f>"7858816078507"</f>
        <v>7858816078507</v>
      </c>
      <c r="L406" t="str">
        <f>"87747850"</f>
        <v>87747850</v>
      </c>
      <c r="M406" t="s">
        <v>21</v>
      </c>
      <c r="N406" s="1">
        <v>43126.663194444445</v>
      </c>
      <c r="O406" t="s">
        <v>19</v>
      </c>
    </row>
    <row r="407" spans="1:15" x14ac:dyDescent="0.25">
      <c r="A407" t="s">
        <v>324</v>
      </c>
      <c r="B407" t="s">
        <v>15</v>
      </c>
      <c r="C407" t="s">
        <v>30</v>
      </c>
      <c r="D407" t="s">
        <v>17</v>
      </c>
      <c r="E407" t="s">
        <v>18</v>
      </c>
      <c r="F407" t="s">
        <v>19</v>
      </c>
      <c r="G407" t="s">
        <v>20</v>
      </c>
      <c r="J407" t="s">
        <v>17</v>
      </c>
      <c r="K407" t="str">
        <f>"7858816082603"</f>
        <v>7858816082603</v>
      </c>
      <c r="L407" t="str">
        <f>"87748260"</f>
        <v>87748260</v>
      </c>
      <c r="M407" t="s">
        <v>21</v>
      </c>
      <c r="N407" s="1">
        <v>44404.71597222222</v>
      </c>
      <c r="O407" t="s">
        <v>19</v>
      </c>
    </row>
    <row r="408" spans="1:15" x14ac:dyDescent="0.25">
      <c r="A408" t="s">
        <v>325</v>
      </c>
      <c r="B408" t="s">
        <v>15</v>
      </c>
      <c r="C408" t="s">
        <v>30</v>
      </c>
      <c r="D408" t="s">
        <v>17</v>
      </c>
      <c r="E408" t="s">
        <v>18</v>
      </c>
      <c r="F408" t="s">
        <v>19</v>
      </c>
      <c r="G408" t="s">
        <v>20</v>
      </c>
      <c r="J408" t="s">
        <v>17</v>
      </c>
      <c r="K408" t="str">
        <f>"7858816083020"</f>
        <v>7858816083020</v>
      </c>
      <c r="L408" t="str">
        <f>"87748302"</f>
        <v>87748302</v>
      </c>
      <c r="M408" t="s">
        <v>21</v>
      </c>
      <c r="N408" s="1">
        <v>44441.645138888889</v>
      </c>
      <c r="O408" t="s">
        <v>19</v>
      </c>
    </row>
    <row r="409" spans="1:15" x14ac:dyDescent="0.25">
      <c r="A409" t="s">
        <v>326</v>
      </c>
      <c r="B409" t="s">
        <v>15</v>
      </c>
      <c r="C409" t="s">
        <v>30</v>
      </c>
      <c r="D409" t="s">
        <v>17</v>
      </c>
      <c r="E409" t="s">
        <v>18</v>
      </c>
      <c r="F409" t="s">
        <v>19</v>
      </c>
      <c r="G409" t="s">
        <v>20</v>
      </c>
      <c r="J409" t="s">
        <v>17</v>
      </c>
      <c r="K409" t="str">
        <f>"7858816083815"</f>
        <v>7858816083815</v>
      </c>
      <c r="L409" t="str">
        <f>"87748381"</f>
        <v>87748381</v>
      </c>
      <c r="M409" t="s">
        <v>21</v>
      </c>
      <c r="N409" s="1">
        <v>44404.716666666667</v>
      </c>
      <c r="O409" t="s">
        <v>19</v>
      </c>
    </row>
    <row r="410" spans="1:15" x14ac:dyDescent="0.25">
      <c r="A410" t="s">
        <v>327</v>
      </c>
      <c r="B410" t="s">
        <v>15</v>
      </c>
      <c r="C410" t="s">
        <v>30</v>
      </c>
      <c r="D410" t="s">
        <v>17</v>
      </c>
      <c r="E410" t="s">
        <v>18</v>
      </c>
      <c r="F410" t="s">
        <v>19</v>
      </c>
      <c r="G410" t="s">
        <v>20</v>
      </c>
      <c r="J410" t="s">
        <v>17</v>
      </c>
      <c r="K410" t="str">
        <f>"7858816083822"</f>
        <v>7858816083822</v>
      </c>
      <c r="L410" t="str">
        <f>"87748382"</f>
        <v>87748382</v>
      </c>
      <c r="M410" t="s">
        <v>21</v>
      </c>
      <c r="N410" s="1">
        <v>44357.709722222222</v>
      </c>
      <c r="O410" t="s">
        <v>19</v>
      </c>
    </row>
    <row r="411" spans="1:15" x14ac:dyDescent="0.25">
      <c r="A411" t="s">
        <v>328</v>
      </c>
      <c r="B411" t="s">
        <v>15</v>
      </c>
      <c r="C411" t="s">
        <v>30</v>
      </c>
      <c r="D411" t="s">
        <v>17</v>
      </c>
      <c r="E411" t="s">
        <v>18</v>
      </c>
      <c r="F411" t="s">
        <v>19</v>
      </c>
      <c r="G411" t="s">
        <v>20</v>
      </c>
      <c r="J411" t="s">
        <v>17</v>
      </c>
      <c r="K411" t="str">
        <f>"7858816083839"</f>
        <v>7858816083839</v>
      </c>
      <c r="L411" t="str">
        <f>"87748383"</f>
        <v>87748383</v>
      </c>
      <c r="M411" t="s">
        <v>21</v>
      </c>
      <c r="N411" s="1">
        <v>44404.720833333333</v>
      </c>
      <c r="O411" t="s">
        <v>19</v>
      </c>
    </row>
    <row r="412" spans="1:15" x14ac:dyDescent="0.25">
      <c r="A412" t="s">
        <v>329</v>
      </c>
      <c r="B412" t="s">
        <v>15</v>
      </c>
      <c r="C412" t="s">
        <v>30</v>
      </c>
      <c r="D412" t="s">
        <v>17</v>
      </c>
      <c r="E412" t="s">
        <v>18</v>
      </c>
      <c r="F412" t="s">
        <v>19</v>
      </c>
      <c r="G412" t="s">
        <v>20</v>
      </c>
      <c r="J412" t="s">
        <v>17</v>
      </c>
      <c r="K412" t="str">
        <f>"7858816085239"</f>
        <v>7858816085239</v>
      </c>
      <c r="L412" t="str">
        <f>"87748523"</f>
        <v>87748523</v>
      </c>
      <c r="M412" t="s">
        <v>21</v>
      </c>
      <c r="N412" s="1">
        <v>44371.67083333333</v>
      </c>
      <c r="O412" t="s">
        <v>19</v>
      </c>
    </row>
    <row r="413" spans="1:15" x14ac:dyDescent="0.25">
      <c r="A413" t="s">
        <v>330</v>
      </c>
      <c r="B413" t="s">
        <v>15</v>
      </c>
      <c r="C413" t="s">
        <v>30</v>
      </c>
      <c r="D413" t="s">
        <v>17</v>
      </c>
      <c r="E413" t="s">
        <v>18</v>
      </c>
      <c r="F413" t="s">
        <v>19</v>
      </c>
      <c r="G413" t="s">
        <v>20</v>
      </c>
      <c r="J413" t="s">
        <v>17</v>
      </c>
      <c r="K413" t="str">
        <f>"7858816088933"</f>
        <v>7858816088933</v>
      </c>
      <c r="L413" t="str">
        <f>"87748893"</f>
        <v>87748893</v>
      </c>
      <c r="M413" t="s">
        <v>21</v>
      </c>
      <c r="N413" s="1">
        <v>44441.679166666669</v>
      </c>
      <c r="O413" t="s">
        <v>19</v>
      </c>
    </row>
    <row r="414" spans="1:15" x14ac:dyDescent="0.25">
      <c r="A414" t="s">
        <v>331</v>
      </c>
      <c r="B414" t="s">
        <v>15</v>
      </c>
      <c r="C414" t="s">
        <v>30</v>
      </c>
      <c r="D414" t="s">
        <v>17</v>
      </c>
      <c r="E414" t="s">
        <v>18</v>
      </c>
      <c r="F414" t="s">
        <v>19</v>
      </c>
      <c r="G414" t="s">
        <v>20</v>
      </c>
      <c r="J414" t="s">
        <v>17</v>
      </c>
      <c r="K414" t="str">
        <f>"7858816053320"</f>
        <v>7858816053320</v>
      </c>
      <c r="L414" t="str">
        <f>"87745332"</f>
        <v>87745332</v>
      </c>
      <c r="M414" t="s">
        <v>21</v>
      </c>
      <c r="N414" s="1">
        <v>43216.679861111108</v>
      </c>
      <c r="O414" t="s">
        <v>19</v>
      </c>
    </row>
    <row r="415" spans="1:15" x14ac:dyDescent="0.25">
      <c r="A415" t="s">
        <v>332</v>
      </c>
      <c r="B415" t="s">
        <v>15</v>
      </c>
      <c r="C415" t="s">
        <v>30</v>
      </c>
      <c r="D415" t="s">
        <v>17</v>
      </c>
      <c r="E415" t="s">
        <v>18</v>
      </c>
      <c r="F415" t="s">
        <v>19</v>
      </c>
      <c r="G415" t="s">
        <v>20</v>
      </c>
      <c r="J415" t="s">
        <v>17</v>
      </c>
      <c r="K415" t="str">
        <f>"7858816083808"</f>
        <v>7858816083808</v>
      </c>
      <c r="L415" t="str">
        <f>"87748380"</f>
        <v>87748380</v>
      </c>
      <c r="M415" t="s">
        <v>21</v>
      </c>
      <c r="N415" s="1">
        <v>44357.715277777781</v>
      </c>
      <c r="O415" t="s">
        <v>19</v>
      </c>
    </row>
    <row r="416" spans="1:15" x14ac:dyDescent="0.25">
      <c r="A416" t="s">
        <v>333</v>
      </c>
      <c r="B416" t="s">
        <v>15</v>
      </c>
      <c r="C416" t="s">
        <v>30</v>
      </c>
      <c r="D416" t="s">
        <v>17</v>
      </c>
      <c r="E416" t="s">
        <v>18</v>
      </c>
      <c r="F416" t="s">
        <v>19</v>
      </c>
      <c r="G416" t="s">
        <v>20</v>
      </c>
      <c r="J416" t="s">
        <v>17</v>
      </c>
      <c r="K416" t="str">
        <f>"6925281963056"</f>
        <v>6925281963056</v>
      </c>
      <c r="L416" t="str">
        <f>"92740115"</f>
        <v>92740115</v>
      </c>
      <c r="M416" t="s">
        <v>21</v>
      </c>
      <c r="N416" s="1">
        <v>42872.839583333334</v>
      </c>
      <c r="O416" t="s">
        <v>19</v>
      </c>
    </row>
    <row r="417" spans="1:15" x14ac:dyDescent="0.25">
      <c r="A417" t="s">
        <v>334</v>
      </c>
      <c r="B417" t="s">
        <v>15</v>
      </c>
      <c r="C417" t="s">
        <v>30</v>
      </c>
      <c r="D417" t="s">
        <v>17</v>
      </c>
      <c r="E417" t="s">
        <v>18</v>
      </c>
      <c r="F417" t="s">
        <v>19</v>
      </c>
      <c r="G417" t="s">
        <v>20</v>
      </c>
      <c r="J417" t="s">
        <v>17</v>
      </c>
      <c r="K417" t="str">
        <f>"6925281982804"</f>
        <v>6925281982804</v>
      </c>
      <c r="L417" t="str">
        <f>"92740510"</f>
        <v>92740510</v>
      </c>
      <c r="M417" t="s">
        <v>21</v>
      </c>
      <c r="N417" s="1">
        <v>44344.679166666669</v>
      </c>
      <c r="O417" t="s">
        <v>19</v>
      </c>
    </row>
    <row r="418" spans="1:15" x14ac:dyDescent="0.25">
      <c r="A418" t="s">
        <v>335</v>
      </c>
      <c r="B418" t="s">
        <v>15</v>
      </c>
      <c r="C418" t="s">
        <v>30</v>
      </c>
      <c r="D418" t="s">
        <v>17</v>
      </c>
      <c r="E418" t="s">
        <v>18</v>
      </c>
      <c r="F418" t="s">
        <v>19</v>
      </c>
      <c r="G418" t="s">
        <v>20</v>
      </c>
      <c r="J418" t="s">
        <v>17</v>
      </c>
      <c r="K418" t="str">
        <f>"6925281939952"</f>
        <v>6925281939952</v>
      </c>
      <c r="L418" t="str">
        <f>"63740500"</f>
        <v>63740500</v>
      </c>
      <c r="M418" t="s">
        <v>84</v>
      </c>
      <c r="N418" s="1">
        <v>43570.614583333336</v>
      </c>
      <c r="O418" t="s">
        <v>19</v>
      </c>
    </row>
    <row r="419" spans="1:15" x14ac:dyDescent="0.25">
      <c r="A419" t="s">
        <v>335</v>
      </c>
      <c r="B419" t="s">
        <v>15</v>
      </c>
      <c r="C419" t="s">
        <v>30</v>
      </c>
      <c r="D419" t="s">
        <v>17</v>
      </c>
      <c r="E419" t="s">
        <v>18</v>
      </c>
      <c r="F419" t="s">
        <v>19</v>
      </c>
      <c r="G419" t="s">
        <v>20</v>
      </c>
      <c r="J419" t="s">
        <v>17</v>
      </c>
      <c r="K419" t="str">
        <f>"6925281950025"</f>
        <v>6925281950025</v>
      </c>
      <c r="L419" t="str">
        <f>"92745348"</f>
        <v>92745348</v>
      </c>
      <c r="M419" t="s">
        <v>21</v>
      </c>
      <c r="N419" s="1">
        <v>43839.70208333333</v>
      </c>
      <c r="O419" t="s">
        <v>19</v>
      </c>
    </row>
    <row r="420" spans="1:15" x14ac:dyDescent="0.25">
      <c r="A420" t="s">
        <v>336</v>
      </c>
      <c r="B420" t="s">
        <v>15</v>
      </c>
      <c r="C420" t="s">
        <v>30</v>
      </c>
      <c r="D420" t="s">
        <v>17</v>
      </c>
      <c r="E420" t="s">
        <v>18</v>
      </c>
      <c r="F420" t="s">
        <v>19</v>
      </c>
      <c r="G420" t="s">
        <v>20</v>
      </c>
      <c r="J420" t="s">
        <v>17</v>
      </c>
      <c r="K420" t="str">
        <f>"021299194362"</f>
        <v>021299194362</v>
      </c>
      <c r="L420" t="str">
        <f>"98740115"</f>
        <v>98740115</v>
      </c>
      <c r="M420" t="s">
        <v>21</v>
      </c>
      <c r="N420" s="1">
        <v>44370.829861111109</v>
      </c>
      <c r="O420" t="s">
        <v>19</v>
      </c>
    </row>
    <row r="421" spans="1:15" x14ac:dyDescent="0.25">
      <c r="A421" t="s">
        <v>337</v>
      </c>
      <c r="B421" t="s">
        <v>15</v>
      </c>
      <c r="C421" t="s">
        <v>30</v>
      </c>
      <c r="D421" t="s">
        <v>17</v>
      </c>
      <c r="E421" t="s">
        <v>18</v>
      </c>
      <c r="F421" t="s">
        <v>19</v>
      </c>
      <c r="G421" t="s">
        <v>20</v>
      </c>
      <c r="J421" t="s">
        <v>17</v>
      </c>
      <c r="K421" t="str">
        <f>"177400160"</f>
        <v>177400160</v>
      </c>
      <c r="L421" t="str">
        <f>"177400160"</f>
        <v>177400160</v>
      </c>
      <c r="M421" t="s">
        <v>75</v>
      </c>
      <c r="N421" s="1">
        <v>42872.849305555559</v>
      </c>
      <c r="O421" t="s">
        <v>19</v>
      </c>
    </row>
    <row r="422" spans="1:15" x14ac:dyDescent="0.25">
      <c r="A422" t="s">
        <v>338</v>
      </c>
      <c r="B422" t="s">
        <v>15</v>
      </c>
      <c r="C422" t="s">
        <v>30</v>
      </c>
      <c r="D422" t="s">
        <v>17</v>
      </c>
      <c r="E422" t="s">
        <v>18</v>
      </c>
      <c r="F422" t="s">
        <v>19</v>
      </c>
      <c r="G422" t="s">
        <v>20</v>
      </c>
      <c r="J422" t="s">
        <v>17</v>
      </c>
      <c r="K422" t="str">
        <f>"17740180"</f>
        <v>17740180</v>
      </c>
      <c r="L422" t="str">
        <f>"17740180"</f>
        <v>17740180</v>
      </c>
      <c r="M422" t="s">
        <v>75</v>
      </c>
      <c r="N422" s="1">
        <v>42872.839583333334</v>
      </c>
      <c r="O422" t="s">
        <v>19</v>
      </c>
    </row>
    <row r="423" spans="1:15" x14ac:dyDescent="0.25">
      <c r="A423" t="s">
        <v>339</v>
      </c>
      <c r="B423" t="s">
        <v>15</v>
      </c>
      <c r="C423" t="s">
        <v>30</v>
      </c>
      <c r="D423" t="s">
        <v>17</v>
      </c>
      <c r="E423" t="s">
        <v>18</v>
      </c>
      <c r="F423" t="s">
        <v>19</v>
      </c>
      <c r="G423" t="s">
        <v>20</v>
      </c>
      <c r="J423" t="s">
        <v>17</v>
      </c>
      <c r="K423" t="str">
        <f>"87001150"</f>
        <v>87001150</v>
      </c>
      <c r="L423" t="str">
        <f>"87001150"</f>
        <v>87001150</v>
      </c>
      <c r="M423" t="s">
        <v>75</v>
      </c>
      <c r="N423" s="1">
        <v>42872.847222222219</v>
      </c>
      <c r="O423" t="s">
        <v>19</v>
      </c>
    </row>
    <row r="424" spans="1:15" x14ac:dyDescent="0.25">
      <c r="A424" t="s">
        <v>340</v>
      </c>
      <c r="B424" t="s">
        <v>15</v>
      </c>
      <c r="C424" t="s">
        <v>30</v>
      </c>
      <c r="D424" t="s">
        <v>17</v>
      </c>
      <c r="E424" t="s">
        <v>18</v>
      </c>
      <c r="F424" t="s">
        <v>19</v>
      </c>
      <c r="G424" t="s">
        <v>20</v>
      </c>
      <c r="J424" t="s">
        <v>17</v>
      </c>
      <c r="K424" t="str">
        <f>"6985176160151"</f>
        <v>6985176160151</v>
      </c>
      <c r="L424" t="str">
        <f>"81740015"</f>
        <v>81740015</v>
      </c>
      <c r="M424" t="s">
        <v>75</v>
      </c>
      <c r="N424" s="1">
        <v>42872.847222222219</v>
      </c>
      <c r="O424" t="s">
        <v>19</v>
      </c>
    </row>
    <row r="425" spans="1:15" x14ac:dyDescent="0.25">
      <c r="A425" t="s">
        <v>341</v>
      </c>
      <c r="B425" t="s">
        <v>15</v>
      </c>
      <c r="C425" t="s">
        <v>30</v>
      </c>
      <c r="D425" t="s">
        <v>17</v>
      </c>
      <c r="E425" t="s">
        <v>18</v>
      </c>
      <c r="F425" t="s">
        <v>19</v>
      </c>
      <c r="G425" t="s">
        <v>20</v>
      </c>
      <c r="J425" t="s">
        <v>17</v>
      </c>
      <c r="K425" t="str">
        <f>"731398522026"</f>
        <v>731398522026</v>
      </c>
      <c r="L425" t="str">
        <f>"98740522"</f>
        <v>98740522</v>
      </c>
      <c r="M425" t="s">
        <v>84</v>
      </c>
      <c r="N425" s="1">
        <v>43350.818749999999</v>
      </c>
      <c r="O425" t="s">
        <v>19</v>
      </c>
    </row>
    <row r="426" spans="1:15" x14ac:dyDescent="0.25">
      <c r="A426" t="s">
        <v>342</v>
      </c>
      <c r="B426" t="s">
        <v>15</v>
      </c>
      <c r="C426" t="s">
        <v>343</v>
      </c>
      <c r="D426" t="s">
        <v>17</v>
      </c>
      <c r="E426" t="s">
        <v>18</v>
      </c>
      <c r="F426" t="s">
        <v>19</v>
      </c>
      <c r="G426" t="s">
        <v>20</v>
      </c>
      <c r="J426" t="s">
        <v>17</v>
      </c>
      <c r="K426" t="str">
        <f>"6925871643160"</f>
        <v>6925871643160</v>
      </c>
      <c r="L426" t="str">
        <f>"22064316"</f>
        <v>22064316</v>
      </c>
      <c r="M426" t="s">
        <v>75</v>
      </c>
      <c r="N426" s="1">
        <v>43173.677777777775</v>
      </c>
      <c r="O426" t="s">
        <v>19</v>
      </c>
    </row>
    <row r="427" spans="1:15" x14ac:dyDescent="0.25">
      <c r="A427" t="s">
        <v>344</v>
      </c>
      <c r="B427" t="s">
        <v>15</v>
      </c>
      <c r="C427" t="s">
        <v>30</v>
      </c>
      <c r="D427" t="s">
        <v>17</v>
      </c>
      <c r="E427" t="s">
        <v>18</v>
      </c>
      <c r="F427" t="s">
        <v>19</v>
      </c>
      <c r="G427" t="s">
        <v>20</v>
      </c>
      <c r="J427" t="s">
        <v>17</v>
      </c>
      <c r="K427" t="str">
        <f>"025215502576"</f>
        <v>025215502576</v>
      </c>
      <c r="L427" t="str">
        <f>"60748338"</f>
        <v>60748338</v>
      </c>
      <c r="M427" t="s">
        <v>21</v>
      </c>
      <c r="N427" s="1">
        <v>43870.727083333331</v>
      </c>
      <c r="O427" t="s">
        <v>19</v>
      </c>
    </row>
    <row r="428" spans="1:15" x14ac:dyDescent="0.25">
      <c r="A428" t="s">
        <v>345</v>
      </c>
      <c r="B428" t="s">
        <v>15</v>
      </c>
      <c r="C428" t="s">
        <v>30</v>
      </c>
      <c r="D428" t="s">
        <v>17</v>
      </c>
      <c r="E428" t="s">
        <v>18</v>
      </c>
      <c r="F428" t="s">
        <v>19</v>
      </c>
      <c r="G428" t="s">
        <v>20</v>
      </c>
      <c r="J428" t="s">
        <v>17</v>
      </c>
      <c r="K428" t="str">
        <f>"025215502590"</f>
        <v>025215502590</v>
      </c>
      <c r="L428" t="str">
        <f>"60748340"</f>
        <v>60748340</v>
      </c>
      <c r="M428" t="s">
        <v>21</v>
      </c>
      <c r="N428" s="1">
        <v>43870.727777777778</v>
      </c>
      <c r="O428" t="s">
        <v>19</v>
      </c>
    </row>
    <row r="429" spans="1:15" x14ac:dyDescent="0.25">
      <c r="A429" t="s">
        <v>346</v>
      </c>
      <c r="B429" t="s">
        <v>15</v>
      </c>
      <c r="C429" t="s">
        <v>30</v>
      </c>
      <c r="D429" t="s">
        <v>17</v>
      </c>
      <c r="E429" t="s">
        <v>18</v>
      </c>
      <c r="F429" t="s">
        <v>19</v>
      </c>
      <c r="G429" t="s">
        <v>20</v>
      </c>
      <c r="J429" t="s">
        <v>17</v>
      </c>
      <c r="K429" t="str">
        <f>"025215502613"</f>
        <v>025215502613</v>
      </c>
      <c r="L429" t="str">
        <f>"60748342"</f>
        <v>60748342</v>
      </c>
      <c r="M429" t="s">
        <v>21</v>
      </c>
      <c r="N429" s="1">
        <v>43870.728472222225</v>
      </c>
      <c r="O429" t="s">
        <v>19</v>
      </c>
    </row>
    <row r="430" spans="1:15" x14ac:dyDescent="0.25">
      <c r="A430" t="s">
        <v>347</v>
      </c>
      <c r="B430" t="s">
        <v>15</v>
      </c>
      <c r="C430" t="s">
        <v>30</v>
      </c>
      <c r="D430" t="s">
        <v>17</v>
      </c>
      <c r="E430" t="s">
        <v>18</v>
      </c>
      <c r="F430" t="s">
        <v>19</v>
      </c>
      <c r="G430" t="s">
        <v>20</v>
      </c>
      <c r="J430" t="s">
        <v>17</v>
      </c>
      <c r="K430" t="str">
        <f>"025215502606"</f>
        <v>025215502606</v>
      </c>
      <c r="L430" t="str">
        <f>"30748341"</f>
        <v>30748341</v>
      </c>
      <c r="M430" t="s">
        <v>21</v>
      </c>
      <c r="N430" s="1">
        <v>43870.728472222225</v>
      </c>
      <c r="O430" t="s">
        <v>19</v>
      </c>
    </row>
    <row r="431" spans="1:15" x14ac:dyDescent="0.25">
      <c r="A431" t="s">
        <v>348</v>
      </c>
      <c r="B431" t="s">
        <v>15</v>
      </c>
      <c r="C431" t="s">
        <v>30</v>
      </c>
      <c r="D431" t="s">
        <v>17</v>
      </c>
      <c r="E431" t="s">
        <v>18</v>
      </c>
      <c r="F431" t="s">
        <v>19</v>
      </c>
      <c r="G431" t="s">
        <v>20</v>
      </c>
      <c r="J431" t="s">
        <v>17</v>
      </c>
      <c r="K431" t="str">
        <f>"025215503382"</f>
        <v>025215503382</v>
      </c>
      <c r="L431" t="str">
        <f>"60748420"</f>
        <v>60748420</v>
      </c>
      <c r="M431" t="s">
        <v>21</v>
      </c>
      <c r="N431" s="1">
        <v>43870.729861111111</v>
      </c>
      <c r="O431" t="s">
        <v>19</v>
      </c>
    </row>
    <row r="432" spans="1:15" x14ac:dyDescent="0.25">
      <c r="A432" t="s">
        <v>349</v>
      </c>
      <c r="B432" t="s">
        <v>15</v>
      </c>
      <c r="C432" t="s">
        <v>30</v>
      </c>
      <c r="D432" t="s">
        <v>17</v>
      </c>
      <c r="E432" t="s">
        <v>18</v>
      </c>
      <c r="F432" t="s">
        <v>19</v>
      </c>
      <c r="G432" t="s">
        <v>20</v>
      </c>
      <c r="J432" t="s">
        <v>17</v>
      </c>
      <c r="K432" t="str">
        <f>"025215503658"</f>
        <v>025215503658</v>
      </c>
      <c r="L432" t="str">
        <f>"60748447"</f>
        <v>60748447</v>
      </c>
      <c r="M432" t="s">
        <v>21</v>
      </c>
      <c r="N432" s="1">
        <v>43870.730555555558</v>
      </c>
      <c r="O432" t="s">
        <v>19</v>
      </c>
    </row>
    <row r="433" spans="1:15" x14ac:dyDescent="0.25">
      <c r="A433" t="s">
        <v>350</v>
      </c>
      <c r="B433" t="s">
        <v>15</v>
      </c>
      <c r="C433" t="s">
        <v>30</v>
      </c>
      <c r="D433" t="s">
        <v>17</v>
      </c>
      <c r="E433" t="s">
        <v>18</v>
      </c>
      <c r="F433" t="s">
        <v>19</v>
      </c>
      <c r="G433" t="s">
        <v>20</v>
      </c>
      <c r="J433" t="s">
        <v>17</v>
      </c>
      <c r="K433" t="str">
        <f>"025215503399"</f>
        <v>025215503399</v>
      </c>
      <c r="L433" t="str">
        <f>"60748421"</f>
        <v>60748421</v>
      </c>
      <c r="M433" t="s">
        <v>21</v>
      </c>
      <c r="N433" s="1">
        <v>43870.729861111111</v>
      </c>
      <c r="O433" t="s">
        <v>19</v>
      </c>
    </row>
    <row r="434" spans="1:15" x14ac:dyDescent="0.25">
      <c r="A434" t="s">
        <v>351</v>
      </c>
      <c r="B434" t="s">
        <v>15</v>
      </c>
      <c r="C434" t="s">
        <v>30</v>
      </c>
      <c r="D434" t="s">
        <v>17</v>
      </c>
      <c r="E434" t="s">
        <v>18</v>
      </c>
      <c r="F434" t="s">
        <v>19</v>
      </c>
      <c r="G434" t="s">
        <v>20</v>
      </c>
      <c r="J434" t="s">
        <v>17</v>
      </c>
      <c r="K434" t="str">
        <f>"025215500947"</f>
        <v>025215500947</v>
      </c>
      <c r="L434" t="str">
        <f>"60748175"</f>
        <v>60748175</v>
      </c>
      <c r="M434" t="s">
        <v>21</v>
      </c>
      <c r="N434" s="1">
        <v>43870.731249999997</v>
      </c>
      <c r="O434" t="s">
        <v>19</v>
      </c>
    </row>
    <row r="435" spans="1:15" x14ac:dyDescent="0.25">
      <c r="A435" t="s">
        <v>352</v>
      </c>
      <c r="B435" t="s">
        <v>15</v>
      </c>
      <c r="C435" t="s">
        <v>30</v>
      </c>
      <c r="D435" t="s">
        <v>17</v>
      </c>
      <c r="E435" t="s">
        <v>18</v>
      </c>
      <c r="F435" t="s">
        <v>19</v>
      </c>
      <c r="G435" t="s">
        <v>20</v>
      </c>
      <c r="J435" t="s">
        <v>17</v>
      </c>
      <c r="K435" t="str">
        <f>"025215442612"</f>
        <v>025215442612</v>
      </c>
      <c r="L435" t="str">
        <f>"60747305"</f>
        <v>60747305</v>
      </c>
      <c r="M435" t="s">
        <v>21</v>
      </c>
      <c r="N435" s="1">
        <v>43870.723611111112</v>
      </c>
      <c r="O435" t="s">
        <v>19</v>
      </c>
    </row>
    <row r="436" spans="1:15" x14ac:dyDescent="0.25">
      <c r="A436" t="s">
        <v>353</v>
      </c>
      <c r="B436" t="s">
        <v>15</v>
      </c>
      <c r="C436" t="s">
        <v>30</v>
      </c>
      <c r="D436" t="s">
        <v>17</v>
      </c>
      <c r="E436" t="s">
        <v>18</v>
      </c>
      <c r="F436" t="s">
        <v>19</v>
      </c>
      <c r="G436" t="s">
        <v>20</v>
      </c>
      <c r="J436" t="s">
        <v>17</v>
      </c>
      <c r="K436" t="str">
        <f>"025215443688"</f>
        <v>025215443688</v>
      </c>
      <c r="L436" t="str">
        <f>"60747304"</f>
        <v>60747304</v>
      </c>
      <c r="M436" t="s">
        <v>21</v>
      </c>
      <c r="N436" s="1">
        <v>43870.723611111112</v>
      </c>
      <c r="O436" t="s">
        <v>19</v>
      </c>
    </row>
    <row r="437" spans="1:15" x14ac:dyDescent="0.25">
      <c r="A437" t="s">
        <v>354</v>
      </c>
      <c r="B437" t="s">
        <v>15</v>
      </c>
      <c r="C437" t="s">
        <v>30</v>
      </c>
      <c r="D437" t="s">
        <v>17</v>
      </c>
      <c r="E437" t="s">
        <v>18</v>
      </c>
      <c r="F437" t="s">
        <v>19</v>
      </c>
      <c r="G437" t="s">
        <v>20</v>
      </c>
      <c r="J437" t="s">
        <v>17</v>
      </c>
      <c r="K437" t="str">
        <f>"10003258"</f>
        <v>10003258</v>
      </c>
      <c r="L437" t="str">
        <f>"10003258"</f>
        <v>10003258</v>
      </c>
      <c r="M437" t="s">
        <v>75</v>
      </c>
      <c r="N437" s="1">
        <v>42872.839583333334</v>
      </c>
      <c r="O437" t="s">
        <v>19</v>
      </c>
    </row>
    <row r="438" spans="1:15" x14ac:dyDescent="0.25">
      <c r="A438" t="s">
        <v>355</v>
      </c>
      <c r="B438" t="s">
        <v>15</v>
      </c>
      <c r="C438" t="s">
        <v>30</v>
      </c>
      <c r="D438" t="s">
        <v>17</v>
      </c>
      <c r="E438" t="s">
        <v>18</v>
      </c>
      <c r="F438" t="s">
        <v>19</v>
      </c>
      <c r="G438" t="s">
        <v>20</v>
      </c>
      <c r="J438" t="s">
        <v>17</v>
      </c>
      <c r="K438" t="str">
        <f>"6924494000213"</f>
        <v>6924494000213</v>
      </c>
      <c r="L438" t="str">
        <f>"27MXXMX800"</f>
        <v>27MXXMX800</v>
      </c>
      <c r="M438" t="s">
        <v>21</v>
      </c>
      <c r="N438" s="1">
        <v>43994.855555555558</v>
      </c>
      <c r="O438" t="s">
        <v>19</v>
      </c>
    </row>
    <row r="439" spans="1:15" x14ac:dyDescent="0.25">
      <c r="A439" t="s">
        <v>356</v>
      </c>
      <c r="B439" t="s">
        <v>15</v>
      </c>
      <c r="C439" t="s">
        <v>30</v>
      </c>
      <c r="D439" t="s">
        <v>17</v>
      </c>
      <c r="E439" t="s">
        <v>18</v>
      </c>
      <c r="F439" t="s">
        <v>19</v>
      </c>
      <c r="G439" t="s">
        <v>20</v>
      </c>
      <c r="J439" t="s">
        <v>17</v>
      </c>
      <c r="K439" t="str">
        <f>"7168227899258"</f>
        <v>7168227899258</v>
      </c>
      <c r="L439" t="str">
        <f>"27MXXTW9BK"</f>
        <v>27MXXTW9BK</v>
      </c>
      <c r="M439" t="s">
        <v>21</v>
      </c>
      <c r="N439" s="1">
        <v>44001.643055555556</v>
      </c>
      <c r="O439" t="s">
        <v>19</v>
      </c>
    </row>
    <row r="440" spans="1:15" x14ac:dyDescent="0.25">
      <c r="A440" t="s">
        <v>357</v>
      </c>
      <c r="B440" t="s">
        <v>15</v>
      </c>
      <c r="C440" t="s">
        <v>30</v>
      </c>
      <c r="D440" t="s">
        <v>17</v>
      </c>
      <c r="E440" t="s">
        <v>18</v>
      </c>
      <c r="F440" t="s">
        <v>19</v>
      </c>
      <c r="G440" t="s">
        <v>20</v>
      </c>
      <c r="J440" t="s">
        <v>17</v>
      </c>
      <c r="K440" t="str">
        <f>"6970476549309"</f>
        <v>6970476549309</v>
      </c>
      <c r="L440" t="str">
        <f>"76740013"</f>
        <v>76740013</v>
      </c>
      <c r="M440" t="s">
        <v>84</v>
      </c>
      <c r="N440" s="1">
        <v>43410.642361111109</v>
      </c>
      <c r="O440" t="s">
        <v>19</v>
      </c>
    </row>
    <row r="441" spans="1:15" x14ac:dyDescent="0.25">
      <c r="A441" t="s">
        <v>358</v>
      </c>
      <c r="B441" t="s">
        <v>15</v>
      </c>
      <c r="C441" t="s">
        <v>30</v>
      </c>
      <c r="D441" t="s">
        <v>17</v>
      </c>
      <c r="E441" t="s">
        <v>18</v>
      </c>
      <c r="F441" t="s">
        <v>19</v>
      </c>
      <c r="G441" t="s">
        <v>20</v>
      </c>
      <c r="J441" t="s">
        <v>17</v>
      </c>
      <c r="K441" t="str">
        <f>"5573400308373"</f>
        <v>5573400308373</v>
      </c>
      <c r="L441" t="str">
        <f>"76740460"</f>
        <v>76740460</v>
      </c>
      <c r="M441" t="s">
        <v>75</v>
      </c>
      <c r="N441" s="1">
        <v>43064.727083333331</v>
      </c>
      <c r="O441" t="s">
        <v>19</v>
      </c>
    </row>
    <row r="442" spans="1:15" x14ac:dyDescent="0.25">
      <c r="A442" t="s">
        <v>359</v>
      </c>
      <c r="B442" t="s">
        <v>15</v>
      </c>
      <c r="C442" t="s">
        <v>30</v>
      </c>
      <c r="D442" t="s">
        <v>17</v>
      </c>
      <c r="E442" t="s">
        <v>18</v>
      </c>
      <c r="F442" t="s">
        <v>19</v>
      </c>
      <c r="G442" t="s">
        <v>20</v>
      </c>
      <c r="J442" t="s">
        <v>17</v>
      </c>
      <c r="K442" t="str">
        <f>"76740006"</f>
        <v>76740006</v>
      </c>
      <c r="L442" t="str">
        <f>"76740006"</f>
        <v>76740006</v>
      </c>
      <c r="M442" t="s">
        <v>84</v>
      </c>
      <c r="N442" s="1">
        <v>43335.76666666667</v>
      </c>
      <c r="O442" t="s">
        <v>19</v>
      </c>
    </row>
    <row r="443" spans="1:15" x14ac:dyDescent="0.25">
      <c r="A443" t="s">
        <v>360</v>
      </c>
      <c r="B443" t="s">
        <v>15</v>
      </c>
      <c r="C443" t="s">
        <v>30</v>
      </c>
      <c r="D443" t="s">
        <v>17</v>
      </c>
      <c r="E443" t="s">
        <v>18</v>
      </c>
      <c r="F443" t="s">
        <v>19</v>
      </c>
      <c r="G443" t="s">
        <v>20</v>
      </c>
      <c r="J443" t="s">
        <v>17</v>
      </c>
      <c r="K443" t="str">
        <f>"6995411110124"</f>
        <v>6995411110124</v>
      </c>
      <c r="L443" t="str">
        <f>"76740015"</f>
        <v>76740015</v>
      </c>
      <c r="M443" t="s">
        <v>21</v>
      </c>
      <c r="N443" s="1">
        <v>44251.859027777777</v>
      </c>
      <c r="O443" t="s">
        <v>19</v>
      </c>
    </row>
    <row r="444" spans="1:15" x14ac:dyDescent="0.25">
      <c r="A444" t="s">
        <v>361</v>
      </c>
      <c r="B444" t="s">
        <v>15</v>
      </c>
      <c r="C444" t="s">
        <v>30</v>
      </c>
      <c r="D444" t="s">
        <v>17</v>
      </c>
      <c r="E444" t="s">
        <v>18</v>
      </c>
      <c r="F444" t="s">
        <v>19</v>
      </c>
      <c r="G444" t="s">
        <v>20</v>
      </c>
      <c r="J444" t="s">
        <v>17</v>
      </c>
      <c r="K444" t="str">
        <f>"6995411110131"</f>
        <v>6995411110131</v>
      </c>
      <c r="L444" t="str">
        <f>"76740002"</f>
        <v>76740002</v>
      </c>
      <c r="M444" t="s">
        <v>21</v>
      </c>
      <c r="N444" s="1">
        <v>44210.835416666669</v>
      </c>
      <c r="O444" t="s">
        <v>19</v>
      </c>
    </row>
    <row r="445" spans="1:15" x14ac:dyDescent="0.25">
      <c r="A445" t="s">
        <v>362</v>
      </c>
      <c r="B445" t="s">
        <v>15</v>
      </c>
      <c r="C445" t="s">
        <v>30</v>
      </c>
      <c r="D445" t="s">
        <v>17</v>
      </c>
      <c r="E445" t="s">
        <v>18</v>
      </c>
      <c r="F445" t="s">
        <v>19</v>
      </c>
      <c r="G445" t="s">
        <v>20</v>
      </c>
      <c r="J445" t="s">
        <v>17</v>
      </c>
      <c r="K445" t="str">
        <f>"7858816041303"</f>
        <v>7858816041303</v>
      </c>
      <c r="L445" t="str">
        <f>"87040035"</f>
        <v>87040035</v>
      </c>
      <c r="M445" t="s">
        <v>75</v>
      </c>
      <c r="N445" s="1">
        <v>43173.940972222219</v>
      </c>
      <c r="O445" t="s">
        <v>19</v>
      </c>
    </row>
    <row r="446" spans="1:15" x14ac:dyDescent="0.25">
      <c r="A446" t="s">
        <v>363</v>
      </c>
      <c r="B446" t="s">
        <v>15</v>
      </c>
      <c r="C446" t="s">
        <v>30</v>
      </c>
      <c r="D446" t="s">
        <v>17</v>
      </c>
      <c r="E446" t="s">
        <v>18</v>
      </c>
      <c r="F446" t="s">
        <v>19</v>
      </c>
      <c r="G446" t="s">
        <v>20</v>
      </c>
      <c r="J446" t="s">
        <v>17</v>
      </c>
      <c r="K446" t="str">
        <f>"6905631104094"</f>
        <v>6905631104094</v>
      </c>
      <c r="L446" t="str">
        <f>"40740047"</f>
        <v>40740047</v>
      </c>
      <c r="M446" t="s">
        <v>21</v>
      </c>
      <c r="N446" s="1">
        <v>44306.87222222222</v>
      </c>
      <c r="O446" t="s">
        <v>19</v>
      </c>
    </row>
    <row r="447" spans="1:15" x14ac:dyDescent="0.25">
      <c r="A447" t="s">
        <v>364</v>
      </c>
      <c r="B447" t="s">
        <v>15</v>
      </c>
      <c r="C447" t="s">
        <v>30</v>
      </c>
      <c r="D447" t="s">
        <v>17</v>
      </c>
      <c r="E447" t="s">
        <v>18</v>
      </c>
      <c r="F447" t="s">
        <v>19</v>
      </c>
      <c r="G447" t="s">
        <v>20</v>
      </c>
      <c r="J447" t="s">
        <v>17</v>
      </c>
      <c r="K447" t="str">
        <f>"10003812"</f>
        <v>10003812</v>
      </c>
      <c r="L447" t="str">
        <f>"10003812"</f>
        <v>10003812</v>
      </c>
      <c r="M447" t="s">
        <v>21</v>
      </c>
      <c r="N447" s="1">
        <v>44254.8</v>
      </c>
      <c r="O447" t="s">
        <v>19</v>
      </c>
    </row>
    <row r="448" spans="1:15" x14ac:dyDescent="0.25">
      <c r="A448" t="s">
        <v>365</v>
      </c>
      <c r="B448" t="s">
        <v>15</v>
      </c>
      <c r="C448" t="s">
        <v>30</v>
      </c>
      <c r="D448" t="s">
        <v>17</v>
      </c>
      <c r="E448" t="s">
        <v>18</v>
      </c>
      <c r="F448" t="s">
        <v>19</v>
      </c>
      <c r="G448" t="s">
        <v>20</v>
      </c>
      <c r="J448" t="s">
        <v>17</v>
      </c>
      <c r="K448" t="str">
        <f>"10003371"</f>
        <v>10003371</v>
      </c>
      <c r="L448" t="str">
        <f>"10003371"</f>
        <v>10003371</v>
      </c>
      <c r="M448" t="s">
        <v>84</v>
      </c>
      <c r="N448" s="1">
        <v>43377.720138888886</v>
      </c>
      <c r="O448" t="s">
        <v>19</v>
      </c>
    </row>
    <row r="449" spans="1:15" x14ac:dyDescent="0.25">
      <c r="A449" t="s">
        <v>366</v>
      </c>
      <c r="B449" t="s">
        <v>15</v>
      </c>
      <c r="C449" t="s">
        <v>30</v>
      </c>
      <c r="D449" t="s">
        <v>17</v>
      </c>
      <c r="E449" t="s">
        <v>18</v>
      </c>
      <c r="F449" t="s">
        <v>19</v>
      </c>
      <c r="G449" t="s">
        <v>20</v>
      </c>
      <c r="J449" t="s">
        <v>17</v>
      </c>
      <c r="K449" t="str">
        <f>"6948006251146"</f>
        <v>6948006251146</v>
      </c>
      <c r="L449" t="str">
        <f>"34740003"</f>
        <v>34740003</v>
      </c>
      <c r="M449" t="s">
        <v>21</v>
      </c>
      <c r="N449" s="1">
        <v>43668.836111111108</v>
      </c>
      <c r="O449" t="s">
        <v>19</v>
      </c>
    </row>
    <row r="450" spans="1:15" x14ac:dyDescent="0.25">
      <c r="A450" t="s">
        <v>367</v>
      </c>
      <c r="B450" t="s">
        <v>15</v>
      </c>
      <c r="C450" t="s">
        <v>30</v>
      </c>
      <c r="D450" t="s">
        <v>17</v>
      </c>
      <c r="E450" t="s">
        <v>18</v>
      </c>
      <c r="F450" t="s">
        <v>19</v>
      </c>
      <c r="G450" t="s">
        <v>20</v>
      </c>
      <c r="J450" t="s">
        <v>17</v>
      </c>
      <c r="K450" t="str">
        <f>"695613991831"</f>
        <v>695613991831</v>
      </c>
      <c r="L450" t="str">
        <f>"25745250"</f>
        <v>25745250</v>
      </c>
      <c r="M450" t="s">
        <v>21</v>
      </c>
      <c r="N450" s="1">
        <v>43404.656944444447</v>
      </c>
      <c r="O450" t="s">
        <v>19</v>
      </c>
    </row>
    <row r="451" spans="1:15" x14ac:dyDescent="0.25">
      <c r="A451" t="s">
        <v>367</v>
      </c>
      <c r="B451" t="s">
        <v>15</v>
      </c>
      <c r="C451" t="s">
        <v>30</v>
      </c>
      <c r="D451" t="s">
        <v>17</v>
      </c>
      <c r="E451" t="s">
        <v>18</v>
      </c>
      <c r="F451" t="s">
        <v>19</v>
      </c>
      <c r="G451" t="s">
        <v>20</v>
      </c>
      <c r="J451" t="s">
        <v>17</v>
      </c>
      <c r="K451" t="str">
        <f>"6925970709279"</f>
        <v>6925970709279</v>
      </c>
      <c r="L451" t="str">
        <f>"98740250"</f>
        <v>98740250</v>
      </c>
      <c r="M451" t="s">
        <v>21</v>
      </c>
      <c r="N451" s="1">
        <v>43495.73541666667</v>
      </c>
      <c r="O451" t="s">
        <v>19</v>
      </c>
    </row>
    <row r="452" spans="1:15" x14ac:dyDescent="0.25">
      <c r="A452" t="s">
        <v>367</v>
      </c>
      <c r="B452" t="s">
        <v>15</v>
      </c>
      <c r="C452" t="s">
        <v>30</v>
      </c>
      <c r="D452" t="s">
        <v>17</v>
      </c>
      <c r="E452" t="s">
        <v>18</v>
      </c>
      <c r="F452" t="s">
        <v>19</v>
      </c>
      <c r="G452" t="s">
        <v>20</v>
      </c>
      <c r="J452" t="s">
        <v>17</v>
      </c>
      <c r="K452" t="str">
        <f>"889446005738"</f>
        <v>889446005738</v>
      </c>
      <c r="L452" t="str">
        <f>"98745738"</f>
        <v>98745738</v>
      </c>
      <c r="M452" t="s">
        <v>21</v>
      </c>
      <c r="N452" s="1">
        <v>43748.586111111108</v>
      </c>
      <c r="O452" t="s">
        <v>19</v>
      </c>
    </row>
    <row r="453" spans="1:15" x14ac:dyDescent="0.25">
      <c r="A453" t="s">
        <v>368</v>
      </c>
      <c r="B453" t="s">
        <v>15</v>
      </c>
      <c r="C453" t="s">
        <v>30</v>
      </c>
      <c r="D453" t="s">
        <v>17</v>
      </c>
      <c r="E453" t="s">
        <v>18</v>
      </c>
      <c r="F453" t="s">
        <v>19</v>
      </c>
      <c r="G453" t="s">
        <v>20</v>
      </c>
      <c r="J453" t="s">
        <v>17</v>
      </c>
      <c r="K453" t="str">
        <f>"6959033842771"</f>
        <v>6959033842771</v>
      </c>
      <c r="L453" t="str">
        <f>"98741613"</f>
        <v>98741613</v>
      </c>
      <c r="M453" t="s">
        <v>21</v>
      </c>
      <c r="N453" s="1">
        <v>43706.645833333336</v>
      </c>
      <c r="O453" t="s">
        <v>19</v>
      </c>
    </row>
    <row r="454" spans="1:15" x14ac:dyDescent="0.25">
      <c r="A454" t="s">
        <v>369</v>
      </c>
      <c r="B454" t="s">
        <v>15</v>
      </c>
      <c r="C454" t="s">
        <v>30</v>
      </c>
      <c r="D454" t="s">
        <v>17</v>
      </c>
      <c r="E454" t="s">
        <v>18</v>
      </c>
      <c r="F454" t="s">
        <v>19</v>
      </c>
      <c r="G454" t="s">
        <v>20</v>
      </c>
      <c r="J454" t="s">
        <v>17</v>
      </c>
      <c r="K454" t="str">
        <f>"889446007381"</f>
        <v>889446007381</v>
      </c>
      <c r="L454" t="str">
        <f>"25743075"</f>
        <v>25743075</v>
      </c>
      <c r="M454" t="s">
        <v>21</v>
      </c>
      <c r="N454" s="1">
        <v>42872.839583333334</v>
      </c>
      <c r="O454" t="s">
        <v>19</v>
      </c>
    </row>
    <row r="455" spans="1:15" x14ac:dyDescent="0.25">
      <c r="A455" t="s">
        <v>370</v>
      </c>
      <c r="B455" t="s">
        <v>15</v>
      </c>
      <c r="C455" t="s">
        <v>30</v>
      </c>
      <c r="D455" t="s">
        <v>17</v>
      </c>
      <c r="E455" t="s">
        <v>18</v>
      </c>
      <c r="F455" t="s">
        <v>19</v>
      </c>
      <c r="G455" t="s">
        <v>20</v>
      </c>
      <c r="J455" t="s">
        <v>17</v>
      </c>
      <c r="K455" t="str">
        <f>"889446008418"</f>
        <v>889446008418</v>
      </c>
      <c r="L455" t="str">
        <f>"25743175"</f>
        <v>25743175</v>
      </c>
      <c r="M455" t="s">
        <v>21</v>
      </c>
      <c r="N455" s="1">
        <v>42872.839583333334</v>
      </c>
      <c r="O455" t="s">
        <v>19</v>
      </c>
    </row>
    <row r="456" spans="1:15" x14ac:dyDescent="0.25">
      <c r="A456" t="s">
        <v>371</v>
      </c>
      <c r="B456" t="s">
        <v>15</v>
      </c>
      <c r="C456" t="s">
        <v>30</v>
      </c>
      <c r="D456" t="s">
        <v>17</v>
      </c>
      <c r="E456" t="s">
        <v>18</v>
      </c>
      <c r="F456" t="s">
        <v>19</v>
      </c>
      <c r="G456" t="s">
        <v>20</v>
      </c>
      <c r="J456" t="s">
        <v>17</v>
      </c>
      <c r="K456" t="str">
        <f>"6951796856125"</f>
        <v>6951796856125</v>
      </c>
      <c r="L456" t="str">
        <f>"10002992"</f>
        <v>10002992</v>
      </c>
      <c r="M456" t="s">
        <v>21</v>
      </c>
      <c r="N456" s="1">
        <v>43612.611805555556</v>
      </c>
      <c r="O456" t="s">
        <v>19</v>
      </c>
    </row>
    <row r="457" spans="1:15" x14ac:dyDescent="0.25">
      <c r="A457" t="s">
        <v>372</v>
      </c>
      <c r="B457" t="s">
        <v>15</v>
      </c>
      <c r="C457" t="s">
        <v>30</v>
      </c>
      <c r="D457" t="s">
        <v>17</v>
      </c>
      <c r="E457" t="s">
        <v>18</v>
      </c>
      <c r="F457" t="s">
        <v>19</v>
      </c>
      <c r="G457" t="s">
        <v>20</v>
      </c>
      <c r="J457" t="s">
        <v>17</v>
      </c>
      <c r="K457" t="str">
        <f>"6957258105459"</f>
        <v>6957258105459</v>
      </c>
      <c r="L457" t="str">
        <f>"76740404"</f>
        <v>76740404</v>
      </c>
      <c r="M457" t="s">
        <v>75</v>
      </c>
      <c r="N457" s="1">
        <v>42872.847222222219</v>
      </c>
      <c r="O457" t="s">
        <v>19</v>
      </c>
    </row>
    <row r="458" spans="1:15" x14ac:dyDescent="0.25">
      <c r="A458" t="s">
        <v>373</v>
      </c>
      <c r="B458" t="s">
        <v>15</v>
      </c>
      <c r="C458" t="s">
        <v>30</v>
      </c>
      <c r="D458" t="s">
        <v>17</v>
      </c>
      <c r="E458" t="s">
        <v>18</v>
      </c>
      <c r="F458" t="s">
        <v>19</v>
      </c>
      <c r="G458" t="s">
        <v>20</v>
      </c>
      <c r="J458" t="s">
        <v>17</v>
      </c>
      <c r="K458" t="str">
        <f>"6987457845160"</f>
        <v>6987457845160</v>
      </c>
      <c r="L458" t="str">
        <f>"34740016"</f>
        <v>34740016</v>
      </c>
      <c r="M458" t="s">
        <v>75</v>
      </c>
      <c r="N458" s="1">
        <v>42894.832638888889</v>
      </c>
      <c r="O458" t="s">
        <v>19</v>
      </c>
    </row>
    <row r="459" spans="1:15" x14ac:dyDescent="0.25">
      <c r="A459" t="s">
        <v>374</v>
      </c>
      <c r="B459" t="s">
        <v>15</v>
      </c>
      <c r="C459" t="s">
        <v>30</v>
      </c>
      <c r="D459" t="s">
        <v>17</v>
      </c>
      <c r="E459" t="s">
        <v>18</v>
      </c>
      <c r="F459" t="s">
        <v>19</v>
      </c>
      <c r="G459" t="s">
        <v>20</v>
      </c>
      <c r="J459" t="s">
        <v>17</v>
      </c>
      <c r="K459" t="str">
        <f>"87000799"</f>
        <v>87000799</v>
      </c>
      <c r="L459" t="str">
        <f>"87000799"</f>
        <v>87000799</v>
      </c>
      <c r="M459" t="s">
        <v>75</v>
      </c>
      <c r="N459" s="1">
        <v>42872.847222222219</v>
      </c>
      <c r="O459" t="s">
        <v>19</v>
      </c>
    </row>
    <row r="460" spans="1:15" x14ac:dyDescent="0.25">
      <c r="A460" t="s">
        <v>375</v>
      </c>
      <c r="B460" t="s">
        <v>15</v>
      </c>
      <c r="C460" t="s">
        <v>30</v>
      </c>
      <c r="D460" t="s">
        <v>17</v>
      </c>
      <c r="E460" t="s">
        <v>18</v>
      </c>
      <c r="F460" t="s">
        <v>19</v>
      </c>
      <c r="G460" t="s">
        <v>20</v>
      </c>
      <c r="J460" t="s">
        <v>17</v>
      </c>
      <c r="K460" t="str">
        <f>"5000000506197"</f>
        <v>5000000506197</v>
      </c>
      <c r="L460" t="str">
        <f>"76746197"</f>
        <v>76746197</v>
      </c>
      <c r="M460" t="s">
        <v>75</v>
      </c>
      <c r="N460" s="1">
        <v>42986.950694444444</v>
      </c>
      <c r="O460" t="s">
        <v>19</v>
      </c>
    </row>
    <row r="461" spans="1:15" x14ac:dyDescent="0.25">
      <c r="A461" t="s">
        <v>376</v>
      </c>
      <c r="B461" t="s">
        <v>15</v>
      </c>
      <c r="C461" t="s">
        <v>30</v>
      </c>
      <c r="D461" t="s">
        <v>17</v>
      </c>
      <c r="E461" t="s">
        <v>18</v>
      </c>
      <c r="F461" t="s">
        <v>19</v>
      </c>
      <c r="G461" t="s">
        <v>20</v>
      </c>
      <c r="J461" t="s">
        <v>17</v>
      </c>
      <c r="K461" t="str">
        <f>"5000000506196"</f>
        <v>5000000506196</v>
      </c>
      <c r="L461" t="str">
        <f>"76746196"</f>
        <v>76746196</v>
      </c>
      <c r="M461" t="s">
        <v>75</v>
      </c>
      <c r="N461" s="1">
        <v>42986.918749999997</v>
      </c>
      <c r="O461" t="s">
        <v>19</v>
      </c>
    </row>
    <row r="462" spans="1:15" x14ac:dyDescent="0.25">
      <c r="A462" t="s">
        <v>377</v>
      </c>
      <c r="B462" t="s">
        <v>15</v>
      </c>
      <c r="C462" t="s">
        <v>30</v>
      </c>
      <c r="D462" t="s">
        <v>17</v>
      </c>
      <c r="E462" t="s">
        <v>18</v>
      </c>
      <c r="F462" t="s">
        <v>19</v>
      </c>
      <c r="G462" t="s">
        <v>20</v>
      </c>
      <c r="J462" t="s">
        <v>17</v>
      </c>
      <c r="K462" t="str">
        <f>"5000000506195"</f>
        <v>5000000506195</v>
      </c>
      <c r="L462" t="str">
        <f>"76746195"</f>
        <v>76746195</v>
      </c>
      <c r="M462" t="s">
        <v>75</v>
      </c>
      <c r="N462" s="1">
        <v>42986.948611111111</v>
      </c>
      <c r="O462" t="s">
        <v>19</v>
      </c>
    </row>
    <row r="463" spans="1:15" x14ac:dyDescent="0.25">
      <c r="A463" t="s">
        <v>378</v>
      </c>
      <c r="B463" t="s">
        <v>15</v>
      </c>
      <c r="C463" t="s">
        <v>30</v>
      </c>
      <c r="D463" t="s">
        <v>17</v>
      </c>
      <c r="E463" t="s">
        <v>18</v>
      </c>
      <c r="F463" t="s">
        <v>19</v>
      </c>
      <c r="G463" t="s">
        <v>20</v>
      </c>
      <c r="J463" t="s">
        <v>17</v>
      </c>
      <c r="K463" t="str">
        <f>"10352233"</f>
        <v>10352233</v>
      </c>
      <c r="L463" t="str">
        <f>"10352233"</f>
        <v>10352233</v>
      </c>
      <c r="M463" t="s">
        <v>75</v>
      </c>
      <c r="N463" s="1">
        <v>42965.899305555555</v>
      </c>
      <c r="O463" t="s">
        <v>19</v>
      </c>
    </row>
    <row r="464" spans="1:15" x14ac:dyDescent="0.25">
      <c r="A464" t="s">
        <v>379</v>
      </c>
      <c r="B464" t="s">
        <v>15</v>
      </c>
      <c r="C464" t="s">
        <v>30</v>
      </c>
      <c r="D464" t="s">
        <v>17</v>
      </c>
      <c r="E464" t="s">
        <v>18</v>
      </c>
      <c r="F464" t="s">
        <v>19</v>
      </c>
      <c r="G464" t="s">
        <v>20</v>
      </c>
      <c r="J464" t="s">
        <v>17</v>
      </c>
      <c r="K464" t="str">
        <f>"870301150"</f>
        <v>870301150</v>
      </c>
      <c r="L464" t="str">
        <f>"870301150"</f>
        <v>870301150</v>
      </c>
      <c r="M464" t="s">
        <v>75</v>
      </c>
      <c r="N464" s="1">
        <v>42872.849305555559</v>
      </c>
      <c r="O464" t="s">
        <v>19</v>
      </c>
    </row>
    <row r="465" spans="1:15" x14ac:dyDescent="0.25">
      <c r="A465" t="s">
        <v>380</v>
      </c>
      <c r="B465" t="s">
        <v>15</v>
      </c>
      <c r="C465" t="s">
        <v>225</v>
      </c>
      <c r="D465" t="s">
        <v>17</v>
      </c>
      <c r="E465" t="s">
        <v>18</v>
      </c>
      <c r="F465" t="s">
        <v>19</v>
      </c>
      <c r="G465" t="s">
        <v>20</v>
      </c>
      <c r="J465" t="s">
        <v>17</v>
      </c>
      <c r="K465" t="str">
        <f>"10102673"</f>
        <v>10102673</v>
      </c>
      <c r="L465" t="str">
        <f>"10102673"</f>
        <v>10102673</v>
      </c>
      <c r="M465" t="s">
        <v>75</v>
      </c>
      <c r="N465" s="1">
        <v>42872.839583333334</v>
      </c>
      <c r="O465" t="s">
        <v>19</v>
      </c>
    </row>
    <row r="466" spans="1:15" x14ac:dyDescent="0.25">
      <c r="A466" t="s">
        <v>381</v>
      </c>
      <c r="B466" t="s">
        <v>15</v>
      </c>
      <c r="C466" t="s">
        <v>30</v>
      </c>
      <c r="D466" t="s">
        <v>17</v>
      </c>
      <c r="E466" t="s">
        <v>18</v>
      </c>
      <c r="F466" t="s">
        <v>19</v>
      </c>
      <c r="G466" t="s">
        <v>20</v>
      </c>
      <c r="J466" t="s">
        <v>17</v>
      </c>
      <c r="K466" t="str">
        <f>"87001151"</f>
        <v>87001151</v>
      </c>
      <c r="L466" t="str">
        <f>"87001151"</f>
        <v>87001151</v>
      </c>
      <c r="M466" t="s">
        <v>75</v>
      </c>
      <c r="N466" s="1">
        <v>42872.847222222219</v>
      </c>
      <c r="O466" t="s">
        <v>19</v>
      </c>
    </row>
    <row r="467" spans="1:15" x14ac:dyDescent="0.25">
      <c r="A467" t="s">
        <v>382</v>
      </c>
      <c r="B467" t="s">
        <v>15</v>
      </c>
      <c r="C467" t="s">
        <v>30</v>
      </c>
      <c r="D467" t="s">
        <v>17</v>
      </c>
      <c r="E467" t="s">
        <v>18</v>
      </c>
      <c r="F467" t="s">
        <v>19</v>
      </c>
      <c r="G467" t="s">
        <v>20</v>
      </c>
      <c r="J467" t="s">
        <v>17</v>
      </c>
      <c r="K467" t="str">
        <f>"80003477"</f>
        <v>80003477</v>
      </c>
      <c r="L467" t="str">
        <f>"80003477"</f>
        <v>80003477</v>
      </c>
      <c r="M467" t="s">
        <v>75</v>
      </c>
      <c r="N467" s="1">
        <v>42872.847222222219</v>
      </c>
      <c r="O467" t="s">
        <v>19</v>
      </c>
    </row>
    <row r="468" spans="1:15" x14ac:dyDescent="0.25">
      <c r="A468" t="s">
        <v>383</v>
      </c>
      <c r="B468" t="s">
        <v>15</v>
      </c>
      <c r="C468" t="s">
        <v>30</v>
      </c>
      <c r="D468" t="s">
        <v>17</v>
      </c>
      <c r="E468" t="s">
        <v>18</v>
      </c>
      <c r="F468" t="s">
        <v>19</v>
      </c>
      <c r="G468" t="s">
        <v>20</v>
      </c>
      <c r="J468" t="s">
        <v>17</v>
      </c>
      <c r="K468" t="str">
        <f>"8669885001629"</f>
        <v>8669885001629</v>
      </c>
      <c r="L468" t="str">
        <f>"66001629"</f>
        <v>66001629</v>
      </c>
      <c r="M468" t="s">
        <v>75</v>
      </c>
      <c r="N468" s="1">
        <v>42872.847222222219</v>
      </c>
      <c r="O468" t="s">
        <v>19</v>
      </c>
    </row>
    <row r="469" spans="1:15" x14ac:dyDescent="0.25">
      <c r="A469" t="s">
        <v>384</v>
      </c>
      <c r="B469" t="s">
        <v>15</v>
      </c>
      <c r="C469" t="s">
        <v>30</v>
      </c>
      <c r="D469" t="s">
        <v>17</v>
      </c>
      <c r="E469" t="s">
        <v>18</v>
      </c>
      <c r="F469" t="s">
        <v>19</v>
      </c>
      <c r="G469" t="s">
        <v>20</v>
      </c>
      <c r="J469" t="s">
        <v>17</v>
      </c>
      <c r="K469" t="str">
        <f>"698180000000"</f>
        <v>698180000000</v>
      </c>
      <c r="L469" t="str">
        <f>"39740028"</f>
        <v>39740028</v>
      </c>
      <c r="M469" t="s">
        <v>21</v>
      </c>
      <c r="N469" s="1">
        <v>44351.90902777778</v>
      </c>
      <c r="O469" t="s">
        <v>19</v>
      </c>
    </row>
    <row r="470" spans="1:15" x14ac:dyDescent="0.25">
      <c r="A470" t="s">
        <v>385</v>
      </c>
      <c r="B470" t="s">
        <v>15</v>
      </c>
      <c r="C470" t="s">
        <v>343</v>
      </c>
      <c r="D470" t="s">
        <v>17</v>
      </c>
      <c r="E470" t="s">
        <v>18</v>
      </c>
      <c r="F470" t="s">
        <v>19</v>
      </c>
      <c r="G470" t="s">
        <v>20</v>
      </c>
      <c r="J470" t="s">
        <v>17</v>
      </c>
      <c r="K470" t="str">
        <f>"6933863822639"</f>
        <v>6933863822639</v>
      </c>
      <c r="L470" t="str">
        <f>"10351821"</f>
        <v>10351821</v>
      </c>
      <c r="M470" t="s">
        <v>75</v>
      </c>
      <c r="N470" s="1">
        <v>42965.901388888888</v>
      </c>
      <c r="O470" t="s">
        <v>19</v>
      </c>
    </row>
    <row r="471" spans="1:15" x14ac:dyDescent="0.25">
      <c r="A471" t="s">
        <v>386</v>
      </c>
      <c r="B471" t="s">
        <v>15</v>
      </c>
      <c r="C471" t="s">
        <v>225</v>
      </c>
      <c r="D471" t="s">
        <v>17</v>
      </c>
      <c r="E471" t="s">
        <v>18</v>
      </c>
      <c r="F471" t="s">
        <v>19</v>
      </c>
      <c r="G471" t="s">
        <v>20</v>
      </c>
      <c r="J471" t="s">
        <v>17</v>
      </c>
      <c r="K471" t="str">
        <f>"25700077"</f>
        <v>25700077</v>
      </c>
      <c r="L471" t="str">
        <f>"25700077"</f>
        <v>25700077</v>
      </c>
      <c r="M471" t="s">
        <v>75</v>
      </c>
      <c r="N471" s="1">
        <v>42872.839583333334</v>
      </c>
      <c r="O471" t="s">
        <v>19</v>
      </c>
    </row>
    <row r="472" spans="1:15" x14ac:dyDescent="0.25">
      <c r="A472" t="s">
        <v>387</v>
      </c>
      <c r="B472" t="s">
        <v>15</v>
      </c>
      <c r="C472" t="s">
        <v>30</v>
      </c>
      <c r="D472" t="s">
        <v>17</v>
      </c>
      <c r="E472" t="s">
        <v>18</v>
      </c>
      <c r="F472" t="s">
        <v>19</v>
      </c>
      <c r="G472" t="s">
        <v>20</v>
      </c>
      <c r="J472" t="s">
        <v>17</v>
      </c>
      <c r="K472" t="str">
        <f>"6927900010523"</f>
        <v>6927900010523</v>
      </c>
      <c r="L472" t="str">
        <f>"25747050"</f>
        <v>25747050</v>
      </c>
      <c r="M472" t="s">
        <v>21</v>
      </c>
      <c r="N472" s="1">
        <v>42872.839583333334</v>
      </c>
      <c r="O472" t="s">
        <v>19</v>
      </c>
    </row>
    <row r="473" spans="1:15" x14ac:dyDescent="0.25">
      <c r="A473" t="s">
        <v>388</v>
      </c>
      <c r="B473" t="s">
        <v>15</v>
      </c>
      <c r="C473" t="s">
        <v>30</v>
      </c>
      <c r="D473" t="s">
        <v>17</v>
      </c>
      <c r="E473" t="s">
        <v>18</v>
      </c>
      <c r="F473" t="s">
        <v>19</v>
      </c>
      <c r="G473" t="s">
        <v>20</v>
      </c>
      <c r="J473" t="s">
        <v>17</v>
      </c>
      <c r="K473" t="str">
        <f>"6927900010288"</f>
        <v>6927900010288</v>
      </c>
      <c r="L473" t="str">
        <f>"25744175"</f>
        <v>25744175</v>
      </c>
      <c r="M473" t="s">
        <v>21</v>
      </c>
      <c r="N473" s="1">
        <v>42872.839583333334</v>
      </c>
      <c r="O473" t="s">
        <v>19</v>
      </c>
    </row>
    <row r="474" spans="1:15" x14ac:dyDescent="0.25">
      <c r="A474" t="s">
        <v>388</v>
      </c>
      <c r="B474" t="s">
        <v>15</v>
      </c>
      <c r="C474" t="s">
        <v>30</v>
      </c>
      <c r="D474" t="s">
        <v>17</v>
      </c>
      <c r="E474" t="s">
        <v>18</v>
      </c>
      <c r="F474" t="s">
        <v>19</v>
      </c>
      <c r="G474" t="s">
        <v>20</v>
      </c>
      <c r="J474" t="s">
        <v>17</v>
      </c>
      <c r="K474" t="str">
        <f>"6927900010516"</f>
        <v>6927900010516</v>
      </c>
      <c r="L474" t="str">
        <f>"25740516"</f>
        <v>25740516</v>
      </c>
      <c r="M474" t="s">
        <v>21</v>
      </c>
      <c r="N474" s="1">
        <v>42872.847222222219</v>
      </c>
      <c r="O474" t="s">
        <v>19</v>
      </c>
    </row>
    <row r="475" spans="1:15" x14ac:dyDescent="0.25">
      <c r="A475" t="s">
        <v>389</v>
      </c>
      <c r="B475" t="s">
        <v>15</v>
      </c>
      <c r="C475" t="s">
        <v>30</v>
      </c>
      <c r="D475" t="s">
        <v>17</v>
      </c>
      <c r="E475" t="s">
        <v>18</v>
      </c>
      <c r="F475" t="s">
        <v>19</v>
      </c>
      <c r="G475" t="s">
        <v>20</v>
      </c>
      <c r="J475" t="s">
        <v>17</v>
      </c>
      <c r="K475" t="str">
        <f>"22740901"</f>
        <v>22740901</v>
      </c>
      <c r="L475" t="str">
        <f>"22740901"</f>
        <v>22740901</v>
      </c>
      <c r="M475" t="s">
        <v>21</v>
      </c>
      <c r="N475" s="1">
        <v>43063.822916666664</v>
      </c>
      <c r="O475" t="s">
        <v>19</v>
      </c>
    </row>
    <row r="476" spans="1:15" x14ac:dyDescent="0.25">
      <c r="A476" t="s">
        <v>390</v>
      </c>
      <c r="B476" t="s">
        <v>15</v>
      </c>
      <c r="C476" t="s">
        <v>30</v>
      </c>
      <c r="D476" t="s">
        <v>17</v>
      </c>
      <c r="E476" t="s">
        <v>18</v>
      </c>
      <c r="F476" t="s">
        <v>19</v>
      </c>
      <c r="G476" t="s">
        <v>20</v>
      </c>
      <c r="J476" t="s">
        <v>17</v>
      </c>
      <c r="K476" t="str">
        <f>"22740903"</f>
        <v>22740903</v>
      </c>
      <c r="L476" t="str">
        <f>"22740903"</f>
        <v>22740903</v>
      </c>
      <c r="M476" t="s">
        <v>21</v>
      </c>
      <c r="N476" s="1">
        <v>43853.823611111111</v>
      </c>
      <c r="O476" t="s">
        <v>19</v>
      </c>
    </row>
    <row r="477" spans="1:15" x14ac:dyDescent="0.25">
      <c r="A477" t="s">
        <v>391</v>
      </c>
      <c r="B477" t="s">
        <v>15</v>
      </c>
      <c r="C477" t="s">
        <v>30</v>
      </c>
      <c r="D477" t="s">
        <v>17</v>
      </c>
      <c r="E477" t="s">
        <v>18</v>
      </c>
      <c r="F477" t="s">
        <v>19</v>
      </c>
      <c r="G477" t="s">
        <v>20</v>
      </c>
      <c r="J477" t="s">
        <v>17</v>
      </c>
      <c r="K477" t="str">
        <f>"6925146993013"</f>
        <v>6925146993013</v>
      </c>
      <c r="L477" t="str">
        <f>"34743013"</f>
        <v>34743013</v>
      </c>
      <c r="M477" t="s">
        <v>21</v>
      </c>
      <c r="N477" s="1">
        <v>44285.837500000001</v>
      </c>
      <c r="O477" t="s">
        <v>19</v>
      </c>
    </row>
    <row r="478" spans="1:15" x14ac:dyDescent="0.25">
      <c r="A478" t="s">
        <v>392</v>
      </c>
      <c r="B478" t="s">
        <v>15</v>
      </c>
      <c r="C478" t="s">
        <v>30</v>
      </c>
      <c r="D478" t="s">
        <v>17</v>
      </c>
      <c r="E478" t="s">
        <v>18</v>
      </c>
      <c r="F478" t="s">
        <v>19</v>
      </c>
      <c r="G478" t="s">
        <v>20</v>
      </c>
      <c r="J478" t="s">
        <v>17</v>
      </c>
      <c r="K478" t="str">
        <f>"6925146993037"</f>
        <v>6925146993037</v>
      </c>
      <c r="L478" t="str">
        <f>"34743037"</f>
        <v>34743037</v>
      </c>
      <c r="M478" t="s">
        <v>21</v>
      </c>
      <c r="N478" s="1">
        <v>44285.832638888889</v>
      </c>
      <c r="O478" t="s">
        <v>19</v>
      </c>
    </row>
    <row r="479" spans="1:15" x14ac:dyDescent="0.25">
      <c r="A479" t="s">
        <v>393</v>
      </c>
      <c r="B479" t="s">
        <v>15</v>
      </c>
      <c r="C479" t="s">
        <v>30</v>
      </c>
      <c r="D479" t="s">
        <v>17</v>
      </c>
      <c r="E479" t="s">
        <v>18</v>
      </c>
      <c r="F479" t="s">
        <v>19</v>
      </c>
      <c r="G479" t="s">
        <v>20</v>
      </c>
      <c r="J479" t="s">
        <v>17</v>
      </c>
      <c r="K479" t="str">
        <f>"6925146993020"</f>
        <v>6925146993020</v>
      </c>
      <c r="L479" t="str">
        <f>"34743020"</f>
        <v>34743020</v>
      </c>
      <c r="M479" t="s">
        <v>21</v>
      </c>
      <c r="N479" s="1">
        <v>44285.837500000001</v>
      </c>
      <c r="O479" t="s">
        <v>19</v>
      </c>
    </row>
    <row r="480" spans="1:15" x14ac:dyDescent="0.25">
      <c r="A480" t="s">
        <v>394</v>
      </c>
      <c r="B480" t="s">
        <v>15</v>
      </c>
      <c r="C480" t="s">
        <v>30</v>
      </c>
      <c r="D480" t="s">
        <v>17</v>
      </c>
      <c r="E480" t="s">
        <v>18</v>
      </c>
      <c r="F480" t="s">
        <v>19</v>
      </c>
      <c r="G480" t="s">
        <v>20</v>
      </c>
      <c r="J480" t="s">
        <v>17</v>
      </c>
      <c r="K480" t="str">
        <f>"34740700"</f>
        <v>34740700</v>
      </c>
      <c r="L480" t="str">
        <f>"34740700"</f>
        <v>34740700</v>
      </c>
      <c r="M480" t="s">
        <v>21</v>
      </c>
      <c r="N480" s="1">
        <v>43668.834722222222</v>
      </c>
      <c r="O480" t="s">
        <v>19</v>
      </c>
    </row>
    <row r="481" spans="1:15" x14ac:dyDescent="0.25">
      <c r="A481" t="s">
        <v>395</v>
      </c>
      <c r="B481" t="s">
        <v>15</v>
      </c>
      <c r="C481" t="s">
        <v>30</v>
      </c>
      <c r="D481" t="s">
        <v>17</v>
      </c>
      <c r="E481" t="s">
        <v>18</v>
      </c>
      <c r="F481" t="s">
        <v>19</v>
      </c>
      <c r="G481" t="s">
        <v>20</v>
      </c>
      <c r="J481" t="s">
        <v>17</v>
      </c>
      <c r="K481" t="str">
        <f>"34740712"</f>
        <v>34740712</v>
      </c>
      <c r="L481" t="str">
        <f>"34740712"</f>
        <v>34740712</v>
      </c>
      <c r="M481" t="s">
        <v>21</v>
      </c>
      <c r="N481" s="1">
        <v>43865.709027777775</v>
      </c>
      <c r="O481" t="s">
        <v>19</v>
      </c>
    </row>
    <row r="482" spans="1:15" x14ac:dyDescent="0.25">
      <c r="A482" t="s">
        <v>395</v>
      </c>
      <c r="B482" t="s">
        <v>15</v>
      </c>
      <c r="C482" t="s">
        <v>30</v>
      </c>
      <c r="D482" t="s">
        <v>17</v>
      </c>
      <c r="E482" t="s">
        <v>18</v>
      </c>
      <c r="F482" t="s">
        <v>19</v>
      </c>
      <c r="G482" t="s">
        <v>20</v>
      </c>
      <c r="J482" t="s">
        <v>17</v>
      </c>
      <c r="K482" t="str">
        <f>"87740012"</f>
        <v>87740012</v>
      </c>
      <c r="L482" t="str">
        <f>"87740012"</f>
        <v>87740012</v>
      </c>
      <c r="M482" t="s">
        <v>21</v>
      </c>
      <c r="N482" s="1">
        <v>44357.713888888888</v>
      </c>
      <c r="O482" t="s">
        <v>19</v>
      </c>
    </row>
    <row r="483" spans="1:15" x14ac:dyDescent="0.25">
      <c r="A483" t="s">
        <v>396</v>
      </c>
      <c r="B483" t="s">
        <v>15</v>
      </c>
      <c r="C483" t="s">
        <v>30</v>
      </c>
      <c r="D483" t="s">
        <v>17</v>
      </c>
      <c r="E483" t="s">
        <v>18</v>
      </c>
      <c r="F483" t="s">
        <v>19</v>
      </c>
      <c r="G483" t="s">
        <v>20</v>
      </c>
      <c r="J483" t="s">
        <v>17</v>
      </c>
      <c r="K483" t="str">
        <f>"61740700"</f>
        <v>61740700</v>
      </c>
      <c r="L483" t="str">
        <f>"61740700"</f>
        <v>61740700</v>
      </c>
      <c r="M483" t="s">
        <v>84</v>
      </c>
      <c r="N483" s="1">
        <v>43463.959027777775</v>
      </c>
      <c r="O483" t="s">
        <v>19</v>
      </c>
    </row>
    <row r="484" spans="1:15" x14ac:dyDescent="0.25">
      <c r="A484" t="s">
        <v>397</v>
      </c>
      <c r="B484" t="s">
        <v>15</v>
      </c>
      <c r="C484" t="s">
        <v>30</v>
      </c>
      <c r="D484" t="s">
        <v>17</v>
      </c>
      <c r="E484" t="s">
        <v>18</v>
      </c>
      <c r="F484" t="s">
        <v>19</v>
      </c>
      <c r="G484" t="s">
        <v>20</v>
      </c>
      <c r="J484" t="s">
        <v>17</v>
      </c>
      <c r="K484" t="str">
        <f>"34740711"</f>
        <v>34740711</v>
      </c>
      <c r="L484" t="str">
        <f>"34740711"</f>
        <v>34740711</v>
      </c>
      <c r="M484" t="s">
        <v>21</v>
      </c>
      <c r="N484" s="1">
        <v>43719.827777777777</v>
      </c>
      <c r="O484" t="s">
        <v>19</v>
      </c>
    </row>
    <row r="485" spans="1:15" x14ac:dyDescent="0.25">
      <c r="A485" t="s">
        <v>397</v>
      </c>
      <c r="B485" t="s">
        <v>15</v>
      </c>
      <c r="C485" t="s">
        <v>30</v>
      </c>
      <c r="D485" t="s">
        <v>17</v>
      </c>
      <c r="E485" t="s">
        <v>18</v>
      </c>
      <c r="F485" t="s">
        <v>19</v>
      </c>
      <c r="G485" t="s">
        <v>20</v>
      </c>
      <c r="J485" t="s">
        <v>17</v>
      </c>
      <c r="K485" t="str">
        <f>"76740012"</f>
        <v>76740012</v>
      </c>
      <c r="L485" t="str">
        <f>"76740012"</f>
        <v>76740012</v>
      </c>
      <c r="M485" t="s">
        <v>21</v>
      </c>
      <c r="N485" s="1">
        <v>44210.836805555555</v>
      </c>
      <c r="O485" t="s">
        <v>19</v>
      </c>
    </row>
    <row r="486" spans="1:15" x14ac:dyDescent="0.25">
      <c r="A486" t="s">
        <v>397</v>
      </c>
      <c r="B486" t="s">
        <v>15</v>
      </c>
      <c r="C486" t="s">
        <v>30</v>
      </c>
      <c r="D486" t="s">
        <v>17</v>
      </c>
      <c r="E486" t="s">
        <v>18</v>
      </c>
      <c r="F486" t="s">
        <v>19</v>
      </c>
      <c r="G486" t="s">
        <v>20</v>
      </c>
      <c r="J486" t="s">
        <v>17</v>
      </c>
      <c r="K486" t="str">
        <f>"61740712"</f>
        <v>61740712</v>
      </c>
      <c r="L486" t="str">
        <f>"61740712"</f>
        <v>61740712</v>
      </c>
      <c r="M486" t="s">
        <v>21</v>
      </c>
      <c r="N486" s="1">
        <v>44253.568749999999</v>
      </c>
      <c r="O486" t="s">
        <v>19</v>
      </c>
    </row>
    <row r="487" spans="1:15" x14ac:dyDescent="0.25">
      <c r="A487" t="s">
        <v>398</v>
      </c>
      <c r="B487" t="s">
        <v>15</v>
      </c>
      <c r="C487" t="s">
        <v>30</v>
      </c>
      <c r="D487" t="s">
        <v>17</v>
      </c>
      <c r="E487" t="s">
        <v>18</v>
      </c>
      <c r="F487" t="s">
        <v>19</v>
      </c>
      <c r="G487" t="s">
        <v>20</v>
      </c>
      <c r="J487" t="s">
        <v>17</v>
      </c>
      <c r="K487" t="str">
        <f>"61740713"</f>
        <v>61740713</v>
      </c>
      <c r="L487" t="str">
        <f>"61740713"</f>
        <v>61740713</v>
      </c>
      <c r="M487" t="s">
        <v>21</v>
      </c>
      <c r="N487" s="1">
        <v>44253.570138888892</v>
      </c>
      <c r="O487" t="s">
        <v>19</v>
      </c>
    </row>
    <row r="488" spans="1:15" x14ac:dyDescent="0.25">
      <c r="A488" t="s">
        <v>399</v>
      </c>
      <c r="B488" t="s">
        <v>15</v>
      </c>
      <c r="C488" t="s">
        <v>30</v>
      </c>
      <c r="D488" t="s">
        <v>17</v>
      </c>
      <c r="E488" t="s">
        <v>18</v>
      </c>
      <c r="F488" t="s">
        <v>19</v>
      </c>
      <c r="G488" t="s">
        <v>20</v>
      </c>
      <c r="J488" t="s">
        <v>17</v>
      </c>
      <c r="K488" t="str">
        <f>"76740700"</f>
        <v>76740700</v>
      </c>
      <c r="L488" t="str">
        <f>"76740700"</f>
        <v>76740700</v>
      </c>
      <c r="M488" t="s">
        <v>84</v>
      </c>
      <c r="N488" s="1">
        <v>43409.731944444444</v>
      </c>
      <c r="O488" t="s">
        <v>19</v>
      </c>
    </row>
    <row r="489" spans="1:15" x14ac:dyDescent="0.25">
      <c r="A489" t="s">
        <v>400</v>
      </c>
      <c r="B489" t="s">
        <v>15</v>
      </c>
      <c r="C489" t="s">
        <v>30</v>
      </c>
      <c r="D489" t="s">
        <v>17</v>
      </c>
      <c r="E489" t="s">
        <v>18</v>
      </c>
      <c r="F489" t="s">
        <v>19</v>
      </c>
      <c r="G489" t="s">
        <v>20</v>
      </c>
      <c r="J489" t="s">
        <v>17</v>
      </c>
      <c r="K489" t="str">
        <f>"6970927521008"</f>
        <v>6970927521008</v>
      </c>
      <c r="L489" t="str">
        <f>"34740720"</f>
        <v>34740720</v>
      </c>
      <c r="M489" t="s">
        <v>21</v>
      </c>
      <c r="N489" s="1">
        <v>44285.828472222223</v>
      </c>
      <c r="O489" t="s">
        <v>19</v>
      </c>
    </row>
    <row r="490" spans="1:15" x14ac:dyDescent="0.25">
      <c r="A490" t="s">
        <v>401</v>
      </c>
      <c r="B490" t="s">
        <v>15</v>
      </c>
      <c r="C490" t="s">
        <v>30</v>
      </c>
      <c r="D490" t="s">
        <v>17</v>
      </c>
      <c r="E490" t="s">
        <v>18</v>
      </c>
      <c r="F490" t="s">
        <v>19</v>
      </c>
      <c r="G490" t="s">
        <v>20</v>
      </c>
      <c r="J490" t="s">
        <v>17</v>
      </c>
      <c r="K490" t="str">
        <f>"61740709"</f>
        <v>61740709</v>
      </c>
      <c r="L490" t="str">
        <f>"61740709"</f>
        <v>61740709</v>
      </c>
      <c r="M490" t="s">
        <v>21</v>
      </c>
      <c r="N490" s="1">
        <v>44253.571527777778</v>
      </c>
      <c r="O490" t="s">
        <v>19</v>
      </c>
    </row>
    <row r="491" spans="1:15" x14ac:dyDescent="0.25">
      <c r="A491" t="s">
        <v>402</v>
      </c>
      <c r="B491" t="s">
        <v>15</v>
      </c>
      <c r="C491" t="s">
        <v>30</v>
      </c>
      <c r="D491" t="s">
        <v>17</v>
      </c>
      <c r="E491" t="s">
        <v>18</v>
      </c>
      <c r="F491" t="s">
        <v>19</v>
      </c>
      <c r="G491" t="s">
        <v>20</v>
      </c>
      <c r="J491" t="s">
        <v>17</v>
      </c>
      <c r="K491" t="str">
        <f>"76740720"</f>
        <v>76740720</v>
      </c>
      <c r="L491" t="str">
        <f>"76740720"</f>
        <v>76740720</v>
      </c>
      <c r="M491" t="s">
        <v>21</v>
      </c>
      <c r="N491" s="1">
        <v>43719.828472222223</v>
      </c>
      <c r="O491" t="s">
        <v>19</v>
      </c>
    </row>
    <row r="492" spans="1:15" x14ac:dyDescent="0.25">
      <c r="A492" t="s">
        <v>403</v>
      </c>
      <c r="B492" t="s">
        <v>15</v>
      </c>
      <c r="C492" t="s">
        <v>30</v>
      </c>
      <c r="D492" t="s">
        <v>17</v>
      </c>
      <c r="E492" t="s">
        <v>18</v>
      </c>
      <c r="F492" t="s">
        <v>19</v>
      </c>
      <c r="G492" t="s">
        <v>20</v>
      </c>
      <c r="J492" t="s">
        <v>17</v>
      </c>
      <c r="K492" t="str">
        <f>"34740300"</f>
        <v>34740300</v>
      </c>
      <c r="L492" t="str">
        <f>"34740300"</f>
        <v>34740300</v>
      </c>
      <c r="M492" t="s">
        <v>21</v>
      </c>
      <c r="N492" s="1">
        <v>44285.829861111109</v>
      </c>
      <c r="O492" t="s">
        <v>19</v>
      </c>
    </row>
    <row r="493" spans="1:15" x14ac:dyDescent="0.25">
      <c r="A493" t="s">
        <v>404</v>
      </c>
      <c r="B493" t="s">
        <v>15</v>
      </c>
      <c r="C493" t="s">
        <v>30</v>
      </c>
      <c r="D493" t="s">
        <v>17</v>
      </c>
      <c r="E493" t="s">
        <v>18</v>
      </c>
      <c r="F493" t="s">
        <v>19</v>
      </c>
      <c r="G493" t="s">
        <v>20</v>
      </c>
      <c r="J493" t="s">
        <v>17</v>
      </c>
      <c r="K493" t="str">
        <f>"6017051512097"</f>
        <v>6017051512097</v>
      </c>
      <c r="L493" t="str">
        <f>"10001510"</f>
        <v>10001510</v>
      </c>
      <c r="M493" t="s">
        <v>84</v>
      </c>
      <c r="N493" s="1">
        <v>43546.609027777777</v>
      </c>
      <c r="O493" t="s">
        <v>19</v>
      </c>
    </row>
    <row r="494" spans="1:15" x14ac:dyDescent="0.25">
      <c r="A494" t="s">
        <v>405</v>
      </c>
      <c r="B494" t="s">
        <v>15</v>
      </c>
      <c r="C494" t="s">
        <v>30</v>
      </c>
      <c r="D494" t="s">
        <v>17</v>
      </c>
      <c r="E494" t="s">
        <v>18</v>
      </c>
      <c r="F494" t="s">
        <v>19</v>
      </c>
      <c r="G494" t="s">
        <v>20</v>
      </c>
      <c r="J494" t="s">
        <v>17</v>
      </c>
      <c r="K494" t="str">
        <f>"10001649"</f>
        <v>10001649</v>
      </c>
      <c r="L494" t="str">
        <f>"10001649"</f>
        <v>10001649</v>
      </c>
      <c r="M494" t="s">
        <v>84</v>
      </c>
      <c r="N494" s="1">
        <v>43546.643055555556</v>
      </c>
      <c r="O494" t="s">
        <v>19</v>
      </c>
    </row>
    <row r="495" spans="1:15" x14ac:dyDescent="0.25">
      <c r="A495" t="s">
        <v>406</v>
      </c>
      <c r="B495" t="s">
        <v>15</v>
      </c>
      <c r="C495" t="s">
        <v>30</v>
      </c>
      <c r="D495" t="s">
        <v>17</v>
      </c>
      <c r="E495" t="s">
        <v>18</v>
      </c>
      <c r="F495" t="s">
        <v>19</v>
      </c>
      <c r="G495" t="s">
        <v>20</v>
      </c>
      <c r="J495" t="s">
        <v>17</v>
      </c>
      <c r="K495" t="str">
        <f>"10000261"</f>
        <v>10000261</v>
      </c>
      <c r="L495" t="str">
        <f>"10000261"</f>
        <v>10000261</v>
      </c>
      <c r="M495" t="s">
        <v>84</v>
      </c>
      <c r="N495" s="1">
        <v>43532.856944444444</v>
      </c>
      <c r="O495" t="s">
        <v>19</v>
      </c>
    </row>
    <row r="496" spans="1:15" x14ac:dyDescent="0.25">
      <c r="A496" t="s">
        <v>407</v>
      </c>
      <c r="B496" t="s">
        <v>15</v>
      </c>
      <c r="C496" t="s">
        <v>30</v>
      </c>
      <c r="D496" t="s">
        <v>17</v>
      </c>
      <c r="E496" t="s">
        <v>18</v>
      </c>
      <c r="F496" t="s">
        <v>19</v>
      </c>
      <c r="G496" t="s">
        <v>20</v>
      </c>
      <c r="J496" t="s">
        <v>17</v>
      </c>
      <c r="K496" t="str">
        <f>"6925871642095"</f>
        <v>6925871642095</v>
      </c>
      <c r="L496" t="str">
        <f>"22744209"</f>
        <v>22744209</v>
      </c>
      <c r="M496" t="s">
        <v>21</v>
      </c>
      <c r="N496" s="1">
        <v>43644.73541666667</v>
      </c>
      <c r="O496" t="s">
        <v>19</v>
      </c>
    </row>
    <row r="497" spans="1:15" x14ac:dyDescent="0.25">
      <c r="A497" t="s">
        <v>408</v>
      </c>
      <c r="B497" t="s">
        <v>15</v>
      </c>
      <c r="C497" t="s">
        <v>30</v>
      </c>
      <c r="D497" t="s">
        <v>17</v>
      </c>
      <c r="E497" t="s">
        <v>18</v>
      </c>
      <c r="F497" t="s">
        <v>19</v>
      </c>
      <c r="G497" t="s">
        <v>20</v>
      </c>
      <c r="J497" t="s">
        <v>17</v>
      </c>
      <c r="K497" t="str">
        <f>"2018103554007"</f>
        <v>2018103554007</v>
      </c>
      <c r="L497" t="str">
        <f>"18745400"</f>
        <v>18745400</v>
      </c>
      <c r="M497" t="s">
        <v>21</v>
      </c>
      <c r="N497" s="1">
        <v>43595.923611111109</v>
      </c>
      <c r="O497" t="s">
        <v>19</v>
      </c>
    </row>
    <row r="498" spans="1:15" x14ac:dyDescent="0.25">
      <c r="A498" t="s">
        <v>409</v>
      </c>
      <c r="B498" t="s">
        <v>15</v>
      </c>
      <c r="C498" t="s">
        <v>30</v>
      </c>
      <c r="D498" t="s">
        <v>17</v>
      </c>
      <c r="E498" t="s">
        <v>18</v>
      </c>
      <c r="F498" t="s">
        <v>19</v>
      </c>
      <c r="G498" t="s">
        <v>20</v>
      </c>
      <c r="J498" t="s">
        <v>17</v>
      </c>
      <c r="K498" t="str">
        <f>"4710007713686"</f>
        <v>4710007713686</v>
      </c>
      <c r="L498" t="str">
        <f>"65033686"</f>
        <v>65033686</v>
      </c>
      <c r="M498" t="s">
        <v>75</v>
      </c>
      <c r="N498" s="1">
        <v>43067.890972222223</v>
      </c>
      <c r="O498" t="s">
        <v>19</v>
      </c>
    </row>
    <row r="499" spans="1:15" x14ac:dyDescent="0.25">
      <c r="A499" t="s">
        <v>410</v>
      </c>
      <c r="B499" t="s">
        <v>15</v>
      </c>
      <c r="C499" t="s">
        <v>30</v>
      </c>
      <c r="D499" t="s">
        <v>17</v>
      </c>
      <c r="E499" t="s">
        <v>18</v>
      </c>
      <c r="F499" t="s">
        <v>19</v>
      </c>
      <c r="G499" t="s">
        <v>20</v>
      </c>
      <c r="J499" t="s">
        <v>17</v>
      </c>
      <c r="K499" t="str">
        <f>"6842863133082"</f>
        <v>6842863133082</v>
      </c>
      <c r="L499" t="str">
        <f>"40740004"</f>
        <v>40740004</v>
      </c>
      <c r="M499" t="s">
        <v>21</v>
      </c>
      <c r="N499" s="1">
        <v>42941.674305555556</v>
      </c>
      <c r="O499" t="s">
        <v>19</v>
      </c>
    </row>
    <row r="500" spans="1:15" x14ac:dyDescent="0.25">
      <c r="A500" t="s">
        <v>411</v>
      </c>
      <c r="B500" t="s">
        <v>15</v>
      </c>
      <c r="C500" t="s">
        <v>30</v>
      </c>
      <c r="D500" t="s">
        <v>17</v>
      </c>
      <c r="E500" t="s">
        <v>18</v>
      </c>
      <c r="F500" t="s">
        <v>19</v>
      </c>
      <c r="G500" t="s">
        <v>20</v>
      </c>
      <c r="J500" t="s">
        <v>17</v>
      </c>
      <c r="K500" t="str">
        <f>"66001636"</f>
        <v>66001636</v>
      </c>
      <c r="L500" t="str">
        <f>"66001636"</f>
        <v>66001636</v>
      </c>
      <c r="M500" t="s">
        <v>75</v>
      </c>
      <c r="N500" s="1">
        <v>42872.847222222219</v>
      </c>
      <c r="O500" t="s">
        <v>19</v>
      </c>
    </row>
    <row r="501" spans="1:15" x14ac:dyDescent="0.25">
      <c r="A501" t="s">
        <v>412</v>
      </c>
      <c r="B501" t="s">
        <v>15</v>
      </c>
      <c r="C501" t="s">
        <v>30</v>
      </c>
      <c r="D501" t="s">
        <v>17</v>
      </c>
      <c r="E501" t="s">
        <v>18</v>
      </c>
      <c r="F501" t="s">
        <v>19</v>
      </c>
      <c r="G501" t="s">
        <v>20</v>
      </c>
      <c r="J501" t="s">
        <v>17</v>
      </c>
      <c r="K501" t="str">
        <f>"headphones'ledme'xt6"</f>
        <v>headphones'ledme'xt6</v>
      </c>
      <c r="L501" t="str">
        <f>"22740006"</f>
        <v>22740006</v>
      </c>
      <c r="M501" t="s">
        <v>21</v>
      </c>
      <c r="N501" s="1">
        <v>44341.807638888888</v>
      </c>
      <c r="O501" t="s">
        <v>19</v>
      </c>
    </row>
    <row r="502" spans="1:15" x14ac:dyDescent="0.25">
      <c r="A502" t="s">
        <v>413</v>
      </c>
      <c r="B502" t="s">
        <v>15</v>
      </c>
      <c r="C502" t="s">
        <v>225</v>
      </c>
      <c r="D502" t="s">
        <v>17</v>
      </c>
      <c r="E502" t="s">
        <v>18</v>
      </c>
      <c r="F502" t="s">
        <v>19</v>
      </c>
      <c r="G502" t="s">
        <v>20</v>
      </c>
      <c r="J502" t="s">
        <v>17</v>
      </c>
      <c r="K502" t="str">
        <f>"10000402"</f>
        <v>10000402</v>
      </c>
      <c r="L502" t="str">
        <f>"10000402"</f>
        <v>10000402</v>
      </c>
      <c r="M502" t="s">
        <v>75</v>
      </c>
      <c r="N502" s="1">
        <v>42872.839583333334</v>
      </c>
      <c r="O502" t="s">
        <v>19</v>
      </c>
    </row>
    <row r="503" spans="1:15" x14ac:dyDescent="0.25">
      <c r="A503" t="s">
        <v>414</v>
      </c>
      <c r="B503" t="s">
        <v>15</v>
      </c>
      <c r="C503" t="s">
        <v>225</v>
      </c>
      <c r="D503" t="s">
        <v>17</v>
      </c>
      <c r="E503" t="s">
        <v>18</v>
      </c>
      <c r="F503" t="s">
        <v>19</v>
      </c>
      <c r="G503" t="s">
        <v>20</v>
      </c>
      <c r="J503" t="s">
        <v>17</v>
      </c>
      <c r="K503" t="str">
        <f>"180022077034"</f>
        <v>180022077034</v>
      </c>
      <c r="L503" t="str">
        <f>"10109625"</f>
        <v>10109625</v>
      </c>
      <c r="M503" t="s">
        <v>75</v>
      </c>
      <c r="N503" s="1">
        <v>42872.839583333334</v>
      </c>
      <c r="O503" t="s">
        <v>19</v>
      </c>
    </row>
    <row r="504" spans="1:15" x14ac:dyDescent="0.25">
      <c r="A504" t="s">
        <v>415</v>
      </c>
      <c r="B504" t="s">
        <v>15</v>
      </c>
      <c r="C504" t="s">
        <v>225</v>
      </c>
      <c r="D504" t="s">
        <v>17</v>
      </c>
      <c r="E504" t="s">
        <v>18</v>
      </c>
      <c r="F504" t="s">
        <v>19</v>
      </c>
      <c r="G504" t="s">
        <v>20</v>
      </c>
      <c r="J504" t="s">
        <v>17</v>
      </c>
      <c r="K504" t="str">
        <f>"66027135"</f>
        <v>66027135</v>
      </c>
      <c r="L504" t="str">
        <f>"66027135"</f>
        <v>66027135</v>
      </c>
      <c r="M504" t="s">
        <v>75</v>
      </c>
      <c r="N504" s="1">
        <v>42872.847222222219</v>
      </c>
      <c r="O504" t="s">
        <v>19</v>
      </c>
    </row>
    <row r="505" spans="1:15" x14ac:dyDescent="0.25">
      <c r="A505" t="s">
        <v>416</v>
      </c>
      <c r="B505" t="s">
        <v>15</v>
      </c>
      <c r="C505" t="s">
        <v>225</v>
      </c>
      <c r="D505" t="s">
        <v>17</v>
      </c>
      <c r="E505" t="s">
        <v>18</v>
      </c>
      <c r="F505" t="s">
        <v>19</v>
      </c>
      <c r="G505" t="s">
        <v>20</v>
      </c>
      <c r="J505" t="s">
        <v>17</v>
      </c>
      <c r="K505" t="str">
        <f>"66002735"</f>
        <v>66002735</v>
      </c>
      <c r="L505" t="str">
        <f>"66002735"</f>
        <v>66002735</v>
      </c>
      <c r="M505" t="s">
        <v>75</v>
      </c>
      <c r="N505" s="1">
        <v>42872.847222222219</v>
      </c>
      <c r="O505" t="s">
        <v>19</v>
      </c>
    </row>
    <row r="506" spans="1:15" x14ac:dyDescent="0.25">
      <c r="A506" t="s">
        <v>417</v>
      </c>
      <c r="B506" t="s">
        <v>15</v>
      </c>
      <c r="C506" t="s">
        <v>225</v>
      </c>
      <c r="D506" t="s">
        <v>17</v>
      </c>
      <c r="E506" t="s">
        <v>18</v>
      </c>
      <c r="F506" t="s">
        <v>19</v>
      </c>
      <c r="G506" t="s">
        <v>20</v>
      </c>
      <c r="J506" t="s">
        <v>17</v>
      </c>
      <c r="K506" t="str">
        <f>"66002731"</f>
        <v>66002731</v>
      </c>
      <c r="L506" t="str">
        <f>"66002731"</f>
        <v>66002731</v>
      </c>
      <c r="M506" t="s">
        <v>75</v>
      </c>
      <c r="N506" s="1">
        <v>42872.847222222219</v>
      </c>
      <c r="O506" t="s">
        <v>19</v>
      </c>
    </row>
    <row r="507" spans="1:15" x14ac:dyDescent="0.25">
      <c r="A507" t="s">
        <v>418</v>
      </c>
      <c r="B507" t="s">
        <v>15</v>
      </c>
      <c r="C507" t="s">
        <v>225</v>
      </c>
      <c r="D507" t="s">
        <v>17</v>
      </c>
      <c r="E507" t="s">
        <v>18</v>
      </c>
      <c r="F507" t="s">
        <v>19</v>
      </c>
      <c r="G507" t="s">
        <v>20</v>
      </c>
      <c r="J507" t="s">
        <v>17</v>
      </c>
      <c r="K507" t="str">
        <f>"3325201512815"</f>
        <v>3325201512815</v>
      </c>
      <c r="L507" t="str">
        <f>"41030000"</f>
        <v>41030000</v>
      </c>
      <c r="M507" t="s">
        <v>75</v>
      </c>
      <c r="N507" s="1">
        <v>42895.722916666666</v>
      </c>
      <c r="O507" t="s">
        <v>19</v>
      </c>
    </row>
    <row r="508" spans="1:15" x14ac:dyDescent="0.25">
      <c r="A508" t="s">
        <v>419</v>
      </c>
      <c r="B508" t="s">
        <v>15</v>
      </c>
      <c r="C508" t="s">
        <v>225</v>
      </c>
      <c r="D508" t="s">
        <v>17</v>
      </c>
      <c r="E508" t="s">
        <v>18</v>
      </c>
      <c r="F508" t="s">
        <v>19</v>
      </c>
      <c r="G508" t="s">
        <v>20</v>
      </c>
      <c r="J508" t="s">
        <v>17</v>
      </c>
      <c r="K508" t="str">
        <f>"10003839"</f>
        <v>10003839</v>
      </c>
      <c r="L508" t="str">
        <f>"10003839"</f>
        <v>10003839</v>
      </c>
      <c r="M508" t="s">
        <v>75</v>
      </c>
      <c r="N508" s="1">
        <v>42872.839583333334</v>
      </c>
      <c r="O508" t="s">
        <v>19</v>
      </c>
    </row>
    <row r="509" spans="1:15" x14ac:dyDescent="0.25">
      <c r="A509" t="s">
        <v>420</v>
      </c>
      <c r="B509" t="s">
        <v>15</v>
      </c>
      <c r="C509" t="s">
        <v>225</v>
      </c>
      <c r="D509" t="s">
        <v>17</v>
      </c>
      <c r="E509" t="s">
        <v>18</v>
      </c>
      <c r="F509" t="s">
        <v>19</v>
      </c>
      <c r="G509" t="s">
        <v>20</v>
      </c>
      <c r="J509" t="s">
        <v>17</v>
      </c>
      <c r="K509" t="str">
        <f>"10003283"</f>
        <v>10003283</v>
      </c>
      <c r="L509" t="str">
        <f>"10003283"</f>
        <v>10003283</v>
      </c>
      <c r="M509" t="s">
        <v>75</v>
      </c>
      <c r="N509" s="1">
        <v>42872.839583333334</v>
      </c>
      <c r="O509" t="s">
        <v>19</v>
      </c>
    </row>
    <row r="510" spans="1:15" x14ac:dyDescent="0.25">
      <c r="A510" t="s">
        <v>421</v>
      </c>
      <c r="B510" t="s">
        <v>15</v>
      </c>
      <c r="C510" t="s">
        <v>225</v>
      </c>
      <c r="D510" t="s">
        <v>17</v>
      </c>
      <c r="E510" t="s">
        <v>18</v>
      </c>
      <c r="F510" t="s">
        <v>19</v>
      </c>
      <c r="G510" t="s">
        <v>20</v>
      </c>
      <c r="J510" t="s">
        <v>17</v>
      </c>
      <c r="K510" t="str">
        <f>"4710007726143"</f>
        <v>4710007726143</v>
      </c>
      <c r="L510" t="str">
        <f>"65036143"</f>
        <v>65036143</v>
      </c>
      <c r="M510" t="s">
        <v>75</v>
      </c>
      <c r="N510" s="1">
        <v>43029.663888888892</v>
      </c>
      <c r="O510" t="s">
        <v>19</v>
      </c>
    </row>
    <row r="511" spans="1:15" x14ac:dyDescent="0.25">
      <c r="A511" t="s">
        <v>422</v>
      </c>
      <c r="B511" t="s">
        <v>15</v>
      </c>
      <c r="C511" t="s">
        <v>225</v>
      </c>
      <c r="D511" t="s">
        <v>17</v>
      </c>
      <c r="E511" t="s">
        <v>18</v>
      </c>
      <c r="F511" t="s">
        <v>19</v>
      </c>
      <c r="G511" t="s">
        <v>20</v>
      </c>
      <c r="J511" t="s">
        <v>17</v>
      </c>
      <c r="K511" t="str">
        <f>"4710007726167"</f>
        <v>4710007726167</v>
      </c>
      <c r="L511" t="str">
        <f>"65036167"</f>
        <v>65036167</v>
      </c>
      <c r="M511" t="s">
        <v>75</v>
      </c>
      <c r="N511" s="1">
        <v>43029.678472222222</v>
      </c>
      <c r="O511" t="s">
        <v>19</v>
      </c>
    </row>
    <row r="512" spans="1:15" x14ac:dyDescent="0.25">
      <c r="A512" t="s">
        <v>423</v>
      </c>
      <c r="B512" t="s">
        <v>15</v>
      </c>
      <c r="C512" t="s">
        <v>225</v>
      </c>
      <c r="D512" t="s">
        <v>17</v>
      </c>
      <c r="E512" t="s">
        <v>18</v>
      </c>
      <c r="F512" t="s">
        <v>19</v>
      </c>
      <c r="G512" t="s">
        <v>20</v>
      </c>
      <c r="J512" t="s">
        <v>17</v>
      </c>
      <c r="K512" t="str">
        <f>"4710007726150"</f>
        <v>4710007726150</v>
      </c>
      <c r="L512" t="str">
        <f>"65036150"</f>
        <v>65036150</v>
      </c>
      <c r="M512" t="s">
        <v>75</v>
      </c>
      <c r="N512" s="1">
        <v>43029.688888888886</v>
      </c>
      <c r="O512" t="s">
        <v>19</v>
      </c>
    </row>
    <row r="513" spans="1:15" x14ac:dyDescent="0.25">
      <c r="A513" t="s">
        <v>424</v>
      </c>
      <c r="B513" t="s">
        <v>15</v>
      </c>
      <c r="C513" t="s">
        <v>225</v>
      </c>
      <c r="D513" t="s">
        <v>17</v>
      </c>
      <c r="E513" t="s">
        <v>18</v>
      </c>
      <c r="F513" t="s">
        <v>19</v>
      </c>
      <c r="G513" t="s">
        <v>20</v>
      </c>
      <c r="H513" t="s">
        <v>8</v>
      </c>
      <c r="I513" t="s">
        <v>8</v>
      </c>
      <c r="J513" t="s">
        <v>17</v>
      </c>
      <c r="K513" t="str">
        <f>"609585233744"</f>
        <v>609585233744</v>
      </c>
      <c r="L513" t="str">
        <f>"27PHL1200P"</f>
        <v>27PHL1200P</v>
      </c>
      <c r="M513" t="s">
        <v>21</v>
      </c>
      <c r="N513" s="1">
        <v>43805.804861111108</v>
      </c>
      <c r="O513" t="s">
        <v>19</v>
      </c>
    </row>
    <row r="514" spans="1:15" x14ac:dyDescent="0.25">
      <c r="A514" t="s">
        <v>425</v>
      </c>
      <c r="B514" t="s">
        <v>15</v>
      </c>
      <c r="C514" t="s">
        <v>225</v>
      </c>
      <c r="D514" t="s">
        <v>17</v>
      </c>
      <c r="E514" t="s">
        <v>18</v>
      </c>
      <c r="F514" t="s">
        <v>19</v>
      </c>
      <c r="G514" t="s">
        <v>20</v>
      </c>
      <c r="J514" t="s">
        <v>17</v>
      </c>
      <c r="K514" t="str">
        <f>"91101937"</f>
        <v>91101937</v>
      </c>
      <c r="L514" t="str">
        <f>"91101937"</f>
        <v>91101937</v>
      </c>
      <c r="M514" t="s">
        <v>75</v>
      </c>
      <c r="N514" s="1">
        <v>42872.847222222219</v>
      </c>
      <c r="O514" t="s">
        <v>19</v>
      </c>
    </row>
    <row r="515" spans="1:15" x14ac:dyDescent="0.25">
      <c r="A515" t="s">
        <v>426</v>
      </c>
      <c r="B515" t="s">
        <v>15</v>
      </c>
      <c r="C515" t="s">
        <v>225</v>
      </c>
      <c r="D515" t="s">
        <v>17</v>
      </c>
      <c r="E515" t="s">
        <v>18</v>
      </c>
      <c r="F515" t="s">
        <v>19</v>
      </c>
      <c r="G515" t="s">
        <v>20</v>
      </c>
      <c r="J515" t="s">
        <v>17</v>
      </c>
      <c r="K515" t="str">
        <f>"91101929"</f>
        <v>91101929</v>
      </c>
      <c r="L515" t="str">
        <f>"91101929"</f>
        <v>91101929</v>
      </c>
      <c r="M515" t="s">
        <v>75</v>
      </c>
      <c r="N515" s="1">
        <v>42872.847222222219</v>
      </c>
      <c r="O515" t="s">
        <v>19</v>
      </c>
    </row>
    <row r="516" spans="1:15" x14ac:dyDescent="0.25">
      <c r="A516" t="s">
        <v>427</v>
      </c>
      <c r="B516" t="s">
        <v>15</v>
      </c>
      <c r="C516" t="s">
        <v>225</v>
      </c>
      <c r="D516" t="s">
        <v>17</v>
      </c>
      <c r="E516" t="s">
        <v>18</v>
      </c>
      <c r="F516" t="s">
        <v>19</v>
      </c>
      <c r="G516" t="s">
        <v>20</v>
      </c>
      <c r="J516" t="s">
        <v>17</v>
      </c>
      <c r="K516" t="str">
        <f>"91101930"</f>
        <v>91101930</v>
      </c>
      <c r="L516" t="str">
        <f>"91101930"</f>
        <v>91101930</v>
      </c>
      <c r="M516" t="s">
        <v>75</v>
      </c>
      <c r="N516" s="1">
        <v>42872.847222222219</v>
      </c>
      <c r="O516" t="s">
        <v>19</v>
      </c>
    </row>
    <row r="517" spans="1:15" x14ac:dyDescent="0.25">
      <c r="A517" t="s">
        <v>428</v>
      </c>
      <c r="B517" t="s">
        <v>15</v>
      </c>
      <c r="C517" t="s">
        <v>225</v>
      </c>
      <c r="D517" t="s">
        <v>17</v>
      </c>
      <c r="E517" t="s">
        <v>18</v>
      </c>
      <c r="F517" t="s">
        <v>19</v>
      </c>
      <c r="G517" t="s">
        <v>20</v>
      </c>
      <c r="J517" t="s">
        <v>17</v>
      </c>
      <c r="K517" t="str">
        <f>"91101931"</f>
        <v>91101931</v>
      </c>
      <c r="L517" t="str">
        <f>"91101931"</f>
        <v>91101931</v>
      </c>
      <c r="M517" t="s">
        <v>75</v>
      </c>
      <c r="N517" s="1">
        <v>42872.847222222219</v>
      </c>
      <c r="O517" t="s">
        <v>19</v>
      </c>
    </row>
    <row r="518" spans="1:15" x14ac:dyDescent="0.25">
      <c r="A518" t="s">
        <v>429</v>
      </c>
      <c r="B518" t="s">
        <v>15</v>
      </c>
      <c r="C518" t="s">
        <v>225</v>
      </c>
      <c r="D518" t="s">
        <v>17</v>
      </c>
      <c r="E518" t="s">
        <v>18</v>
      </c>
      <c r="F518" t="s">
        <v>19</v>
      </c>
      <c r="G518" t="s">
        <v>20</v>
      </c>
      <c r="J518" t="s">
        <v>17</v>
      </c>
      <c r="K518" t="str">
        <f>"91101932"</f>
        <v>91101932</v>
      </c>
      <c r="L518" t="str">
        <f>"91101932"</f>
        <v>91101932</v>
      </c>
      <c r="M518" t="s">
        <v>75</v>
      </c>
      <c r="N518" s="1">
        <v>42872.847222222219</v>
      </c>
      <c r="O518" t="s">
        <v>19</v>
      </c>
    </row>
    <row r="519" spans="1:15" x14ac:dyDescent="0.25">
      <c r="A519" t="s">
        <v>430</v>
      </c>
      <c r="B519" t="s">
        <v>15</v>
      </c>
      <c r="C519" t="s">
        <v>225</v>
      </c>
      <c r="D519" t="s">
        <v>17</v>
      </c>
      <c r="E519" t="s">
        <v>18</v>
      </c>
      <c r="F519" t="s">
        <v>19</v>
      </c>
      <c r="G519" t="s">
        <v>20</v>
      </c>
      <c r="J519" t="s">
        <v>17</v>
      </c>
      <c r="K519" t="str">
        <f>"91101933"</f>
        <v>91101933</v>
      </c>
      <c r="L519" t="str">
        <f>"91101933"</f>
        <v>91101933</v>
      </c>
      <c r="M519" t="s">
        <v>75</v>
      </c>
      <c r="N519" s="1">
        <v>42872.847222222219</v>
      </c>
      <c r="O519" t="s">
        <v>19</v>
      </c>
    </row>
    <row r="520" spans="1:15" x14ac:dyDescent="0.25">
      <c r="A520" t="s">
        <v>431</v>
      </c>
      <c r="B520" t="s">
        <v>15</v>
      </c>
      <c r="C520" t="s">
        <v>225</v>
      </c>
      <c r="D520" t="s">
        <v>17</v>
      </c>
      <c r="E520" t="s">
        <v>18</v>
      </c>
      <c r="F520" t="s">
        <v>19</v>
      </c>
      <c r="G520" t="s">
        <v>20</v>
      </c>
      <c r="J520" t="s">
        <v>17</v>
      </c>
      <c r="K520" t="str">
        <f>"91101934"</f>
        <v>91101934</v>
      </c>
      <c r="L520" t="str">
        <f>"91101934"</f>
        <v>91101934</v>
      </c>
      <c r="M520" t="s">
        <v>75</v>
      </c>
      <c r="N520" s="1">
        <v>42872.847222222219</v>
      </c>
      <c r="O520" t="s">
        <v>19</v>
      </c>
    </row>
    <row r="521" spans="1:15" x14ac:dyDescent="0.25">
      <c r="A521" t="s">
        <v>432</v>
      </c>
      <c r="B521" t="s">
        <v>15</v>
      </c>
      <c r="C521" t="s">
        <v>225</v>
      </c>
      <c r="D521" t="s">
        <v>17</v>
      </c>
      <c r="E521" t="s">
        <v>18</v>
      </c>
      <c r="F521" t="s">
        <v>19</v>
      </c>
      <c r="G521" t="s">
        <v>20</v>
      </c>
      <c r="J521" t="s">
        <v>17</v>
      </c>
      <c r="K521" t="str">
        <f>"1000001090347"</f>
        <v>1000001090347</v>
      </c>
      <c r="L521" t="str">
        <f>"76030347"</f>
        <v>76030347</v>
      </c>
      <c r="M521" t="s">
        <v>84</v>
      </c>
      <c r="N521" s="1">
        <v>43377.913194444445</v>
      </c>
      <c r="O521" t="s">
        <v>19</v>
      </c>
    </row>
    <row r="522" spans="1:15" x14ac:dyDescent="0.25">
      <c r="A522" t="s">
        <v>433</v>
      </c>
      <c r="B522" t="s">
        <v>15</v>
      </c>
      <c r="C522" t="s">
        <v>225</v>
      </c>
      <c r="D522" t="s">
        <v>17</v>
      </c>
      <c r="E522" t="s">
        <v>18</v>
      </c>
      <c r="F522" t="s">
        <v>19</v>
      </c>
      <c r="G522" t="s">
        <v>20</v>
      </c>
      <c r="J522" t="s">
        <v>17</v>
      </c>
      <c r="K522" t="str">
        <f>"76030000"</f>
        <v>76030000</v>
      </c>
      <c r="L522" t="str">
        <f>"76030000"</f>
        <v>76030000</v>
      </c>
      <c r="M522" t="s">
        <v>75</v>
      </c>
      <c r="N522" s="1">
        <v>42872.847222222219</v>
      </c>
      <c r="O522" t="s">
        <v>19</v>
      </c>
    </row>
    <row r="523" spans="1:15" x14ac:dyDescent="0.25">
      <c r="A523" t="s">
        <v>434</v>
      </c>
      <c r="B523" t="s">
        <v>15</v>
      </c>
      <c r="C523" t="s">
        <v>30</v>
      </c>
      <c r="D523" t="s">
        <v>17</v>
      </c>
      <c r="E523" t="s">
        <v>18</v>
      </c>
      <c r="F523" t="s">
        <v>19</v>
      </c>
      <c r="G523" t="s">
        <v>20</v>
      </c>
      <c r="J523" t="s">
        <v>17</v>
      </c>
      <c r="K523" t="str">
        <f>"76740701"</f>
        <v>76740701</v>
      </c>
      <c r="L523" t="str">
        <f>"76740701"</f>
        <v>76740701</v>
      </c>
      <c r="M523" t="s">
        <v>21</v>
      </c>
      <c r="N523" s="1">
        <v>43665.693055555559</v>
      </c>
      <c r="O523" t="s">
        <v>19</v>
      </c>
    </row>
    <row r="524" spans="1:15" x14ac:dyDescent="0.25">
      <c r="A524" t="s">
        <v>435</v>
      </c>
      <c r="B524" t="s">
        <v>15</v>
      </c>
      <c r="C524" t="s">
        <v>225</v>
      </c>
      <c r="D524" t="s">
        <v>17</v>
      </c>
      <c r="E524" t="s">
        <v>18</v>
      </c>
      <c r="F524" t="s">
        <v>19</v>
      </c>
      <c r="G524" t="s">
        <v>20</v>
      </c>
      <c r="J524" t="s">
        <v>18</v>
      </c>
      <c r="K524" t="str">
        <f>"4710007729557"</f>
        <v>4710007729557</v>
      </c>
      <c r="L524" t="str">
        <f>"65030030"</f>
        <v>65030030</v>
      </c>
      <c r="M524" t="s">
        <v>84</v>
      </c>
      <c r="N524" s="1">
        <v>43326.84652777778</v>
      </c>
      <c r="O524" t="s">
        <v>19</v>
      </c>
    </row>
    <row r="525" spans="1:15" x14ac:dyDescent="0.25">
      <c r="A525" t="s">
        <v>436</v>
      </c>
      <c r="B525" t="s">
        <v>15</v>
      </c>
      <c r="C525" t="s">
        <v>225</v>
      </c>
      <c r="D525" t="s">
        <v>17</v>
      </c>
      <c r="E525" t="s">
        <v>18</v>
      </c>
      <c r="F525" t="s">
        <v>19</v>
      </c>
      <c r="G525" t="s">
        <v>20</v>
      </c>
      <c r="J525" t="s">
        <v>17</v>
      </c>
      <c r="K525" t="str">
        <f>"110346012"</f>
        <v>110346012</v>
      </c>
      <c r="L525" t="str">
        <f>"110346012"</f>
        <v>110346012</v>
      </c>
      <c r="M525" t="s">
        <v>75</v>
      </c>
      <c r="N525" s="1">
        <v>42872.847222222219</v>
      </c>
      <c r="O525" t="s">
        <v>19</v>
      </c>
    </row>
    <row r="526" spans="1:15" x14ac:dyDescent="0.25">
      <c r="A526" t="s">
        <v>437</v>
      </c>
      <c r="B526" t="s">
        <v>15</v>
      </c>
      <c r="C526" t="s">
        <v>225</v>
      </c>
      <c r="D526" t="s">
        <v>17</v>
      </c>
      <c r="E526" t="s">
        <v>18</v>
      </c>
      <c r="F526" t="s">
        <v>19</v>
      </c>
      <c r="G526" t="s">
        <v>20</v>
      </c>
      <c r="J526" t="s">
        <v>17</v>
      </c>
      <c r="K526" t="str">
        <f>"6925871613378"</f>
        <v>6925871613378</v>
      </c>
      <c r="L526" t="str">
        <f>"22031337"</f>
        <v>22031337</v>
      </c>
      <c r="M526" t="s">
        <v>84</v>
      </c>
      <c r="N526" s="1">
        <v>43369.756249999999</v>
      </c>
      <c r="O526" t="s">
        <v>19</v>
      </c>
    </row>
    <row r="527" spans="1:15" x14ac:dyDescent="0.25">
      <c r="A527" t="s">
        <v>438</v>
      </c>
      <c r="B527" t="s">
        <v>15</v>
      </c>
      <c r="C527" t="s">
        <v>225</v>
      </c>
      <c r="D527" t="s">
        <v>17</v>
      </c>
      <c r="E527" t="s">
        <v>18</v>
      </c>
      <c r="F527" t="s">
        <v>19</v>
      </c>
      <c r="G527" t="s">
        <v>20</v>
      </c>
      <c r="J527" t="s">
        <v>17</v>
      </c>
      <c r="K527" t="str">
        <f>"6925871611077"</f>
        <v>6925871611077</v>
      </c>
      <c r="L527" t="str">
        <f>"22031107"</f>
        <v>22031107</v>
      </c>
      <c r="M527" t="s">
        <v>75</v>
      </c>
      <c r="N527" s="1">
        <v>43173.679166666669</v>
      </c>
      <c r="O527" t="s">
        <v>19</v>
      </c>
    </row>
    <row r="528" spans="1:15" x14ac:dyDescent="0.25">
      <c r="A528" t="s">
        <v>439</v>
      </c>
      <c r="B528" t="s">
        <v>15</v>
      </c>
      <c r="C528" t="s">
        <v>225</v>
      </c>
      <c r="D528" t="s">
        <v>17</v>
      </c>
      <c r="E528" t="s">
        <v>18</v>
      </c>
      <c r="F528" t="s">
        <v>19</v>
      </c>
      <c r="G528" t="s">
        <v>20</v>
      </c>
      <c r="H528" t="s">
        <v>8</v>
      </c>
      <c r="I528" t="s">
        <v>8</v>
      </c>
      <c r="J528" t="s">
        <v>17</v>
      </c>
      <c r="K528" t="str">
        <f>"6925871611091"</f>
        <v>6925871611091</v>
      </c>
      <c r="L528" t="str">
        <f>"22031109"</f>
        <v>22031109</v>
      </c>
      <c r="M528" t="s">
        <v>21</v>
      </c>
      <c r="N528" s="1">
        <v>44349.918055555558</v>
      </c>
      <c r="O528" t="s">
        <v>19</v>
      </c>
    </row>
    <row r="529" spans="1:15" x14ac:dyDescent="0.25">
      <c r="A529" t="s">
        <v>440</v>
      </c>
      <c r="B529" t="s">
        <v>15</v>
      </c>
      <c r="C529" t="s">
        <v>225</v>
      </c>
      <c r="D529" t="s">
        <v>17</v>
      </c>
      <c r="E529" t="s">
        <v>18</v>
      </c>
      <c r="F529" t="s">
        <v>19</v>
      </c>
      <c r="G529" t="s">
        <v>20</v>
      </c>
      <c r="J529" t="s">
        <v>17</v>
      </c>
      <c r="K529" t="str">
        <f>"6925871621236"</f>
        <v>6925871621236</v>
      </c>
      <c r="L529" t="str">
        <f>"22742123"</f>
        <v>22742123</v>
      </c>
      <c r="M529" t="s">
        <v>75</v>
      </c>
      <c r="N529" s="1">
        <v>42986.863194444442</v>
      </c>
      <c r="O529" t="s">
        <v>19</v>
      </c>
    </row>
    <row r="530" spans="1:15" x14ac:dyDescent="0.25">
      <c r="A530" t="s">
        <v>441</v>
      </c>
      <c r="B530" t="s">
        <v>15</v>
      </c>
      <c r="C530" t="s">
        <v>221</v>
      </c>
      <c r="D530" t="s">
        <v>17</v>
      </c>
      <c r="E530" t="s">
        <v>18</v>
      </c>
      <c r="F530" t="s">
        <v>19</v>
      </c>
      <c r="G530" t="s">
        <v>20</v>
      </c>
      <c r="J530" t="s">
        <v>17</v>
      </c>
      <c r="K530" t="str">
        <f>"6925871626590"</f>
        <v>6925871626590</v>
      </c>
      <c r="L530" t="str">
        <f>"22352659"</f>
        <v>22352659</v>
      </c>
      <c r="M530" t="s">
        <v>84</v>
      </c>
      <c r="N530" s="1">
        <v>43495.689583333333</v>
      </c>
      <c r="O530" t="s">
        <v>19</v>
      </c>
    </row>
    <row r="531" spans="1:15" x14ac:dyDescent="0.25">
      <c r="A531" t="s">
        <v>442</v>
      </c>
      <c r="B531" t="s">
        <v>15</v>
      </c>
      <c r="C531" t="s">
        <v>225</v>
      </c>
      <c r="D531" t="s">
        <v>17</v>
      </c>
      <c r="E531" t="s">
        <v>18</v>
      </c>
      <c r="F531" t="s">
        <v>19</v>
      </c>
      <c r="G531" t="s">
        <v>20</v>
      </c>
      <c r="H531" t="s">
        <v>8</v>
      </c>
      <c r="I531" t="s">
        <v>8</v>
      </c>
      <c r="J531" t="s">
        <v>17</v>
      </c>
      <c r="K531" t="str">
        <f>"6925871629225"</f>
        <v>6925871629225</v>
      </c>
      <c r="L531" t="str">
        <f>"22032922"</f>
        <v>22032922</v>
      </c>
      <c r="M531" t="s">
        <v>21</v>
      </c>
      <c r="N531" s="1">
        <v>43707.810416666667</v>
      </c>
      <c r="O531" t="s">
        <v>19</v>
      </c>
    </row>
    <row r="532" spans="1:15" x14ac:dyDescent="0.25">
      <c r="A532" t="s">
        <v>443</v>
      </c>
      <c r="B532" t="s">
        <v>15</v>
      </c>
      <c r="C532" t="s">
        <v>225</v>
      </c>
      <c r="D532" t="s">
        <v>17</v>
      </c>
      <c r="E532" t="s">
        <v>18</v>
      </c>
      <c r="F532" t="s">
        <v>19</v>
      </c>
      <c r="G532" t="s">
        <v>20</v>
      </c>
      <c r="J532" t="s">
        <v>17</v>
      </c>
      <c r="K532" t="str">
        <f>"6925871631259"</f>
        <v>6925871631259</v>
      </c>
      <c r="L532" t="str">
        <f>"22743125"</f>
        <v>22743125</v>
      </c>
      <c r="M532" t="s">
        <v>75</v>
      </c>
      <c r="N532" s="1">
        <v>43195.642361111109</v>
      </c>
      <c r="O532" t="s">
        <v>19</v>
      </c>
    </row>
    <row r="533" spans="1:15" x14ac:dyDescent="0.25">
      <c r="A533" t="s">
        <v>444</v>
      </c>
      <c r="B533" t="s">
        <v>15</v>
      </c>
      <c r="C533" t="s">
        <v>221</v>
      </c>
      <c r="D533" t="s">
        <v>17</v>
      </c>
      <c r="E533" t="s">
        <v>18</v>
      </c>
      <c r="F533" t="s">
        <v>19</v>
      </c>
      <c r="G533" t="s">
        <v>20</v>
      </c>
      <c r="J533" t="s">
        <v>17</v>
      </c>
      <c r="K533" t="str">
        <f>"6953753028125"</f>
        <v>6953753028125</v>
      </c>
      <c r="L533" t="str">
        <f>"100311781"</f>
        <v>100311781</v>
      </c>
      <c r="M533" t="s">
        <v>21</v>
      </c>
      <c r="N533" s="1">
        <v>43839.629166666666</v>
      </c>
      <c r="O533" t="s">
        <v>19</v>
      </c>
    </row>
    <row r="534" spans="1:15" x14ac:dyDescent="0.25">
      <c r="A534" t="s">
        <v>445</v>
      </c>
      <c r="B534" t="s">
        <v>15</v>
      </c>
      <c r="C534" t="s">
        <v>225</v>
      </c>
      <c r="D534" t="s">
        <v>17</v>
      </c>
      <c r="E534" t="s">
        <v>18</v>
      </c>
      <c r="F534" t="s">
        <v>19</v>
      </c>
      <c r="G534" t="s">
        <v>20</v>
      </c>
      <c r="H534" t="s">
        <v>8</v>
      </c>
      <c r="I534" t="s">
        <v>8</v>
      </c>
      <c r="J534" t="s">
        <v>17</v>
      </c>
      <c r="K534" t="str">
        <f>"6971614314057"</f>
        <v>6971614314057</v>
      </c>
      <c r="L534" t="str">
        <f>"40030020"</f>
        <v>40030020</v>
      </c>
      <c r="M534" t="s">
        <v>21</v>
      </c>
      <c r="N534" s="1">
        <v>42872.849305555559</v>
      </c>
      <c r="O534" t="s">
        <v>19</v>
      </c>
    </row>
    <row r="535" spans="1:15" x14ac:dyDescent="0.25">
      <c r="A535" t="s">
        <v>446</v>
      </c>
      <c r="B535" t="s">
        <v>15</v>
      </c>
      <c r="C535" t="s">
        <v>225</v>
      </c>
      <c r="D535" t="s">
        <v>17</v>
      </c>
      <c r="E535" t="s">
        <v>18</v>
      </c>
      <c r="F535" t="s">
        <v>19</v>
      </c>
      <c r="G535" t="s">
        <v>20</v>
      </c>
      <c r="J535" t="s">
        <v>17</v>
      </c>
      <c r="K535" t="str">
        <f>"46035588"</f>
        <v>46035588</v>
      </c>
      <c r="L535" t="str">
        <f>"46035588"</f>
        <v>46035588</v>
      </c>
      <c r="M535" t="s">
        <v>75</v>
      </c>
      <c r="N535" s="1">
        <v>42872.839583333334</v>
      </c>
      <c r="O535" t="s">
        <v>19</v>
      </c>
    </row>
    <row r="536" spans="1:15" x14ac:dyDescent="0.25">
      <c r="A536" t="s">
        <v>447</v>
      </c>
      <c r="B536" t="s">
        <v>15</v>
      </c>
      <c r="C536" t="s">
        <v>225</v>
      </c>
      <c r="D536" t="s">
        <v>17</v>
      </c>
      <c r="E536" t="s">
        <v>18</v>
      </c>
      <c r="F536" t="s">
        <v>19</v>
      </c>
      <c r="G536" t="s">
        <v>20</v>
      </c>
      <c r="J536" t="s">
        <v>17</v>
      </c>
      <c r="K536" t="str">
        <f>"10103201"</f>
        <v>10103201</v>
      </c>
      <c r="L536" t="str">
        <f>"10103201"</f>
        <v>10103201</v>
      </c>
      <c r="M536" t="s">
        <v>75</v>
      </c>
      <c r="N536" s="1">
        <v>42872.839583333334</v>
      </c>
      <c r="O536" t="s">
        <v>19</v>
      </c>
    </row>
    <row r="537" spans="1:15" x14ac:dyDescent="0.25">
      <c r="A537" t="s">
        <v>448</v>
      </c>
      <c r="B537" t="s">
        <v>15</v>
      </c>
      <c r="C537" t="s">
        <v>225</v>
      </c>
      <c r="D537" t="s">
        <v>17</v>
      </c>
      <c r="E537" t="s">
        <v>18</v>
      </c>
      <c r="F537" t="s">
        <v>19</v>
      </c>
      <c r="G537" t="s">
        <v>20</v>
      </c>
      <c r="J537" t="s">
        <v>17</v>
      </c>
      <c r="K537" t="str">
        <f>"66000496"</f>
        <v>66000496</v>
      </c>
      <c r="L537" t="str">
        <f>"66000496"</f>
        <v>66000496</v>
      </c>
      <c r="M537" t="s">
        <v>75</v>
      </c>
      <c r="N537" s="1">
        <v>42872.839583333334</v>
      </c>
      <c r="O537" t="s">
        <v>19</v>
      </c>
    </row>
    <row r="538" spans="1:15" x14ac:dyDescent="0.25">
      <c r="A538" t="s">
        <v>449</v>
      </c>
      <c r="B538" t="s">
        <v>15</v>
      </c>
      <c r="C538" t="s">
        <v>221</v>
      </c>
      <c r="D538" t="s">
        <v>17</v>
      </c>
      <c r="E538" t="s">
        <v>18</v>
      </c>
      <c r="F538" t="s">
        <v>19</v>
      </c>
      <c r="G538" t="s">
        <v>20</v>
      </c>
      <c r="J538" t="s">
        <v>17</v>
      </c>
      <c r="K538" t="str">
        <f>"29UTXUP550"</f>
        <v>29UTXUP550</v>
      </c>
      <c r="L538" t="str">
        <f>"29UTXUP550"</f>
        <v>29UTXUP550</v>
      </c>
      <c r="M538" t="s">
        <v>21</v>
      </c>
      <c r="N538" s="1">
        <v>43805.908333333333</v>
      </c>
      <c r="O538" t="s">
        <v>19</v>
      </c>
    </row>
    <row r="539" spans="1:15" x14ac:dyDescent="0.25">
      <c r="A539" t="s">
        <v>450</v>
      </c>
      <c r="B539" t="s">
        <v>15</v>
      </c>
      <c r="C539" t="s">
        <v>221</v>
      </c>
      <c r="D539" t="s">
        <v>17</v>
      </c>
      <c r="E539" t="s">
        <v>18</v>
      </c>
      <c r="F539" t="s">
        <v>19</v>
      </c>
      <c r="G539" t="s">
        <v>20</v>
      </c>
      <c r="J539" t="s">
        <v>17</v>
      </c>
      <c r="K539" t="str">
        <f>"69353265"</f>
        <v>69353265</v>
      </c>
      <c r="L539" t="str">
        <f>"69353265"</f>
        <v>69353265</v>
      </c>
      <c r="M539" t="s">
        <v>84</v>
      </c>
      <c r="N539" s="1">
        <v>43328.674305555556</v>
      </c>
      <c r="O539" t="s">
        <v>19</v>
      </c>
    </row>
    <row r="540" spans="1:15" x14ac:dyDescent="0.25">
      <c r="A540" t="s">
        <v>451</v>
      </c>
      <c r="B540" t="s">
        <v>15</v>
      </c>
      <c r="C540" t="s">
        <v>225</v>
      </c>
      <c r="D540" t="s">
        <v>17</v>
      </c>
      <c r="E540" t="s">
        <v>18</v>
      </c>
      <c r="F540" t="s">
        <v>19</v>
      </c>
      <c r="G540" t="s">
        <v>20</v>
      </c>
      <c r="H540" t="s">
        <v>8</v>
      </c>
      <c r="I540" t="s">
        <v>8</v>
      </c>
      <c r="J540" t="s">
        <v>17</v>
      </c>
      <c r="K540" t="str">
        <f>"8603365023633"</f>
        <v>8603365023633</v>
      </c>
      <c r="L540" t="str">
        <f>"10112881"</f>
        <v>10112881</v>
      </c>
      <c r="M540" t="s">
        <v>21</v>
      </c>
      <c r="N540" s="1">
        <v>43938.870833333334</v>
      </c>
      <c r="O540" t="s">
        <v>19</v>
      </c>
    </row>
    <row r="541" spans="1:15" x14ac:dyDescent="0.25">
      <c r="A541" t="s">
        <v>452</v>
      </c>
      <c r="B541" t="s">
        <v>15</v>
      </c>
      <c r="C541" t="s">
        <v>221</v>
      </c>
      <c r="D541" t="s">
        <v>17</v>
      </c>
      <c r="E541" t="s">
        <v>18</v>
      </c>
      <c r="F541" t="s">
        <v>19</v>
      </c>
      <c r="G541" t="s">
        <v>20</v>
      </c>
      <c r="J541" t="s">
        <v>17</v>
      </c>
      <c r="K541" t="str">
        <f>"6925871668019"</f>
        <v>6925871668019</v>
      </c>
      <c r="L541" t="str">
        <f>"22356801"</f>
        <v>22356801</v>
      </c>
      <c r="M541" t="s">
        <v>21</v>
      </c>
      <c r="N541" s="1">
        <v>43649.665972222225</v>
      </c>
      <c r="O541" t="s">
        <v>19</v>
      </c>
    </row>
    <row r="542" spans="1:15" x14ac:dyDescent="0.25">
      <c r="A542" t="s">
        <v>453</v>
      </c>
      <c r="B542" t="s">
        <v>15</v>
      </c>
      <c r="C542" t="s">
        <v>221</v>
      </c>
      <c r="D542" t="s">
        <v>17</v>
      </c>
      <c r="E542" t="s">
        <v>18</v>
      </c>
      <c r="F542" t="s">
        <v>19</v>
      </c>
      <c r="G542" t="s">
        <v>20</v>
      </c>
      <c r="J542" t="s">
        <v>17</v>
      </c>
      <c r="K542" t="str">
        <f>"6925871668064"</f>
        <v>6925871668064</v>
      </c>
      <c r="L542" t="str">
        <f>"22356806"</f>
        <v>22356806</v>
      </c>
      <c r="M542" t="s">
        <v>84</v>
      </c>
      <c r="N542" s="1">
        <v>43446.668055555558</v>
      </c>
      <c r="O542" t="s">
        <v>19</v>
      </c>
    </row>
    <row r="543" spans="1:15" x14ac:dyDescent="0.25">
      <c r="A543" t="s">
        <v>454</v>
      </c>
      <c r="B543" t="s">
        <v>15</v>
      </c>
      <c r="C543" t="s">
        <v>225</v>
      </c>
      <c r="D543" t="s">
        <v>17</v>
      </c>
      <c r="E543" t="s">
        <v>18</v>
      </c>
      <c r="F543" t="s">
        <v>19</v>
      </c>
      <c r="G543" t="s">
        <v>20</v>
      </c>
      <c r="H543" t="s">
        <v>8</v>
      </c>
      <c r="I543" t="s">
        <v>8</v>
      </c>
      <c r="J543" t="s">
        <v>17</v>
      </c>
      <c r="K543" t="str">
        <f>"6925871668095"</f>
        <v>6925871668095</v>
      </c>
      <c r="L543" t="str">
        <f>"22356809"</f>
        <v>22356809</v>
      </c>
      <c r="M543" t="s">
        <v>21</v>
      </c>
      <c r="N543" s="1">
        <v>43707.793055555558</v>
      </c>
      <c r="O543" t="s">
        <v>19</v>
      </c>
    </row>
    <row r="544" spans="1:15" x14ac:dyDescent="0.25">
      <c r="A544" t="s">
        <v>455</v>
      </c>
      <c r="B544" t="s">
        <v>15</v>
      </c>
      <c r="C544" t="s">
        <v>64</v>
      </c>
      <c r="D544" t="s">
        <v>17</v>
      </c>
      <c r="E544" t="s">
        <v>18</v>
      </c>
      <c r="F544" t="s">
        <v>19</v>
      </c>
      <c r="G544" t="s">
        <v>20</v>
      </c>
      <c r="J544" t="s">
        <v>17</v>
      </c>
      <c r="K544" t="str">
        <f>"6925871668224"</f>
        <v>6925871668224</v>
      </c>
      <c r="L544" t="str">
        <f>"22936822"</f>
        <v>22936822</v>
      </c>
      <c r="M544" t="s">
        <v>21</v>
      </c>
      <c r="N544" s="1">
        <v>44296.606249999997</v>
      </c>
      <c r="O544" t="s">
        <v>19</v>
      </c>
    </row>
    <row r="545" spans="1:15" x14ac:dyDescent="0.25">
      <c r="A545" t="s">
        <v>456</v>
      </c>
      <c r="B545" t="s">
        <v>15</v>
      </c>
      <c r="C545" t="s">
        <v>64</v>
      </c>
      <c r="D545" t="s">
        <v>17</v>
      </c>
      <c r="E545" t="s">
        <v>18</v>
      </c>
      <c r="F545" t="s">
        <v>19</v>
      </c>
      <c r="G545" t="s">
        <v>20</v>
      </c>
      <c r="J545" t="s">
        <v>17</v>
      </c>
      <c r="K545" t="str">
        <f>"6925871668248"</f>
        <v>6925871668248</v>
      </c>
      <c r="L545" t="str">
        <f>"22936824"</f>
        <v>22936824</v>
      </c>
      <c r="M545" t="s">
        <v>21</v>
      </c>
      <c r="N545" s="1">
        <v>44296.603472222225</v>
      </c>
      <c r="O545" t="s">
        <v>19</v>
      </c>
    </row>
    <row r="546" spans="1:15" x14ac:dyDescent="0.25">
      <c r="A546" t="s">
        <v>457</v>
      </c>
      <c r="B546" t="s">
        <v>15</v>
      </c>
      <c r="C546" t="s">
        <v>64</v>
      </c>
      <c r="D546" t="s">
        <v>17</v>
      </c>
      <c r="E546" t="s">
        <v>18</v>
      </c>
      <c r="F546" t="s">
        <v>19</v>
      </c>
      <c r="G546" t="s">
        <v>20</v>
      </c>
      <c r="J546" t="s">
        <v>17</v>
      </c>
      <c r="K546" t="str">
        <f>"6925871668262"</f>
        <v>6925871668262</v>
      </c>
      <c r="L546" t="str">
        <f>"22936826"</f>
        <v>22936826</v>
      </c>
      <c r="M546" t="s">
        <v>21</v>
      </c>
      <c r="N546" s="1">
        <v>44296.604166666664</v>
      </c>
      <c r="O546" t="s">
        <v>19</v>
      </c>
    </row>
    <row r="547" spans="1:15" x14ac:dyDescent="0.25">
      <c r="A547" t="s">
        <v>458</v>
      </c>
      <c r="B547" t="s">
        <v>15</v>
      </c>
      <c r="C547" t="s">
        <v>64</v>
      </c>
      <c r="D547" t="s">
        <v>17</v>
      </c>
      <c r="E547" t="s">
        <v>18</v>
      </c>
      <c r="F547" t="s">
        <v>19</v>
      </c>
      <c r="G547" t="s">
        <v>20</v>
      </c>
      <c r="J547" t="s">
        <v>17</v>
      </c>
      <c r="K547" t="str">
        <f>"6831263681651"</f>
        <v>6831263681651</v>
      </c>
      <c r="L547" t="str">
        <f>"40930010"</f>
        <v>40930010</v>
      </c>
      <c r="M547" t="s">
        <v>21</v>
      </c>
      <c r="N547" s="1">
        <v>44434.912499999999</v>
      </c>
      <c r="O547" t="s">
        <v>19</v>
      </c>
    </row>
    <row r="548" spans="1:15" x14ac:dyDescent="0.25">
      <c r="A548" t="s">
        <v>459</v>
      </c>
      <c r="B548" t="s">
        <v>15</v>
      </c>
      <c r="C548" t="s">
        <v>221</v>
      </c>
      <c r="D548" t="s">
        <v>17</v>
      </c>
      <c r="E548" t="s">
        <v>18</v>
      </c>
      <c r="F548" t="s">
        <v>19</v>
      </c>
      <c r="G548" t="s">
        <v>20</v>
      </c>
      <c r="J548" t="s">
        <v>17</v>
      </c>
      <c r="K548" t="str">
        <f>"69350927"</f>
        <v>69350927</v>
      </c>
      <c r="L548" t="str">
        <f>"69350927"</f>
        <v>69350927</v>
      </c>
      <c r="M548" t="s">
        <v>84</v>
      </c>
      <c r="N548" s="1">
        <v>43328.675000000003</v>
      </c>
      <c r="O548" t="s">
        <v>19</v>
      </c>
    </row>
    <row r="549" spans="1:15" x14ac:dyDescent="0.25">
      <c r="A549" t="s">
        <v>460</v>
      </c>
      <c r="B549" t="s">
        <v>15</v>
      </c>
      <c r="C549" t="s">
        <v>64</v>
      </c>
      <c r="D549" t="s">
        <v>17</v>
      </c>
      <c r="E549" t="s">
        <v>18</v>
      </c>
      <c r="F549" t="s">
        <v>19</v>
      </c>
      <c r="G549" t="s">
        <v>20</v>
      </c>
      <c r="J549" t="s">
        <v>17</v>
      </c>
      <c r="K549" t="str">
        <f>"6826849841222"</f>
        <v>6826849841222</v>
      </c>
      <c r="L549" t="str">
        <f>"40930008"</f>
        <v>40930008</v>
      </c>
      <c r="M549" t="s">
        <v>21</v>
      </c>
      <c r="N549" s="1">
        <v>44434.911805555559</v>
      </c>
      <c r="O549" t="s">
        <v>19</v>
      </c>
    </row>
    <row r="550" spans="1:15" x14ac:dyDescent="0.25">
      <c r="A550" t="s">
        <v>461</v>
      </c>
      <c r="B550" t="s">
        <v>15</v>
      </c>
      <c r="C550" t="s">
        <v>225</v>
      </c>
      <c r="D550" t="s">
        <v>17</v>
      </c>
      <c r="E550" t="s">
        <v>18</v>
      </c>
      <c r="F550" t="s">
        <v>19</v>
      </c>
      <c r="G550" t="s">
        <v>20</v>
      </c>
      <c r="J550" t="s">
        <v>17</v>
      </c>
      <c r="K550" t="str">
        <f>"4710268233466"</f>
        <v>4710268233466</v>
      </c>
      <c r="L550" t="str">
        <f>"98030500"</f>
        <v>98030500</v>
      </c>
      <c r="M550" t="s">
        <v>84</v>
      </c>
      <c r="N550" s="1">
        <v>43313.982638888891</v>
      </c>
      <c r="O550" t="s">
        <v>19</v>
      </c>
    </row>
    <row r="551" spans="1:15" x14ac:dyDescent="0.25">
      <c r="A551" t="s">
        <v>462</v>
      </c>
      <c r="B551" t="s">
        <v>15</v>
      </c>
      <c r="C551" t="s">
        <v>221</v>
      </c>
      <c r="D551" t="s">
        <v>17</v>
      </c>
      <c r="E551" t="s">
        <v>18</v>
      </c>
      <c r="F551" t="s">
        <v>19</v>
      </c>
      <c r="G551" t="s">
        <v>20</v>
      </c>
      <c r="J551" t="s">
        <v>17</v>
      </c>
      <c r="K551" t="str">
        <f>"7867866017886"</f>
        <v>7867866017886</v>
      </c>
      <c r="L551" t="str">
        <f>"22351788"</f>
        <v>22351788</v>
      </c>
      <c r="M551" t="s">
        <v>21</v>
      </c>
      <c r="N551" s="1">
        <v>43853.826388888891</v>
      </c>
      <c r="O551" t="s">
        <v>19</v>
      </c>
    </row>
    <row r="552" spans="1:15" x14ac:dyDescent="0.25">
      <c r="A552" t="s">
        <v>463</v>
      </c>
      <c r="B552" t="s">
        <v>15</v>
      </c>
      <c r="C552" t="s">
        <v>64</v>
      </c>
      <c r="D552" t="s">
        <v>17</v>
      </c>
      <c r="E552" t="s">
        <v>18</v>
      </c>
      <c r="F552" t="s">
        <v>19</v>
      </c>
      <c r="G552" t="s">
        <v>20</v>
      </c>
      <c r="J552" t="s">
        <v>17</v>
      </c>
      <c r="K552" t="str">
        <f>"6948391227269"</f>
        <v>6948391227269</v>
      </c>
      <c r="L552" t="str">
        <f>"98350200"</f>
        <v>98350200</v>
      </c>
      <c r="M552" t="s">
        <v>21</v>
      </c>
      <c r="N552" s="1">
        <v>42872.839583333334</v>
      </c>
      <c r="O552" t="s">
        <v>19</v>
      </c>
    </row>
    <row r="553" spans="1:15" x14ac:dyDescent="0.25">
      <c r="A553" t="s">
        <v>464</v>
      </c>
      <c r="B553" t="s">
        <v>15</v>
      </c>
      <c r="C553" t="s">
        <v>221</v>
      </c>
      <c r="D553" t="s">
        <v>17</v>
      </c>
      <c r="E553" t="s">
        <v>18</v>
      </c>
      <c r="F553" t="s">
        <v>19</v>
      </c>
      <c r="G553" t="s">
        <v>20</v>
      </c>
      <c r="J553" t="s">
        <v>17</v>
      </c>
      <c r="K553" t="str">
        <f>"7858816053122"</f>
        <v>7858816053122</v>
      </c>
      <c r="L553" t="str">
        <f>"87355312"</f>
        <v>87355312</v>
      </c>
      <c r="M553" t="s">
        <v>21</v>
      </c>
      <c r="N553" s="1">
        <v>42872.839583333334</v>
      </c>
      <c r="O553" t="s">
        <v>19</v>
      </c>
    </row>
    <row r="554" spans="1:15" x14ac:dyDescent="0.25">
      <c r="A554" t="s">
        <v>465</v>
      </c>
      <c r="B554" t="s">
        <v>15</v>
      </c>
      <c r="C554" t="s">
        <v>221</v>
      </c>
      <c r="D554" t="s">
        <v>17</v>
      </c>
      <c r="E554" t="s">
        <v>18</v>
      </c>
      <c r="F554" t="s">
        <v>19</v>
      </c>
      <c r="G554" t="s">
        <v>20</v>
      </c>
      <c r="J554" t="s">
        <v>17</v>
      </c>
      <c r="K554" t="str">
        <f>"7858816056307"</f>
        <v>7858816056307</v>
      </c>
      <c r="L554" t="str">
        <f>"87355630"</f>
        <v>87355630</v>
      </c>
      <c r="M554" t="s">
        <v>21</v>
      </c>
      <c r="N554" s="1">
        <v>42872.839583333334</v>
      </c>
      <c r="O554" t="s">
        <v>19</v>
      </c>
    </row>
    <row r="555" spans="1:15" x14ac:dyDescent="0.25">
      <c r="A555" t="s">
        <v>466</v>
      </c>
      <c r="B555" t="s">
        <v>15</v>
      </c>
      <c r="C555" t="s">
        <v>221</v>
      </c>
      <c r="D555" t="s">
        <v>17</v>
      </c>
      <c r="E555" t="s">
        <v>18</v>
      </c>
      <c r="F555" t="s">
        <v>19</v>
      </c>
      <c r="G555" t="s">
        <v>20</v>
      </c>
      <c r="J555" t="s">
        <v>17</v>
      </c>
      <c r="K555" t="str">
        <f>"7858816058417"</f>
        <v>7858816058417</v>
      </c>
      <c r="L555" t="str">
        <f>"87355841"</f>
        <v>87355841</v>
      </c>
      <c r="M555" t="s">
        <v>21</v>
      </c>
      <c r="N555" s="1">
        <v>43461.942361111112</v>
      </c>
      <c r="O555" t="s">
        <v>19</v>
      </c>
    </row>
    <row r="556" spans="1:15" x14ac:dyDescent="0.25">
      <c r="A556" t="s">
        <v>467</v>
      </c>
      <c r="B556" t="s">
        <v>15</v>
      </c>
      <c r="C556" t="s">
        <v>64</v>
      </c>
      <c r="D556" t="s">
        <v>17</v>
      </c>
      <c r="E556" t="s">
        <v>18</v>
      </c>
      <c r="F556" t="s">
        <v>19</v>
      </c>
      <c r="G556" t="s">
        <v>20</v>
      </c>
      <c r="J556" t="s">
        <v>17</v>
      </c>
      <c r="K556" t="str">
        <f>"6823167498268"</f>
        <v>6823167498268</v>
      </c>
      <c r="L556" t="str">
        <f>"4093075"</f>
        <v>4093075</v>
      </c>
      <c r="M556" t="s">
        <v>21</v>
      </c>
      <c r="N556" s="1">
        <v>44434.913194444445</v>
      </c>
      <c r="O556" t="s">
        <v>19</v>
      </c>
    </row>
    <row r="557" spans="1:15" x14ac:dyDescent="0.25">
      <c r="A557" t="s">
        <v>468</v>
      </c>
      <c r="B557" t="s">
        <v>15</v>
      </c>
      <c r="C557" t="s">
        <v>64</v>
      </c>
      <c r="D557" t="s">
        <v>17</v>
      </c>
      <c r="E557" t="s">
        <v>18</v>
      </c>
      <c r="F557" t="s">
        <v>19</v>
      </c>
      <c r="G557" t="s">
        <v>20</v>
      </c>
      <c r="J557" t="s">
        <v>17</v>
      </c>
      <c r="K557" t="str">
        <f>"6956398302827"</f>
        <v>6956398302827</v>
      </c>
      <c r="L557" t="str">
        <f>"40930313"</f>
        <v>40930313</v>
      </c>
      <c r="M557" t="s">
        <v>21</v>
      </c>
      <c r="N557" s="1">
        <v>44434.913888888892</v>
      </c>
      <c r="O557" t="s">
        <v>19</v>
      </c>
    </row>
    <row r="558" spans="1:15" x14ac:dyDescent="0.25">
      <c r="A558" t="s">
        <v>469</v>
      </c>
      <c r="B558" t="s">
        <v>15</v>
      </c>
      <c r="C558" t="s">
        <v>225</v>
      </c>
      <c r="D558" t="s">
        <v>17</v>
      </c>
      <c r="E558" t="s">
        <v>18</v>
      </c>
      <c r="F558" t="s">
        <v>19</v>
      </c>
      <c r="G558" t="s">
        <v>20</v>
      </c>
      <c r="H558" t="s">
        <v>8</v>
      </c>
      <c r="I558" t="s">
        <v>8</v>
      </c>
      <c r="J558" t="s">
        <v>17</v>
      </c>
      <c r="K558" t="str">
        <f>"6956398302452"</f>
        <v>6956398302452</v>
      </c>
      <c r="L558" t="str">
        <f>"40930618"</f>
        <v>40930618</v>
      </c>
      <c r="M558" t="s">
        <v>21</v>
      </c>
      <c r="N558" s="1">
        <v>43826.697222222225</v>
      </c>
      <c r="O558" t="s">
        <v>19</v>
      </c>
    </row>
    <row r="559" spans="1:15" x14ac:dyDescent="0.25">
      <c r="A559" t="s">
        <v>470</v>
      </c>
      <c r="B559" t="s">
        <v>15</v>
      </c>
      <c r="C559" t="s">
        <v>64</v>
      </c>
      <c r="D559" t="s">
        <v>17</v>
      </c>
      <c r="E559" t="s">
        <v>18</v>
      </c>
      <c r="F559" t="s">
        <v>19</v>
      </c>
      <c r="G559" t="s">
        <v>20</v>
      </c>
      <c r="J559" t="s">
        <v>17</v>
      </c>
      <c r="K559" t="str">
        <f>"6956398302858"</f>
        <v>6956398302858</v>
      </c>
      <c r="L559" t="str">
        <f>"1020064"</f>
        <v>1020064</v>
      </c>
      <c r="M559" t="s">
        <v>21</v>
      </c>
      <c r="N559" s="1">
        <v>44392.786111111112</v>
      </c>
      <c r="O559" t="s">
        <v>19</v>
      </c>
    </row>
    <row r="560" spans="1:15" x14ac:dyDescent="0.25">
      <c r="A560" t="s">
        <v>471</v>
      </c>
      <c r="B560" t="s">
        <v>15</v>
      </c>
      <c r="C560" t="s">
        <v>225</v>
      </c>
      <c r="D560" t="s">
        <v>17</v>
      </c>
      <c r="E560" t="s">
        <v>18</v>
      </c>
      <c r="F560" t="s">
        <v>19</v>
      </c>
      <c r="G560" t="s">
        <v>20</v>
      </c>
      <c r="J560" t="s">
        <v>17</v>
      </c>
      <c r="K560" t="str">
        <f>"6956398302292"</f>
        <v>6956398302292</v>
      </c>
      <c r="L560" t="str">
        <f>"10002209"</f>
        <v>10002209</v>
      </c>
      <c r="M560" t="s">
        <v>84</v>
      </c>
      <c r="N560" s="1">
        <v>43510.686805555553</v>
      </c>
      <c r="O560" t="s">
        <v>19</v>
      </c>
    </row>
    <row r="561" spans="1:15" x14ac:dyDescent="0.25">
      <c r="A561" t="s">
        <v>472</v>
      </c>
      <c r="B561" t="s">
        <v>15</v>
      </c>
      <c r="C561" t="s">
        <v>64</v>
      </c>
      <c r="D561" t="s">
        <v>17</v>
      </c>
      <c r="E561" t="s">
        <v>18</v>
      </c>
      <c r="F561" t="s">
        <v>19</v>
      </c>
      <c r="G561" t="s">
        <v>20</v>
      </c>
      <c r="J561" t="s">
        <v>17</v>
      </c>
      <c r="K561" t="str">
        <f>"6972470560466"</f>
        <v>6972470560466</v>
      </c>
      <c r="L561" t="str">
        <f>"76350466"</f>
        <v>76350466</v>
      </c>
      <c r="M561" t="s">
        <v>21</v>
      </c>
      <c r="N561" s="1">
        <v>43147.686111111114</v>
      </c>
      <c r="O561" t="s">
        <v>19</v>
      </c>
    </row>
    <row r="562" spans="1:15" x14ac:dyDescent="0.25">
      <c r="A562" t="s">
        <v>472</v>
      </c>
      <c r="B562" t="s">
        <v>15</v>
      </c>
      <c r="C562" t="s">
        <v>64</v>
      </c>
      <c r="D562" t="s">
        <v>17</v>
      </c>
      <c r="E562" t="s">
        <v>18</v>
      </c>
      <c r="F562" t="s">
        <v>19</v>
      </c>
      <c r="G562" t="s">
        <v>20</v>
      </c>
      <c r="J562" t="s">
        <v>17</v>
      </c>
      <c r="K562" t="str">
        <f>"6972470560558"</f>
        <v>6972470560558</v>
      </c>
      <c r="L562" t="str">
        <f>"76350558"</f>
        <v>76350558</v>
      </c>
      <c r="M562" t="s">
        <v>21</v>
      </c>
      <c r="N562" s="1">
        <v>43257.868055555555</v>
      </c>
      <c r="O562" t="s">
        <v>19</v>
      </c>
    </row>
    <row r="563" spans="1:15" x14ac:dyDescent="0.25">
      <c r="A563" t="s">
        <v>472</v>
      </c>
      <c r="B563" t="s">
        <v>15</v>
      </c>
      <c r="C563" t="s">
        <v>64</v>
      </c>
      <c r="D563" t="s">
        <v>17</v>
      </c>
      <c r="E563" t="s">
        <v>18</v>
      </c>
      <c r="F563" t="s">
        <v>19</v>
      </c>
      <c r="G563" t="s">
        <v>20</v>
      </c>
      <c r="J563" t="s">
        <v>17</v>
      </c>
      <c r="K563" t="str">
        <f>"6972470560565"</f>
        <v>6972470560565</v>
      </c>
      <c r="L563" t="str">
        <f>"76350565"</f>
        <v>76350565</v>
      </c>
      <c r="M563" t="s">
        <v>21</v>
      </c>
      <c r="N563" s="1">
        <v>43266.956944444442</v>
      </c>
      <c r="O563" t="s">
        <v>19</v>
      </c>
    </row>
    <row r="564" spans="1:15" x14ac:dyDescent="0.25">
      <c r="A564" t="s">
        <v>473</v>
      </c>
      <c r="B564" t="s">
        <v>15</v>
      </c>
      <c r="C564" t="s">
        <v>64</v>
      </c>
      <c r="D564" t="s">
        <v>17</v>
      </c>
      <c r="E564" t="s">
        <v>18</v>
      </c>
      <c r="F564" t="s">
        <v>19</v>
      </c>
      <c r="G564" t="s">
        <v>20</v>
      </c>
      <c r="J564" t="s">
        <v>17</v>
      </c>
      <c r="K564" t="str">
        <f>"6972470560176"</f>
        <v>6972470560176</v>
      </c>
      <c r="L564" t="str">
        <f>"76720001"</f>
        <v>76720001</v>
      </c>
      <c r="M564" t="s">
        <v>21</v>
      </c>
      <c r="N564" s="1">
        <v>44210.783333333333</v>
      </c>
      <c r="O564" t="s">
        <v>19</v>
      </c>
    </row>
    <row r="565" spans="1:15" x14ac:dyDescent="0.25">
      <c r="A565" t="s">
        <v>474</v>
      </c>
      <c r="B565" t="s">
        <v>15</v>
      </c>
      <c r="C565" t="s">
        <v>64</v>
      </c>
      <c r="D565" t="s">
        <v>17</v>
      </c>
      <c r="E565" t="s">
        <v>18</v>
      </c>
      <c r="F565" t="s">
        <v>19</v>
      </c>
      <c r="G565" t="s">
        <v>20</v>
      </c>
      <c r="J565" t="s">
        <v>17</v>
      </c>
      <c r="K565" t="str">
        <f>"6972470560480"</f>
        <v>6972470560480</v>
      </c>
      <c r="L565" t="str">
        <f>"76720020"</f>
        <v>76720020</v>
      </c>
      <c r="M565" t="s">
        <v>21</v>
      </c>
      <c r="N565" s="1">
        <v>44210.786805555559</v>
      </c>
      <c r="O565" t="s">
        <v>19</v>
      </c>
    </row>
    <row r="566" spans="1:15" x14ac:dyDescent="0.25">
      <c r="A566" t="s">
        <v>474</v>
      </c>
      <c r="B566" t="s">
        <v>15</v>
      </c>
      <c r="C566" t="s">
        <v>64</v>
      </c>
      <c r="D566" t="s">
        <v>17</v>
      </c>
      <c r="E566" t="s">
        <v>18</v>
      </c>
      <c r="F566" t="s">
        <v>19</v>
      </c>
      <c r="G566" t="s">
        <v>20</v>
      </c>
      <c r="J566" t="s">
        <v>17</v>
      </c>
      <c r="K566" t="str">
        <f>"6972470560473"</f>
        <v>6972470560473</v>
      </c>
      <c r="L566" t="str">
        <f>"66355020"</f>
        <v>66355020</v>
      </c>
      <c r="M566" t="s">
        <v>21</v>
      </c>
      <c r="N566" s="1">
        <v>44392.872916666667</v>
      </c>
      <c r="O566" t="s">
        <v>19</v>
      </c>
    </row>
    <row r="567" spans="1:15" x14ac:dyDescent="0.25">
      <c r="A567" t="s">
        <v>475</v>
      </c>
      <c r="B567" t="s">
        <v>15</v>
      </c>
      <c r="C567" t="s">
        <v>221</v>
      </c>
      <c r="D567" t="s">
        <v>17</v>
      </c>
      <c r="E567" t="s">
        <v>18</v>
      </c>
      <c r="F567" t="s">
        <v>19</v>
      </c>
      <c r="G567" t="s">
        <v>20</v>
      </c>
      <c r="J567" t="s">
        <v>17</v>
      </c>
      <c r="K567" t="str">
        <f>"6972470560404"</f>
        <v>6972470560404</v>
      </c>
      <c r="L567" t="str">
        <f>"76350404"</f>
        <v>76350404</v>
      </c>
      <c r="M567" t="s">
        <v>21</v>
      </c>
      <c r="N567" s="1">
        <v>42872.847222222219</v>
      </c>
      <c r="O567" t="s">
        <v>19</v>
      </c>
    </row>
    <row r="568" spans="1:15" x14ac:dyDescent="0.25">
      <c r="A568" t="s">
        <v>476</v>
      </c>
      <c r="B568" t="s">
        <v>15</v>
      </c>
      <c r="C568" t="s">
        <v>225</v>
      </c>
      <c r="D568" t="s">
        <v>17</v>
      </c>
      <c r="E568" t="s">
        <v>18</v>
      </c>
      <c r="F568" t="s">
        <v>19</v>
      </c>
      <c r="G568" t="s">
        <v>20</v>
      </c>
      <c r="J568" t="s">
        <v>17</v>
      </c>
      <c r="K568" t="str">
        <f>"4710007730805"</f>
        <v>4710007730805</v>
      </c>
      <c r="L568" t="str">
        <f>"65030041"</f>
        <v>65030041</v>
      </c>
      <c r="M568" t="s">
        <v>84</v>
      </c>
      <c r="N568" s="1">
        <v>43441.647222222222</v>
      </c>
      <c r="O568" t="s">
        <v>19</v>
      </c>
    </row>
    <row r="569" spans="1:15" x14ac:dyDescent="0.25">
      <c r="A569" t="s">
        <v>477</v>
      </c>
      <c r="B569" t="s">
        <v>15</v>
      </c>
      <c r="C569" t="s">
        <v>64</v>
      </c>
      <c r="D569" t="s">
        <v>17</v>
      </c>
      <c r="E569" t="s">
        <v>18</v>
      </c>
      <c r="F569" t="s">
        <v>19</v>
      </c>
      <c r="G569" t="s">
        <v>20</v>
      </c>
      <c r="J569" t="s">
        <v>17</v>
      </c>
      <c r="K569" t="str">
        <f>"8713439224504"</f>
        <v>8713439224504</v>
      </c>
      <c r="L569" t="str">
        <f>"92930307"</f>
        <v>92930307</v>
      </c>
      <c r="M569" t="s">
        <v>21</v>
      </c>
      <c r="N569" s="1">
        <v>44453.683333333334</v>
      </c>
      <c r="O569" t="s">
        <v>19</v>
      </c>
    </row>
    <row r="570" spans="1:15" x14ac:dyDescent="0.25">
      <c r="A570" t="s">
        <v>478</v>
      </c>
      <c r="B570" t="s">
        <v>15</v>
      </c>
      <c r="C570" t="s">
        <v>64</v>
      </c>
      <c r="D570" t="s">
        <v>17</v>
      </c>
      <c r="E570" t="s">
        <v>18</v>
      </c>
      <c r="F570" t="s">
        <v>19</v>
      </c>
      <c r="G570" t="s">
        <v>20</v>
      </c>
      <c r="J570" t="s">
        <v>17</v>
      </c>
      <c r="K570" t="str">
        <f>"8713439232509"</f>
        <v>8713439232509</v>
      </c>
      <c r="L570" t="str">
        <f>"92933070"</f>
        <v>92933070</v>
      </c>
      <c r="M570" t="s">
        <v>21</v>
      </c>
      <c r="N570" s="1">
        <v>44453.68472222222</v>
      </c>
      <c r="O570" t="s">
        <v>19</v>
      </c>
    </row>
    <row r="571" spans="1:15" x14ac:dyDescent="0.25">
      <c r="A571" t="s">
        <v>479</v>
      </c>
      <c r="B571" t="s">
        <v>15</v>
      </c>
      <c r="C571" t="s">
        <v>225</v>
      </c>
      <c r="D571" t="s">
        <v>17</v>
      </c>
      <c r="E571" t="s">
        <v>18</v>
      </c>
      <c r="F571" t="s">
        <v>19</v>
      </c>
      <c r="G571" t="s">
        <v>20</v>
      </c>
      <c r="H571" t="s">
        <v>8</v>
      </c>
      <c r="I571" t="s">
        <v>8</v>
      </c>
      <c r="J571" t="s">
        <v>17</v>
      </c>
      <c r="K571" t="str">
        <f>"8713439228090"</f>
        <v>8713439228090</v>
      </c>
      <c r="L571" t="str">
        <f>"92034376"</f>
        <v>92034376</v>
      </c>
      <c r="M571" t="s">
        <v>21</v>
      </c>
      <c r="N571" s="1">
        <v>42872.839583333334</v>
      </c>
      <c r="O571" t="s">
        <v>19</v>
      </c>
    </row>
    <row r="572" spans="1:15" x14ac:dyDescent="0.25">
      <c r="A572" t="s">
        <v>480</v>
      </c>
      <c r="B572" t="s">
        <v>15</v>
      </c>
      <c r="C572" t="s">
        <v>225</v>
      </c>
      <c r="D572" t="s">
        <v>17</v>
      </c>
      <c r="E572" t="s">
        <v>18</v>
      </c>
      <c r="F572" t="s">
        <v>19</v>
      </c>
      <c r="G572" t="s">
        <v>20</v>
      </c>
      <c r="H572" t="s">
        <v>8</v>
      </c>
      <c r="I572" t="s">
        <v>8</v>
      </c>
      <c r="J572" t="s">
        <v>17</v>
      </c>
      <c r="K572" t="str">
        <f>"8713439219531"</f>
        <v>8713439219531</v>
      </c>
      <c r="L572" t="str">
        <f>"92371953"</f>
        <v>92371953</v>
      </c>
      <c r="M572" t="s">
        <v>21</v>
      </c>
      <c r="N572" s="1">
        <v>43706.638888888891</v>
      </c>
      <c r="O572" t="s">
        <v>19</v>
      </c>
    </row>
    <row r="573" spans="1:15" x14ac:dyDescent="0.25">
      <c r="A573" t="s">
        <v>481</v>
      </c>
      <c r="B573" t="s">
        <v>15</v>
      </c>
      <c r="C573" t="s">
        <v>225</v>
      </c>
      <c r="D573" t="s">
        <v>17</v>
      </c>
      <c r="E573" t="s">
        <v>18</v>
      </c>
      <c r="F573" t="s">
        <v>19</v>
      </c>
      <c r="G573" t="s">
        <v>20</v>
      </c>
      <c r="J573" t="s">
        <v>17</v>
      </c>
      <c r="K573" t="str">
        <f>"7298229005118"</f>
        <v>7298229005118</v>
      </c>
      <c r="L573" t="str">
        <f>"98030002"</f>
        <v>98030002</v>
      </c>
      <c r="M573" t="s">
        <v>84</v>
      </c>
      <c r="N573" s="1">
        <v>43313.980555555558</v>
      </c>
      <c r="O573" t="s">
        <v>19</v>
      </c>
    </row>
    <row r="574" spans="1:15" x14ac:dyDescent="0.25">
      <c r="A574" t="s">
        <v>482</v>
      </c>
      <c r="B574" t="s">
        <v>15</v>
      </c>
      <c r="C574" t="s">
        <v>221</v>
      </c>
      <c r="D574" t="s">
        <v>17</v>
      </c>
      <c r="E574" t="s">
        <v>18</v>
      </c>
      <c r="F574" t="s">
        <v>19</v>
      </c>
      <c r="G574" t="s">
        <v>20</v>
      </c>
      <c r="J574" t="s">
        <v>17</v>
      </c>
      <c r="K574" t="str">
        <f>"29GENH200C"</f>
        <v>29GENH200C</v>
      </c>
      <c r="L574" t="str">
        <f>"29GENH200C"</f>
        <v>29GENH200C</v>
      </c>
      <c r="M574" t="s">
        <v>21</v>
      </c>
      <c r="N574" s="1">
        <v>43805.907638888886</v>
      </c>
      <c r="O574" t="s">
        <v>19</v>
      </c>
    </row>
    <row r="575" spans="1:15" x14ac:dyDescent="0.25">
      <c r="A575" t="s">
        <v>482</v>
      </c>
      <c r="B575" t="s">
        <v>15</v>
      </c>
      <c r="C575" t="s">
        <v>221</v>
      </c>
      <c r="D575" t="s">
        <v>17</v>
      </c>
      <c r="E575" t="s">
        <v>18</v>
      </c>
      <c r="F575" t="s">
        <v>19</v>
      </c>
      <c r="G575" t="s">
        <v>20</v>
      </c>
      <c r="J575" t="s">
        <v>17</v>
      </c>
      <c r="K575" t="str">
        <f>"4710268235439"</f>
        <v>4710268235439</v>
      </c>
      <c r="L575" t="str">
        <f>"98930200"</f>
        <v>98930200</v>
      </c>
      <c r="M575" t="s">
        <v>21</v>
      </c>
      <c r="N575" s="1">
        <v>44265.868750000001</v>
      </c>
      <c r="O575" t="s">
        <v>19</v>
      </c>
    </row>
    <row r="576" spans="1:15" x14ac:dyDescent="0.25">
      <c r="A576" t="s">
        <v>483</v>
      </c>
      <c r="B576" t="s">
        <v>15</v>
      </c>
      <c r="C576" t="s">
        <v>225</v>
      </c>
      <c r="D576" t="s">
        <v>17</v>
      </c>
      <c r="E576" t="s">
        <v>18</v>
      </c>
      <c r="F576" t="s">
        <v>19</v>
      </c>
      <c r="G576" t="s">
        <v>20</v>
      </c>
      <c r="J576" t="s">
        <v>17</v>
      </c>
      <c r="K576" t="str">
        <f>"6932448204600"</f>
        <v>6932448204600</v>
      </c>
      <c r="L576" t="str">
        <f>"10005531"</f>
        <v>10005531</v>
      </c>
      <c r="M576" t="s">
        <v>75</v>
      </c>
      <c r="N576" s="1">
        <v>42941.85833333333</v>
      </c>
      <c r="O576" t="s">
        <v>19</v>
      </c>
    </row>
    <row r="577" spans="1:15" x14ac:dyDescent="0.25">
      <c r="A577" t="s">
        <v>484</v>
      </c>
      <c r="B577" t="s">
        <v>15</v>
      </c>
      <c r="C577" t="s">
        <v>225</v>
      </c>
      <c r="D577" t="s">
        <v>17</v>
      </c>
      <c r="E577" t="s">
        <v>18</v>
      </c>
      <c r="F577" t="s">
        <v>19</v>
      </c>
      <c r="G577" t="s">
        <v>20</v>
      </c>
      <c r="J577" t="s">
        <v>17</v>
      </c>
      <c r="K577" t="str">
        <f>"6925871662024"</f>
        <v>6925871662024</v>
      </c>
      <c r="L577" t="str">
        <f>"22746202"</f>
        <v>22746202</v>
      </c>
      <c r="M577" t="s">
        <v>75</v>
      </c>
      <c r="N577" s="1">
        <v>43125.848611111112</v>
      </c>
      <c r="O577" t="s">
        <v>19</v>
      </c>
    </row>
    <row r="578" spans="1:15" x14ac:dyDescent="0.25">
      <c r="A578" t="s">
        <v>485</v>
      </c>
      <c r="B578" t="s">
        <v>15</v>
      </c>
      <c r="C578" t="s">
        <v>225</v>
      </c>
      <c r="D578" t="s">
        <v>17</v>
      </c>
      <c r="E578" t="s">
        <v>18</v>
      </c>
      <c r="F578" t="s">
        <v>19</v>
      </c>
      <c r="G578" t="s">
        <v>20</v>
      </c>
      <c r="J578" t="s">
        <v>17</v>
      </c>
      <c r="K578" t="str">
        <f>"25007000"</f>
        <v>25007000</v>
      </c>
      <c r="L578" t="str">
        <f>"25007000"</f>
        <v>25007000</v>
      </c>
      <c r="M578" t="s">
        <v>75</v>
      </c>
      <c r="N578" s="1">
        <v>42872.839583333334</v>
      </c>
      <c r="O578" t="s">
        <v>19</v>
      </c>
    </row>
    <row r="579" spans="1:15" x14ac:dyDescent="0.25">
      <c r="A579" t="s">
        <v>486</v>
      </c>
      <c r="B579" t="s">
        <v>15</v>
      </c>
      <c r="C579" t="s">
        <v>225</v>
      </c>
      <c r="D579" t="s">
        <v>17</v>
      </c>
      <c r="E579" t="s">
        <v>18</v>
      </c>
      <c r="F579" t="s">
        <v>19</v>
      </c>
      <c r="G579" t="s">
        <v>20</v>
      </c>
      <c r="H579" t="s">
        <v>8</v>
      </c>
      <c r="I579" t="s">
        <v>8</v>
      </c>
      <c r="J579" t="s">
        <v>17</v>
      </c>
      <c r="K579" t="str">
        <f>"6972431710022"</f>
        <v>6972431710022</v>
      </c>
      <c r="L579" t="str">
        <f>"98031111"</f>
        <v>98031111</v>
      </c>
      <c r="M579" t="s">
        <v>21</v>
      </c>
      <c r="N579" s="1">
        <v>44247.820138888892</v>
      </c>
      <c r="O579" t="s">
        <v>19</v>
      </c>
    </row>
    <row r="580" spans="1:15" x14ac:dyDescent="0.25">
      <c r="A580" t="s">
        <v>487</v>
      </c>
      <c r="B580" t="s">
        <v>15</v>
      </c>
      <c r="C580" t="s">
        <v>30</v>
      </c>
      <c r="D580" t="s">
        <v>17</v>
      </c>
      <c r="E580" t="s">
        <v>18</v>
      </c>
      <c r="F580" t="s">
        <v>19</v>
      </c>
      <c r="G580" t="s">
        <v>20</v>
      </c>
      <c r="J580" t="s">
        <v>17</v>
      </c>
      <c r="K580" t="str">
        <f>"6936308200450"</f>
        <v>6936308200450</v>
      </c>
      <c r="L580" t="str">
        <f>"10062941"</f>
        <v>10062941</v>
      </c>
      <c r="M580" t="s">
        <v>84</v>
      </c>
      <c r="N580" s="1">
        <v>43146.896527777775</v>
      </c>
      <c r="O580" t="s">
        <v>19</v>
      </c>
    </row>
    <row r="581" spans="1:15" x14ac:dyDescent="0.25">
      <c r="A581" t="s">
        <v>488</v>
      </c>
      <c r="B581" t="s">
        <v>15</v>
      </c>
      <c r="C581" t="s">
        <v>225</v>
      </c>
      <c r="D581" t="s">
        <v>17</v>
      </c>
      <c r="E581" t="s">
        <v>18</v>
      </c>
      <c r="F581" t="s">
        <v>19</v>
      </c>
      <c r="G581" t="s">
        <v>20</v>
      </c>
      <c r="J581" t="s">
        <v>17</v>
      </c>
      <c r="K581" t="str">
        <f>"66275000"</f>
        <v>66275000</v>
      </c>
      <c r="L581" t="str">
        <f>"66275000"</f>
        <v>66275000</v>
      </c>
      <c r="M581" t="s">
        <v>75</v>
      </c>
      <c r="N581" s="1">
        <v>42872.847222222219</v>
      </c>
      <c r="O581" t="s">
        <v>19</v>
      </c>
    </row>
    <row r="582" spans="1:15" x14ac:dyDescent="0.25">
      <c r="A582" t="s">
        <v>489</v>
      </c>
      <c r="B582" t="s">
        <v>15</v>
      </c>
      <c r="C582" t="s">
        <v>225</v>
      </c>
      <c r="D582" t="s">
        <v>17</v>
      </c>
      <c r="E582" t="s">
        <v>18</v>
      </c>
      <c r="F582" t="s">
        <v>19</v>
      </c>
      <c r="G582" t="s">
        <v>20</v>
      </c>
      <c r="J582" t="s">
        <v>17</v>
      </c>
      <c r="K582" t="str">
        <f>"025215497223"</f>
        <v>025215497223</v>
      </c>
      <c r="L582" t="str">
        <f>"98030013"</f>
        <v>98030013</v>
      </c>
      <c r="M582" t="s">
        <v>84</v>
      </c>
      <c r="N582" s="1">
        <v>43313.886111111111</v>
      </c>
      <c r="O582" t="s">
        <v>19</v>
      </c>
    </row>
    <row r="583" spans="1:15" x14ac:dyDescent="0.25">
      <c r="A583" t="s">
        <v>490</v>
      </c>
      <c r="B583" t="s">
        <v>15</v>
      </c>
      <c r="C583" t="s">
        <v>225</v>
      </c>
      <c r="D583" t="s">
        <v>17</v>
      </c>
      <c r="E583" t="s">
        <v>18</v>
      </c>
      <c r="F583" t="s">
        <v>19</v>
      </c>
      <c r="G583" t="s">
        <v>20</v>
      </c>
      <c r="J583" t="s">
        <v>17</v>
      </c>
      <c r="K583" t="str">
        <f>"025215497216"</f>
        <v>025215497216</v>
      </c>
      <c r="L583" t="str">
        <f>"98031300"</f>
        <v>98031300</v>
      </c>
      <c r="M583" t="s">
        <v>84</v>
      </c>
      <c r="N583" s="1">
        <v>43313.885416666664</v>
      </c>
      <c r="O583" t="s">
        <v>19</v>
      </c>
    </row>
    <row r="584" spans="1:15" x14ac:dyDescent="0.25">
      <c r="A584" t="s">
        <v>491</v>
      </c>
      <c r="B584" t="s">
        <v>15</v>
      </c>
      <c r="C584" t="s">
        <v>225</v>
      </c>
      <c r="D584" t="s">
        <v>17</v>
      </c>
      <c r="E584" t="s">
        <v>18</v>
      </c>
      <c r="F584" t="s">
        <v>19</v>
      </c>
      <c r="G584" t="s">
        <v>20</v>
      </c>
      <c r="H584" t="s">
        <v>8</v>
      </c>
      <c r="I584" t="s">
        <v>8</v>
      </c>
      <c r="J584" t="s">
        <v>17</v>
      </c>
      <c r="K584" t="str">
        <f>"7858816048807"</f>
        <v>7858816048807</v>
      </c>
      <c r="L584" t="str">
        <f>"87034880"</f>
        <v>87034880</v>
      </c>
      <c r="M584" t="s">
        <v>21</v>
      </c>
      <c r="N584" s="1">
        <v>44252.765277777777</v>
      </c>
      <c r="O584" t="s">
        <v>19</v>
      </c>
    </row>
    <row r="585" spans="1:15" x14ac:dyDescent="0.25">
      <c r="A585" t="s">
        <v>492</v>
      </c>
      <c r="B585" t="s">
        <v>15</v>
      </c>
      <c r="C585" t="s">
        <v>225</v>
      </c>
      <c r="D585" t="s">
        <v>17</v>
      </c>
      <c r="E585" t="s">
        <v>18</v>
      </c>
      <c r="F585" t="s">
        <v>19</v>
      </c>
      <c r="G585" t="s">
        <v>20</v>
      </c>
      <c r="H585" t="s">
        <v>8</v>
      </c>
      <c r="I585" t="s">
        <v>8</v>
      </c>
      <c r="J585" t="s">
        <v>17</v>
      </c>
      <c r="K585" t="str">
        <f>"7252816073898"</f>
        <v>7252816073898</v>
      </c>
      <c r="L585" t="str">
        <f>"87037389"</f>
        <v>87037389</v>
      </c>
      <c r="M585" t="s">
        <v>21</v>
      </c>
      <c r="N585" s="1">
        <v>44211.9</v>
      </c>
      <c r="O585" t="s">
        <v>19</v>
      </c>
    </row>
    <row r="586" spans="1:15" x14ac:dyDescent="0.25">
      <c r="A586" t="s">
        <v>493</v>
      </c>
      <c r="B586" t="s">
        <v>15</v>
      </c>
      <c r="C586" t="s">
        <v>225</v>
      </c>
      <c r="D586" t="s">
        <v>17</v>
      </c>
      <c r="E586" t="s">
        <v>18</v>
      </c>
      <c r="F586" t="s">
        <v>19</v>
      </c>
      <c r="G586" t="s">
        <v>20</v>
      </c>
      <c r="J586" t="s">
        <v>17</v>
      </c>
      <c r="K586" t="str">
        <f>"7858816075827"</f>
        <v>7858816075827</v>
      </c>
      <c r="L586" t="str">
        <f>"87037582"</f>
        <v>87037582</v>
      </c>
      <c r="M586" t="s">
        <v>21</v>
      </c>
      <c r="N586" s="1">
        <v>42872.847222222219</v>
      </c>
      <c r="O586" t="s">
        <v>19</v>
      </c>
    </row>
    <row r="587" spans="1:15" x14ac:dyDescent="0.25">
      <c r="A587" t="s">
        <v>494</v>
      </c>
      <c r="B587" t="s">
        <v>15</v>
      </c>
      <c r="C587" t="s">
        <v>225</v>
      </c>
      <c r="D587" t="s">
        <v>17</v>
      </c>
      <c r="E587" t="s">
        <v>18</v>
      </c>
      <c r="F587" t="s">
        <v>19</v>
      </c>
      <c r="G587" t="s">
        <v>20</v>
      </c>
      <c r="H587" t="s">
        <v>8</v>
      </c>
      <c r="I587" t="s">
        <v>8</v>
      </c>
      <c r="J587" t="s">
        <v>17</v>
      </c>
      <c r="K587" t="str">
        <f>"7858816079474"</f>
        <v>7858816079474</v>
      </c>
      <c r="L587" t="str">
        <f>"87037947"</f>
        <v>87037947</v>
      </c>
      <c r="M587" t="s">
        <v>21</v>
      </c>
      <c r="N587" s="1">
        <v>44356.704861111109</v>
      </c>
      <c r="O587" t="s">
        <v>19</v>
      </c>
    </row>
    <row r="588" spans="1:15" x14ac:dyDescent="0.25">
      <c r="A588" t="s">
        <v>495</v>
      </c>
      <c r="B588" t="s">
        <v>15</v>
      </c>
      <c r="C588" t="s">
        <v>225</v>
      </c>
      <c r="D588" t="s">
        <v>17</v>
      </c>
      <c r="E588" t="s">
        <v>18</v>
      </c>
      <c r="F588" t="s">
        <v>19</v>
      </c>
      <c r="G588" t="s">
        <v>20</v>
      </c>
      <c r="H588" t="s">
        <v>8</v>
      </c>
      <c r="I588" t="s">
        <v>8</v>
      </c>
      <c r="J588" t="s">
        <v>17</v>
      </c>
      <c r="K588" t="str">
        <f>"6925281915376"</f>
        <v>6925281915376</v>
      </c>
      <c r="L588" t="str">
        <f>"92030300"</f>
        <v>92030300</v>
      </c>
      <c r="M588" t="s">
        <v>21</v>
      </c>
      <c r="N588" s="1">
        <v>43083.772916666669</v>
      </c>
      <c r="O588" t="s">
        <v>19</v>
      </c>
    </row>
    <row r="589" spans="1:15" x14ac:dyDescent="0.25">
      <c r="A589" t="s">
        <v>496</v>
      </c>
      <c r="B589" t="s">
        <v>15</v>
      </c>
      <c r="C589" t="s">
        <v>225</v>
      </c>
      <c r="D589" t="s">
        <v>17</v>
      </c>
      <c r="E589" t="s">
        <v>18</v>
      </c>
      <c r="F589" t="s">
        <v>19</v>
      </c>
      <c r="G589" t="s">
        <v>20</v>
      </c>
      <c r="H589" t="s">
        <v>8</v>
      </c>
      <c r="I589" t="s">
        <v>8</v>
      </c>
      <c r="J589" t="s">
        <v>17</v>
      </c>
      <c r="K589" t="str">
        <f>"021299175484"</f>
        <v>021299175484</v>
      </c>
      <c r="L589" t="str">
        <f>"98030005"</f>
        <v>98030005</v>
      </c>
      <c r="M589" t="s">
        <v>21</v>
      </c>
      <c r="N589" s="1">
        <v>44247.8125</v>
      </c>
      <c r="O589" t="s">
        <v>19</v>
      </c>
    </row>
    <row r="590" spans="1:15" x14ac:dyDescent="0.25">
      <c r="A590" t="s">
        <v>497</v>
      </c>
      <c r="B590" t="s">
        <v>15</v>
      </c>
      <c r="C590" t="s">
        <v>225</v>
      </c>
      <c r="D590" t="s">
        <v>17</v>
      </c>
      <c r="E590" t="s">
        <v>18</v>
      </c>
      <c r="F590" t="s">
        <v>19</v>
      </c>
      <c r="G590" t="s">
        <v>20</v>
      </c>
      <c r="H590" t="s">
        <v>8</v>
      </c>
      <c r="I590" t="s">
        <v>8</v>
      </c>
      <c r="J590" t="s">
        <v>17</v>
      </c>
      <c r="K590" t="str">
        <f>"021299152447"</f>
        <v>021299152447</v>
      </c>
      <c r="L590" t="str">
        <f>"98030025"</f>
        <v>98030025</v>
      </c>
      <c r="M590" t="s">
        <v>21</v>
      </c>
      <c r="N590" s="1">
        <v>44455.85833333333</v>
      </c>
      <c r="O590" t="s">
        <v>19</v>
      </c>
    </row>
    <row r="591" spans="1:15" x14ac:dyDescent="0.25">
      <c r="A591" t="s">
        <v>498</v>
      </c>
      <c r="B591" t="s">
        <v>15</v>
      </c>
      <c r="C591" t="s">
        <v>225</v>
      </c>
      <c r="D591" t="s">
        <v>17</v>
      </c>
      <c r="E591" t="s">
        <v>18</v>
      </c>
      <c r="F591" t="s">
        <v>19</v>
      </c>
      <c r="G591" t="s">
        <v>20</v>
      </c>
      <c r="H591" t="s">
        <v>8</v>
      </c>
      <c r="I591" t="s">
        <v>8</v>
      </c>
      <c r="J591" t="s">
        <v>17</v>
      </c>
      <c r="K591" t="str">
        <f>"021299184998"</f>
        <v>021299184998</v>
      </c>
      <c r="L591" t="str">
        <f>"98034998"</f>
        <v>98034998</v>
      </c>
      <c r="M591" t="s">
        <v>21</v>
      </c>
      <c r="N591" s="1">
        <v>44247.814583333333</v>
      </c>
      <c r="O591" t="s">
        <v>19</v>
      </c>
    </row>
    <row r="592" spans="1:15" x14ac:dyDescent="0.25">
      <c r="A592" t="s">
        <v>499</v>
      </c>
      <c r="B592" t="s">
        <v>15</v>
      </c>
      <c r="C592" t="s">
        <v>225</v>
      </c>
      <c r="D592" t="s">
        <v>17</v>
      </c>
      <c r="E592" t="s">
        <v>18</v>
      </c>
      <c r="F592" t="s">
        <v>19</v>
      </c>
      <c r="G592" t="s">
        <v>20</v>
      </c>
      <c r="H592" t="s">
        <v>8</v>
      </c>
      <c r="I592" t="s">
        <v>8</v>
      </c>
      <c r="J592" t="s">
        <v>17</v>
      </c>
      <c r="K592" t="str">
        <f>"021299184936"</f>
        <v>021299184936</v>
      </c>
      <c r="L592" t="str">
        <f>"98084936"</f>
        <v>98084936</v>
      </c>
      <c r="M592" t="s">
        <v>21</v>
      </c>
      <c r="N592" s="1">
        <v>44370.828472222223</v>
      </c>
      <c r="O592" t="s">
        <v>19</v>
      </c>
    </row>
    <row r="593" spans="1:15" x14ac:dyDescent="0.25">
      <c r="A593" t="s">
        <v>500</v>
      </c>
      <c r="B593" t="s">
        <v>15</v>
      </c>
      <c r="C593" t="s">
        <v>225</v>
      </c>
      <c r="D593" t="s">
        <v>17</v>
      </c>
      <c r="E593" t="s">
        <v>18</v>
      </c>
      <c r="F593" t="s">
        <v>19</v>
      </c>
      <c r="G593" t="s">
        <v>20</v>
      </c>
      <c r="H593" t="s">
        <v>8</v>
      </c>
      <c r="I593" t="s">
        <v>8</v>
      </c>
      <c r="J593" t="s">
        <v>17</v>
      </c>
      <c r="K593" t="str">
        <f>"021299181003"</f>
        <v>021299181003</v>
      </c>
      <c r="L593" t="str">
        <f>"98031003"</f>
        <v>98031003</v>
      </c>
      <c r="M593" t="s">
        <v>21</v>
      </c>
      <c r="N593" s="1">
        <v>44247.813194444447</v>
      </c>
      <c r="O593" t="s">
        <v>19</v>
      </c>
    </row>
    <row r="594" spans="1:15" x14ac:dyDescent="0.25">
      <c r="A594" t="s">
        <v>501</v>
      </c>
      <c r="B594" t="s">
        <v>15</v>
      </c>
      <c r="C594" t="s">
        <v>225</v>
      </c>
      <c r="D594" t="s">
        <v>17</v>
      </c>
      <c r="E594" t="s">
        <v>18</v>
      </c>
      <c r="F594" t="s">
        <v>19</v>
      </c>
      <c r="G594" t="s">
        <v>20</v>
      </c>
      <c r="H594" t="s">
        <v>8</v>
      </c>
      <c r="I594" t="s">
        <v>8</v>
      </c>
      <c r="J594" t="s">
        <v>17</v>
      </c>
      <c r="K594" t="str">
        <f>"021299184981"</f>
        <v>021299184981</v>
      </c>
      <c r="L594" t="str">
        <f>"98034981"</f>
        <v>98034981</v>
      </c>
      <c r="M594" t="s">
        <v>21</v>
      </c>
      <c r="N594" s="1">
        <v>44247.813888888886</v>
      </c>
      <c r="O594" t="s">
        <v>19</v>
      </c>
    </row>
    <row r="595" spans="1:15" x14ac:dyDescent="0.25">
      <c r="A595" t="s">
        <v>502</v>
      </c>
      <c r="B595" t="s">
        <v>15</v>
      </c>
      <c r="C595" t="s">
        <v>225</v>
      </c>
      <c r="D595" t="s">
        <v>17</v>
      </c>
      <c r="E595" t="s">
        <v>18</v>
      </c>
      <c r="F595" t="s">
        <v>19</v>
      </c>
      <c r="G595" t="s">
        <v>20</v>
      </c>
      <c r="H595" t="s">
        <v>8</v>
      </c>
      <c r="I595" t="s">
        <v>8</v>
      </c>
      <c r="J595" t="s">
        <v>17</v>
      </c>
      <c r="K595" t="str">
        <f>"021299187746"</f>
        <v>021299187746</v>
      </c>
      <c r="L595" t="str">
        <f>"98037746"</f>
        <v>98037746</v>
      </c>
      <c r="M595" t="s">
        <v>21</v>
      </c>
      <c r="N595" s="1">
        <v>44247.813888888886</v>
      </c>
      <c r="O595" t="s">
        <v>19</v>
      </c>
    </row>
    <row r="596" spans="1:15" x14ac:dyDescent="0.25">
      <c r="A596" t="s">
        <v>503</v>
      </c>
      <c r="B596" t="s">
        <v>15</v>
      </c>
      <c r="C596" t="s">
        <v>225</v>
      </c>
      <c r="D596" t="s">
        <v>17</v>
      </c>
      <c r="E596" t="s">
        <v>18</v>
      </c>
      <c r="F596" t="s">
        <v>19</v>
      </c>
      <c r="G596" t="s">
        <v>20</v>
      </c>
      <c r="H596" t="s">
        <v>8</v>
      </c>
      <c r="I596" t="s">
        <v>8</v>
      </c>
      <c r="J596" t="s">
        <v>17</v>
      </c>
      <c r="K596" t="str">
        <f>"021299189108"</f>
        <v>021299189108</v>
      </c>
      <c r="L596" t="str">
        <f>"98030008"</f>
        <v>98030008</v>
      </c>
      <c r="M596" t="s">
        <v>21</v>
      </c>
      <c r="N596" s="1">
        <v>44247.816666666666</v>
      </c>
      <c r="O596" t="s">
        <v>19</v>
      </c>
    </row>
    <row r="597" spans="1:15" x14ac:dyDescent="0.25">
      <c r="A597" t="s">
        <v>504</v>
      </c>
      <c r="B597" t="s">
        <v>15</v>
      </c>
      <c r="C597" t="s">
        <v>225</v>
      </c>
      <c r="D597" t="s">
        <v>17</v>
      </c>
      <c r="E597" t="s">
        <v>18</v>
      </c>
      <c r="F597" t="s">
        <v>19</v>
      </c>
      <c r="G597" t="s">
        <v>20</v>
      </c>
      <c r="H597" t="s">
        <v>8</v>
      </c>
      <c r="I597" t="s">
        <v>8</v>
      </c>
      <c r="J597" t="s">
        <v>18</v>
      </c>
      <c r="K597" t="str">
        <f>"021299191705"</f>
        <v>021299191705</v>
      </c>
      <c r="L597" t="str">
        <f>"98080008"</f>
        <v>98080008</v>
      </c>
      <c r="M597" t="s">
        <v>21</v>
      </c>
      <c r="N597" s="1">
        <v>44401.775694444441</v>
      </c>
      <c r="O597" t="s">
        <v>19</v>
      </c>
    </row>
    <row r="598" spans="1:15" x14ac:dyDescent="0.25">
      <c r="A598" t="s">
        <v>505</v>
      </c>
      <c r="B598" t="s">
        <v>15</v>
      </c>
      <c r="C598" t="s">
        <v>225</v>
      </c>
      <c r="D598" t="s">
        <v>17</v>
      </c>
      <c r="E598" t="s">
        <v>18</v>
      </c>
      <c r="F598" t="s">
        <v>19</v>
      </c>
      <c r="G598" t="s">
        <v>20</v>
      </c>
      <c r="H598" t="s">
        <v>8</v>
      </c>
      <c r="I598" t="s">
        <v>8</v>
      </c>
      <c r="J598" t="s">
        <v>17</v>
      </c>
      <c r="K598" t="str">
        <f>"021299179727"</f>
        <v>021299179727</v>
      </c>
      <c r="L598" t="str">
        <f>"98039727"</f>
        <v>98039727</v>
      </c>
      <c r="M598" t="s">
        <v>21</v>
      </c>
      <c r="N598" s="1">
        <v>44247.663888888892</v>
      </c>
      <c r="O598" t="s">
        <v>19</v>
      </c>
    </row>
    <row r="599" spans="1:15" x14ac:dyDescent="0.25">
      <c r="A599" t="s">
        <v>506</v>
      </c>
      <c r="B599" t="s">
        <v>15</v>
      </c>
      <c r="C599" t="s">
        <v>225</v>
      </c>
      <c r="D599" t="s">
        <v>17</v>
      </c>
      <c r="E599" t="s">
        <v>18</v>
      </c>
      <c r="F599" t="s">
        <v>19</v>
      </c>
      <c r="G599" t="s">
        <v>20</v>
      </c>
      <c r="H599" t="s">
        <v>8</v>
      </c>
      <c r="I599" t="s">
        <v>8</v>
      </c>
      <c r="J599" t="s">
        <v>17</v>
      </c>
      <c r="K599" t="str">
        <f>"021299147610"</f>
        <v>021299147610</v>
      </c>
      <c r="L599" t="str">
        <f>"98030010"</f>
        <v>98030010</v>
      </c>
      <c r="M599" t="s">
        <v>21</v>
      </c>
      <c r="N599" s="1">
        <v>44247.815972222219</v>
      </c>
      <c r="O599" t="s">
        <v>19</v>
      </c>
    </row>
    <row r="600" spans="1:15" x14ac:dyDescent="0.25">
      <c r="A600" t="s">
        <v>507</v>
      </c>
      <c r="B600" t="s">
        <v>15</v>
      </c>
      <c r="C600" t="s">
        <v>225</v>
      </c>
      <c r="D600" t="s">
        <v>17</v>
      </c>
      <c r="E600" t="s">
        <v>18</v>
      </c>
      <c r="F600" t="s">
        <v>19</v>
      </c>
      <c r="G600" t="s">
        <v>20</v>
      </c>
      <c r="H600" t="s">
        <v>8</v>
      </c>
      <c r="I600" t="s">
        <v>8</v>
      </c>
      <c r="J600" t="s">
        <v>17</v>
      </c>
      <c r="K600" t="str">
        <f>"021299147801"</f>
        <v>021299147801</v>
      </c>
      <c r="L600" t="str">
        <f>"98030040"</f>
        <v>98030040</v>
      </c>
      <c r="M600" t="s">
        <v>21</v>
      </c>
      <c r="N600" s="1">
        <v>44455.856249999997</v>
      </c>
      <c r="O600" t="s">
        <v>19</v>
      </c>
    </row>
    <row r="601" spans="1:15" x14ac:dyDescent="0.25">
      <c r="A601" t="s">
        <v>508</v>
      </c>
      <c r="B601" t="s">
        <v>15</v>
      </c>
      <c r="C601" t="s">
        <v>225</v>
      </c>
      <c r="D601" t="s">
        <v>17</v>
      </c>
      <c r="E601" t="s">
        <v>18</v>
      </c>
      <c r="F601" t="s">
        <v>19</v>
      </c>
      <c r="G601" t="s">
        <v>20</v>
      </c>
      <c r="J601" t="s">
        <v>17</v>
      </c>
      <c r="K601" t="str">
        <f>"10032615"</f>
        <v>10032615</v>
      </c>
      <c r="L601" t="str">
        <f>"10032615"</f>
        <v>10032615</v>
      </c>
      <c r="M601" t="s">
        <v>75</v>
      </c>
      <c r="N601" s="1">
        <v>43034.658333333333</v>
      </c>
      <c r="O601" t="s">
        <v>19</v>
      </c>
    </row>
    <row r="602" spans="1:15" x14ac:dyDescent="0.25">
      <c r="A602" t="s">
        <v>509</v>
      </c>
      <c r="B602" t="s">
        <v>15</v>
      </c>
      <c r="C602" t="s">
        <v>225</v>
      </c>
      <c r="D602" t="s">
        <v>17</v>
      </c>
      <c r="E602" t="s">
        <v>18</v>
      </c>
      <c r="F602" t="s">
        <v>19</v>
      </c>
      <c r="G602" t="s">
        <v>20</v>
      </c>
      <c r="J602" t="s">
        <v>17</v>
      </c>
      <c r="K602" t="str">
        <f>"50030900"</f>
        <v>50030900</v>
      </c>
      <c r="L602" t="str">
        <f>"50030900"</f>
        <v>50030900</v>
      </c>
      <c r="M602" t="s">
        <v>75</v>
      </c>
      <c r="N602" s="1">
        <v>42872.839583333334</v>
      </c>
      <c r="O602" t="s">
        <v>19</v>
      </c>
    </row>
    <row r="603" spans="1:15" x14ac:dyDescent="0.25">
      <c r="A603" t="s">
        <v>510</v>
      </c>
      <c r="B603" t="s">
        <v>15</v>
      </c>
      <c r="C603" t="s">
        <v>225</v>
      </c>
      <c r="D603" t="s">
        <v>17</v>
      </c>
      <c r="E603" t="s">
        <v>18</v>
      </c>
      <c r="F603" t="s">
        <v>19</v>
      </c>
      <c r="G603" t="s">
        <v>20</v>
      </c>
      <c r="J603" t="s">
        <v>17</v>
      </c>
      <c r="K603" t="str">
        <f>"3010068"</f>
        <v>3010068</v>
      </c>
      <c r="L603" t="str">
        <f>"3010068"</f>
        <v>3010068</v>
      </c>
      <c r="M603" t="s">
        <v>75</v>
      </c>
      <c r="N603" s="1">
        <v>42872.839583333334</v>
      </c>
      <c r="O603" t="s">
        <v>19</v>
      </c>
    </row>
    <row r="604" spans="1:15" x14ac:dyDescent="0.25">
      <c r="A604" t="s">
        <v>511</v>
      </c>
      <c r="B604" t="s">
        <v>15</v>
      </c>
      <c r="C604" t="s">
        <v>221</v>
      </c>
      <c r="D604" t="s">
        <v>17</v>
      </c>
      <c r="E604" t="s">
        <v>18</v>
      </c>
      <c r="F604" t="s">
        <v>19</v>
      </c>
      <c r="G604" t="s">
        <v>20</v>
      </c>
      <c r="J604" t="s">
        <v>17</v>
      </c>
      <c r="K604" t="str">
        <f>"10031303"</f>
        <v>10031303</v>
      </c>
      <c r="L604" t="str">
        <f>"10031303"</f>
        <v>10031303</v>
      </c>
      <c r="M604" t="s">
        <v>21</v>
      </c>
      <c r="N604" s="1">
        <v>43839.637499999997</v>
      </c>
      <c r="O604" t="s">
        <v>19</v>
      </c>
    </row>
    <row r="605" spans="1:15" x14ac:dyDescent="0.25">
      <c r="A605" t="s">
        <v>512</v>
      </c>
      <c r="B605" t="s">
        <v>15</v>
      </c>
      <c r="C605" t="s">
        <v>221</v>
      </c>
      <c r="D605" t="s">
        <v>17</v>
      </c>
      <c r="E605" t="s">
        <v>18</v>
      </c>
      <c r="F605" t="s">
        <v>19</v>
      </c>
      <c r="G605" t="s">
        <v>20</v>
      </c>
      <c r="J605" t="s">
        <v>17</v>
      </c>
      <c r="K605" t="str">
        <f>"6925871614689"</f>
        <v>6925871614689</v>
      </c>
      <c r="L605" t="str">
        <f>"22741468"</f>
        <v>22741468</v>
      </c>
      <c r="M605" t="s">
        <v>75</v>
      </c>
      <c r="N605" s="1">
        <v>43063.816666666666</v>
      </c>
      <c r="O605" t="s">
        <v>19</v>
      </c>
    </row>
    <row r="606" spans="1:15" x14ac:dyDescent="0.25">
      <c r="A606" t="s">
        <v>513</v>
      </c>
      <c r="B606" t="s">
        <v>15</v>
      </c>
      <c r="C606" t="s">
        <v>225</v>
      </c>
      <c r="D606" t="s">
        <v>17</v>
      </c>
      <c r="E606" t="s">
        <v>18</v>
      </c>
      <c r="F606" t="s">
        <v>19</v>
      </c>
      <c r="G606" t="s">
        <v>20</v>
      </c>
      <c r="J606" t="s">
        <v>17</v>
      </c>
      <c r="K606" t="str">
        <f>"100304032"</f>
        <v>100304032</v>
      </c>
      <c r="L606" t="str">
        <f>"100304032"</f>
        <v>100304032</v>
      </c>
      <c r="M606" t="s">
        <v>75</v>
      </c>
      <c r="N606" s="1">
        <v>42872.847222222219</v>
      </c>
      <c r="O606" t="s">
        <v>19</v>
      </c>
    </row>
    <row r="607" spans="1:15" x14ac:dyDescent="0.25">
      <c r="A607" t="s">
        <v>514</v>
      </c>
      <c r="B607" t="s">
        <v>15</v>
      </c>
      <c r="C607" t="s">
        <v>221</v>
      </c>
      <c r="D607" t="s">
        <v>17</v>
      </c>
      <c r="E607" t="s">
        <v>18</v>
      </c>
      <c r="F607" t="s">
        <v>19</v>
      </c>
      <c r="G607" t="s">
        <v>20</v>
      </c>
      <c r="J607" t="s">
        <v>17</v>
      </c>
      <c r="K607" t="str">
        <f>"6980603800686"</f>
        <v>6980603800686</v>
      </c>
      <c r="L607" t="str">
        <f>"10351209"</f>
        <v>10351209</v>
      </c>
      <c r="M607" t="s">
        <v>75</v>
      </c>
      <c r="N607" s="1">
        <v>42908.713888888888</v>
      </c>
      <c r="O607" t="s">
        <v>19</v>
      </c>
    </row>
    <row r="608" spans="1:15" x14ac:dyDescent="0.25">
      <c r="A608" t="s">
        <v>515</v>
      </c>
      <c r="B608" t="s">
        <v>15</v>
      </c>
      <c r="C608" t="s">
        <v>225</v>
      </c>
      <c r="D608" t="s">
        <v>17</v>
      </c>
      <c r="E608" t="s">
        <v>18</v>
      </c>
      <c r="F608" t="s">
        <v>19</v>
      </c>
      <c r="G608" t="s">
        <v>20</v>
      </c>
      <c r="J608" t="s">
        <v>17</v>
      </c>
      <c r="K608" t="str">
        <f>"87008100"</f>
        <v>87008100</v>
      </c>
      <c r="L608" t="str">
        <f>"87008100"</f>
        <v>87008100</v>
      </c>
      <c r="M608" t="s">
        <v>75</v>
      </c>
      <c r="N608" s="1">
        <v>42872.847222222219</v>
      </c>
      <c r="O608" t="s">
        <v>19</v>
      </c>
    </row>
    <row r="609" spans="1:15" x14ac:dyDescent="0.25">
      <c r="A609" t="s">
        <v>516</v>
      </c>
      <c r="B609" t="s">
        <v>15</v>
      </c>
      <c r="C609" t="s">
        <v>225</v>
      </c>
      <c r="D609" t="s">
        <v>17</v>
      </c>
      <c r="E609" t="s">
        <v>18</v>
      </c>
      <c r="F609" t="s">
        <v>19</v>
      </c>
      <c r="G609" t="s">
        <v>20</v>
      </c>
      <c r="J609" t="s">
        <v>17</v>
      </c>
      <c r="K609" t="str">
        <f>"87001523"</f>
        <v>87001523</v>
      </c>
      <c r="L609" t="str">
        <f>"87001523"</f>
        <v>87001523</v>
      </c>
      <c r="M609" t="s">
        <v>75</v>
      </c>
      <c r="N609" s="1">
        <v>42872.847222222219</v>
      </c>
      <c r="O609" t="s">
        <v>19</v>
      </c>
    </row>
    <row r="610" spans="1:15" x14ac:dyDescent="0.25">
      <c r="A610" t="s">
        <v>517</v>
      </c>
      <c r="B610" t="s">
        <v>15</v>
      </c>
      <c r="C610" t="s">
        <v>221</v>
      </c>
      <c r="D610" t="s">
        <v>17</v>
      </c>
      <c r="E610" t="s">
        <v>18</v>
      </c>
      <c r="F610" t="s">
        <v>19</v>
      </c>
      <c r="G610" t="s">
        <v>20</v>
      </c>
      <c r="J610" t="s">
        <v>17</v>
      </c>
      <c r="K610" t="str">
        <f>"7804612213130"</f>
        <v>7804612213130</v>
      </c>
      <c r="L610" t="str">
        <f>"98350007"</f>
        <v>98350007</v>
      </c>
      <c r="M610" t="s">
        <v>84</v>
      </c>
      <c r="N610" s="1">
        <v>43495.738888888889</v>
      </c>
      <c r="O610" t="s">
        <v>19</v>
      </c>
    </row>
    <row r="611" spans="1:15" x14ac:dyDescent="0.25">
      <c r="A611" t="s">
        <v>518</v>
      </c>
      <c r="B611" t="s">
        <v>15</v>
      </c>
      <c r="C611" t="s">
        <v>221</v>
      </c>
      <c r="D611" t="s">
        <v>17</v>
      </c>
      <c r="E611" t="s">
        <v>18</v>
      </c>
      <c r="F611" t="s">
        <v>19</v>
      </c>
      <c r="G611" t="s">
        <v>20</v>
      </c>
      <c r="J611" t="s">
        <v>17</v>
      </c>
      <c r="K611" t="str">
        <f>"6650590706598"</f>
        <v>6650590706598</v>
      </c>
      <c r="L611" t="str">
        <f>"98350100"</f>
        <v>98350100</v>
      </c>
      <c r="M611" t="s">
        <v>84</v>
      </c>
      <c r="N611" s="1">
        <v>43531.586111111108</v>
      </c>
      <c r="O611" t="s">
        <v>19</v>
      </c>
    </row>
    <row r="612" spans="1:15" x14ac:dyDescent="0.25">
      <c r="A612" t="s">
        <v>519</v>
      </c>
      <c r="B612" t="s">
        <v>15</v>
      </c>
      <c r="C612" t="s">
        <v>221</v>
      </c>
      <c r="D612" t="s">
        <v>17</v>
      </c>
      <c r="E612" t="s">
        <v>18</v>
      </c>
      <c r="F612" t="s">
        <v>19</v>
      </c>
      <c r="G612" t="s">
        <v>20</v>
      </c>
      <c r="J612" t="s">
        <v>17</v>
      </c>
      <c r="K612" t="str">
        <f>"7804612212584"</f>
        <v>7804612212584</v>
      </c>
      <c r="L612" t="str">
        <f>"98030050"</f>
        <v>98030050</v>
      </c>
      <c r="M612" t="s">
        <v>84</v>
      </c>
      <c r="N612" s="1">
        <v>43313.887499999997</v>
      </c>
      <c r="O612" t="s">
        <v>19</v>
      </c>
    </row>
    <row r="613" spans="1:15" x14ac:dyDescent="0.25">
      <c r="A613" t="s">
        <v>520</v>
      </c>
      <c r="B613" t="s">
        <v>15</v>
      </c>
      <c r="C613" t="s">
        <v>221</v>
      </c>
      <c r="D613" t="s">
        <v>17</v>
      </c>
      <c r="E613" t="s">
        <v>18</v>
      </c>
      <c r="F613" t="s">
        <v>19</v>
      </c>
      <c r="G613" t="s">
        <v>20</v>
      </c>
      <c r="J613" t="s">
        <v>17</v>
      </c>
      <c r="K613" t="str">
        <f>"7804612212577"</f>
        <v>7804612212577</v>
      </c>
      <c r="L613" t="str">
        <f>"98030090"</f>
        <v>98030090</v>
      </c>
      <c r="M613" t="s">
        <v>84</v>
      </c>
      <c r="N613" s="1">
        <v>43313.888194444444</v>
      </c>
      <c r="O613" t="s">
        <v>19</v>
      </c>
    </row>
    <row r="614" spans="1:15" x14ac:dyDescent="0.25">
      <c r="A614" t="s">
        <v>521</v>
      </c>
      <c r="B614" t="s">
        <v>15</v>
      </c>
      <c r="C614" t="s">
        <v>221</v>
      </c>
      <c r="D614" t="s">
        <v>17</v>
      </c>
      <c r="E614" t="s">
        <v>18</v>
      </c>
      <c r="F614" t="s">
        <v>19</v>
      </c>
      <c r="G614" t="s">
        <v>20</v>
      </c>
      <c r="J614" t="s">
        <v>17</v>
      </c>
      <c r="K614" t="str">
        <f>"785881608766"</f>
        <v>785881608766</v>
      </c>
      <c r="L614" t="str">
        <f>"87358766"</f>
        <v>87358766</v>
      </c>
      <c r="M614" t="s">
        <v>21</v>
      </c>
      <c r="N614" s="1">
        <v>44441.677777777775</v>
      </c>
      <c r="O614" t="s">
        <v>19</v>
      </c>
    </row>
    <row r="615" spans="1:15" x14ac:dyDescent="0.25">
      <c r="A615" t="s">
        <v>522</v>
      </c>
      <c r="B615" t="s">
        <v>15</v>
      </c>
      <c r="C615" t="s">
        <v>221</v>
      </c>
      <c r="D615" t="s">
        <v>17</v>
      </c>
      <c r="E615" t="s">
        <v>18</v>
      </c>
      <c r="F615" t="s">
        <v>19</v>
      </c>
      <c r="G615" t="s">
        <v>20</v>
      </c>
      <c r="J615" t="s">
        <v>18</v>
      </c>
      <c r="K615" t="str">
        <f>"41351408"</f>
        <v>41351408</v>
      </c>
      <c r="L615" t="str">
        <f>"41351408"</f>
        <v>41351408</v>
      </c>
      <c r="M615" t="s">
        <v>21</v>
      </c>
      <c r="N615" s="1">
        <v>44351.813194444447</v>
      </c>
      <c r="O615" t="s">
        <v>19</v>
      </c>
    </row>
    <row r="616" spans="1:15" x14ac:dyDescent="0.25">
      <c r="A616" t="s">
        <v>523</v>
      </c>
      <c r="B616" t="s">
        <v>15</v>
      </c>
      <c r="C616" t="s">
        <v>221</v>
      </c>
      <c r="D616" t="s">
        <v>17</v>
      </c>
      <c r="E616" t="s">
        <v>18</v>
      </c>
      <c r="F616" t="s">
        <v>19</v>
      </c>
      <c r="G616" t="s">
        <v>20</v>
      </c>
      <c r="J616" t="s">
        <v>17</v>
      </c>
      <c r="K616" t="str">
        <f>"34350717"</f>
        <v>34350717</v>
      </c>
      <c r="L616" t="str">
        <f>"34350717"</f>
        <v>34350717</v>
      </c>
      <c r="M616" t="s">
        <v>75</v>
      </c>
      <c r="N616" s="1">
        <v>43116.695138888892</v>
      </c>
      <c r="O616" t="s">
        <v>19</v>
      </c>
    </row>
    <row r="617" spans="1:15" x14ac:dyDescent="0.25">
      <c r="A617" t="s">
        <v>524</v>
      </c>
      <c r="B617" t="s">
        <v>15</v>
      </c>
      <c r="C617" t="s">
        <v>221</v>
      </c>
      <c r="D617" t="s">
        <v>17</v>
      </c>
      <c r="E617" t="s">
        <v>18</v>
      </c>
      <c r="F617" t="s">
        <v>19</v>
      </c>
      <c r="G617" t="s">
        <v>20</v>
      </c>
      <c r="J617" t="s">
        <v>17</v>
      </c>
      <c r="K617" t="str">
        <f>"885909934102"</f>
        <v>885909934102</v>
      </c>
      <c r="L617" t="str">
        <f>"63034102"</f>
        <v>63034102</v>
      </c>
      <c r="M617" t="s">
        <v>84</v>
      </c>
      <c r="N617" s="1">
        <v>43125.682638888888</v>
      </c>
      <c r="O617" t="s">
        <v>19</v>
      </c>
    </row>
    <row r="618" spans="1:15" x14ac:dyDescent="0.25">
      <c r="A618" t="s">
        <v>525</v>
      </c>
      <c r="B618" t="s">
        <v>15</v>
      </c>
      <c r="C618" t="s">
        <v>221</v>
      </c>
      <c r="D618" t="s">
        <v>17</v>
      </c>
      <c r="E618" t="s">
        <v>18</v>
      </c>
      <c r="F618" t="s">
        <v>19</v>
      </c>
      <c r="G618" t="s">
        <v>20</v>
      </c>
      <c r="J618" t="s">
        <v>17</v>
      </c>
      <c r="K618" t="str">
        <f>"1578153255303"</f>
        <v>1578153255303</v>
      </c>
      <c r="L618" t="str">
        <f>"61350123"</f>
        <v>61350123</v>
      </c>
      <c r="M618" t="s">
        <v>21</v>
      </c>
      <c r="N618" s="1">
        <v>43834.662499999999</v>
      </c>
      <c r="O618" t="s">
        <v>19</v>
      </c>
    </row>
    <row r="619" spans="1:15" x14ac:dyDescent="0.25">
      <c r="A619" t="s">
        <v>526</v>
      </c>
      <c r="B619" t="s">
        <v>15</v>
      </c>
      <c r="C619" t="s">
        <v>343</v>
      </c>
      <c r="D619" t="s">
        <v>17</v>
      </c>
      <c r="E619" t="s">
        <v>18</v>
      </c>
      <c r="F619" t="s">
        <v>19</v>
      </c>
      <c r="G619" t="s">
        <v>20</v>
      </c>
      <c r="J619" t="s">
        <v>17</v>
      </c>
      <c r="K619" t="str">
        <f>"5000000506570"</f>
        <v>5000000506570</v>
      </c>
      <c r="L619" t="str">
        <f>"76066570"</f>
        <v>76066570</v>
      </c>
      <c r="M619" t="s">
        <v>75</v>
      </c>
      <c r="N619" s="1">
        <v>43147.722222222219</v>
      </c>
      <c r="O619" t="s">
        <v>19</v>
      </c>
    </row>
    <row r="620" spans="1:15" x14ac:dyDescent="0.25">
      <c r="A620" t="s">
        <v>527</v>
      </c>
      <c r="B620" t="s">
        <v>15</v>
      </c>
      <c r="C620" t="s">
        <v>221</v>
      </c>
      <c r="D620" t="s">
        <v>17</v>
      </c>
      <c r="E620" t="s">
        <v>18</v>
      </c>
      <c r="F620" t="s">
        <v>19</v>
      </c>
      <c r="G620" t="s">
        <v>20</v>
      </c>
      <c r="J620" t="s">
        <v>17</v>
      </c>
      <c r="K620" t="str">
        <f>"10109647"</f>
        <v>10109647</v>
      </c>
      <c r="L620" t="str">
        <f>"10109647"</f>
        <v>10109647</v>
      </c>
      <c r="M620" t="s">
        <v>75</v>
      </c>
      <c r="N620" s="1">
        <v>42872.839583333334</v>
      </c>
      <c r="O620" t="s">
        <v>19</v>
      </c>
    </row>
    <row r="621" spans="1:15" x14ac:dyDescent="0.25">
      <c r="A621" t="s">
        <v>528</v>
      </c>
      <c r="B621" t="s">
        <v>15</v>
      </c>
      <c r="C621" t="s">
        <v>221</v>
      </c>
      <c r="D621" t="s">
        <v>17</v>
      </c>
      <c r="E621" t="s">
        <v>18</v>
      </c>
      <c r="F621" t="s">
        <v>19</v>
      </c>
      <c r="G621" t="s">
        <v>20</v>
      </c>
      <c r="J621" t="s">
        <v>17</v>
      </c>
      <c r="K621" t="str">
        <f>"6952150160506"</f>
        <v>6952150160506</v>
      </c>
      <c r="L621" t="str">
        <f>"10111858"</f>
        <v>10111858</v>
      </c>
      <c r="M621" t="s">
        <v>21</v>
      </c>
      <c r="N621" s="1">
        <v>43854.736805555556</v>
      </c>
      <c r="O621" t="s">
        <v>19</v>
      </c>
    </row>
    <row r="622" spans="1:15" x14ac:dyDescent="0.25">
      <c r="A622" t="s">
        <v>529</v>
      </c>
      <c r="B622" t="s">
        <v>15</v>
      </c>
      <c r="C622" t="s">
        <v>221</v>
      </c>
      <c r="D622" t="s">
        <v>17</v>
      </c>
      <c r="E622" t="s">
        <v>18</v>
      </c>
      <c r="F622" t="s">
        <v>19</v>
      </c>
      <c r="G622" t="s">
        <v>20</v>
      </c>
      <c r="J622" t="s">
        <v>17</v>
      </c>
      <c r="K622" t="str">
        <f>"10112067"</f>
        <v>10112067</v>
      </c>
      <c r="L622" t="str">
        <f>"10112067"</f>
        <v>10112067</v>
      </c>
      <c r="M622" t="s">
        <v>21</v>
      </c>
      <c r="N622" s="1">
        <v>43854.737500000003</v>
      </c>
      <c r="O622" t="s">
        <v>19</v>
      </c>
    </row>
    <row r="623" spans="1:15" x14ac:dyDescent="0.25">
      <c r="A623" t="s">
        <v>530</v>
      </c>
      <c r="B623" t="s">
        <v>15</v>
      </c>
      <c r="C623" t="s">
        <v>221</v>
      </c>
      <c r="D623" t="s">
        <v>17</v>
      </c>
      <c r="E623" t="s">
        <v>18</v>
      </c>
      <c r="F623" t="s">
        <v>19</v>
      </c>
      <c r="G623" t="s">
        <v>20</v>
      </c>
      <c r="J623" t="s">
        <v>17</v>
      </c>
      <c r="K623" t="str">
        <f>"6942079551127"</f>
        <v>6942079551127</v>
      </c>
      <c r="L623" t="str">
        <f>"66001127"</f>
        <v>66001127</v>
      </c>
      <c r="M623" t="s">
        <v>75</v>
      </c>
      <c r="N623" s="1">
        <v>42872.847222222219</v>
      </c>
      <c r="O623" t="s">
        <v>19</v>
      </c>
    </row>
    <row r="624" spans="1:15" x14ac:dyDescent="0.25">
      <c r="A624" t="s">
        <v>531</v>
      </c>
      <c r="B624" t="s">
        <v>15</v>
      </c>
      <c r="C624" t="s">
        <v>221</v>
      </c>
      <c r="D624" t="s">
        <v>17</v>
      </c>
      <c r="E624" t="s">
        <v>18</v>
      </c>
      <c r="F624" t="s">
        <v>19</v>
      </c>
      <c r="G624" t="s">
        <v>20</v>
      </c>
      <c r="J624" t="s">
        <v>17</v>
      </c>
      <c r="K624" t="str">
        <f>"8351354153096"</f>
        <v>8351354153096</v>
      </c>
      <c r="L624" t="str">
        <f>"10113585"</f>
        <v>10113585</v>
      </c>
      <c r="M624" t="s">
        <v>21</v>
      </c>
      <c r="N624" s="1">
        <v>43839.630555555559</v>
      </c>
      <c r="O624" t="s">
        <v>19</v>
      </c>
    </row>
    <row r="625" spans="1:15" x14ac:dyDescent="0.25">
      <c r="A625" t="s">
        <v>532</v>
      </c>
      <c r="B625" t="s">
        <v>15</v>
      </c>
      <c r="C625" t="s">
        <v>221</v>
      </c>
      <c r="D625" t="s">
        <v>17</v>
      </c>
      <c r="E625" t="s">
        <v>18</v>
      </c>
      <c r="F625" t="s">
        <v>19</v>
      </c>
      <c r="G625" t="s">
        <v>20</v>
      </c>
      <c r="J625" t="s">
        <v>17</v>
      </c>
      <c r="K625" t="str">
        <f>"6972016271252"</f>
        <v>6972016271252</v>
      </c>
      <c r="L625" t="str">
        <f>"10001237"</f>
        <v>10001237</v>
      </c>
      <c r="M625" t="s">
        <v>21</v>
      </c>
      <c r="N625" s="1">
        <v>42872.849305555559</v>
      </c>
      <c r="O625" t="s">
        <v>19</v>
      </c>
    </row>
    <row r="626" spans="1:15" x14ac:dyDescent="0.25">
      <c r="A626" t="s">
        <v>533</v>
      </c>
      <c r="B626" t="s">
        <v>15</v>
      </c>
      <c r="C626" t="s">
        <v>221</v>
      </c>
      <c r="D626" t="s">
        <v>17</v>
      </c>
      <c r="E626" t="s">
        <v>18</v>
      </c>
      <c r="F626" t="s">
        <v>19</v>
      </c>
      <c r="G626" t="s">
        <v>20</v>
      </c>
      <c r="J626" t="s">
        <v>17</v>
      </c>
      <c r="K626" t="str">
        <f>"10002480"</f>
        <v>10002480</v>
      </c>
      <c r="L626" t="str">
        <f>"10002480"</f>
        <v>10002480</v>
      </c>
      <c r="M626" t="s">
        <v>21</v>
      </c>
      <c r="N626" s="1">
        <v>42881.905555555553</v>
      </c>
      <c r="O626" t="s">
        <v>19</v>
      </c>
    </row>
    <row r="627" spans="1:15" x14ac:dyDescent="0.25">
      <c r="A627" t="s">
        <v>534</v>
      </c>
      <c r="B627" t="s">
        <v>15</v>
      </c>
      <c r="C627" t="s">
        <v>221</v>
      </c>
      <c r="D627" t="s">
        <v>17</v>
      </c>
      <c r="E627" t="s">
        <v>18</v>
      </c>
      <c r="F627" t="s">
        <v>19</v>
      </c>
      <c r="G627" t="s">
        <v>20</v>
      </c>
      <c r="J627" t="s">
        <v>17</v>
      </c>
      <c r="K627" t="str">
        <f>"6932145782333"</f>
        <v>6932145782333</v>
      </c>
      <c r="L627" t="str">
        <f>"10002977"</f>
        <v>10002977</v>
      </c>
      <c r="M627" t="s">
        <v>21</v>
      </c>
      <c r="N627" s="1">
        <v>43708.866666666669</v>
      </c>
      <c r="O627" t="s">
        <v>19</v>
      </c>
    </row>
    <row r="628" spans="1:15" x14ac:dyDescent="0.25">
      <c r="A628" t="s">
        <v>535</v>
      </c>
      <c r="B628" t="s">
        <v>15</v>
      </c>
      <c r="C628" t="s">
        <v>221</v>
      </c>
      <c r="D628" t="s">
        <v>17</v>
      </c>
      <c r="E628" t="s">
        <v>18</v>
      </c>
      <c r="F628" t="s">
        <v>19</v>
      </c>
      <c r="G628" t="s">
        <v>20</v>
      </c>
      <c r="J628" t="s">
        <v>17</v>
      </c>
      <c r="K628" t="str">
        <f>"10003383"</f>
        <v>10003383</v>
      </c>
      <c r="L628" t="str">
        <f>"10003383"</f>
        <v>10003383</v>
      </c>
      <c r="M628" t="s">
        <v>84</v>
      </c>
      <c r="N628" s="1">
        <v>43470.773611111108</v>
      </c>
      <c r="O628" t="s">
        <v>19</v>
      </c>
    </row>
    <row r="629" spans="1:15" x14ac:dyDescent="0.25">
      <c r="A629" t="s">
        <v>536</v>
      </c>
      <c r="B629" t="s">
        <v>15</v>
      </c>
      <c r="C629" t="s">
        <v>221</v>
      </c>
      <c r="D629" t="s">
        <v>17</v>
      </c>
      <c r="E629" t="s">
        <v>18</v>
      </c>
      <c r="F629" t="s">
        <v>19</v>
      </c>
      <c r="G629" t="s">
        <v>20</v>
      </c>
      <c r="J629" t="s">
        <v>17</v>
      </c>
      <c r="K629" t="str">
        <f>"8809055013452"</f>
        <v>8809055013452</v>
      </c>
      <c r="L629" t="str">
        <f>"10004013"</f>
        <v>10004013</v>
      </c>
      <c r="M629" t="s">
        <v>21</v>
      </c>
      <c r="N629" s="1">
        <v>43858.615277777775</v>
      </c>
      <c r="O629" t="s">
        <v>19</v>
      </c>
    </row>
    <row r="630" spans="1:15" x14ac:dyDescent="0.25">
      <c r="A630" t="s">
        <v>537</v>
      </c>
      <c r="B630" t="s">
        <v>15</v>
      </c>
      <c r="C630" t="s">
        <v>221</v>
      </c>
      <c r="D630" t="s">
        <v>17</v>
      </c>
      <c r="E630" t="s">
        <v>18</v>
      </c>
      <c r="F630" t="s">
        <v>19</v>
      </c>
      <c r="G630" t="s">
        <v>20</v>
      </c>
      <c r="J630" t="s">
        <v>17</v>
      </c>
      <c r="K630" t="str">
        <f>"10004032"</f>
        <v>10004032</v>
      </c>
      <c r="L630" t="str">
        <f>"10004032"</f>
        <v>10004032</v>
      </c>
      <c r="M630" t="s">
        <v>75</v>
      </c>
      <c r="N630" s="1">
        <v>42872.839583333334</v>
      </c>
      <c r="O630" t="s">
        <v>19</v>
      </c>
    </row>
    <row r="631" spans="1:15" x14ac:dyDescent="0.25">
      <c r="A631" t="s">
        <v>538</v>
      </c>
      <c r="B631" t="s">
        <v>15</v>
      </c>
      <c r="C631" t="s">
        <v>221</v>
      </c>
      <c r="D631" t="s">
        <v>17</v>
      </c>
      <c r="E631" t="s">
        <v>18</v>
      </c>
      <c r="F631" t="s">
        <v>19</v>
      </c>
      <c r="G631" t="s">
        <v>20</v>
      </c>
      <c r="J631" t="s">
        <v>17</v>
      </c>
      <c r="K631" t="str">
        <f>"7796568108342"</f>
        <v>7796568108342</v>
      </c>
      <c r="L631" t="str">
        <f>"10000608"</f>
        <v>10000608</v>
      </c>
      <c r="M631" t="s">
        <v>84</v>
      </c>
      <c r="N631" s="1">
        <v>42872.839583333334</v>
      </c>
      <c r="O631" t="s">
        <v>19</v>
      </c>
    </row>
    <row r="632" spans="1:15" x14ac:dyDescent="0.25">
      <c r="A632" t="s">
        <v>539</v>
      </c>
      <c r="B632" t="s">
        <v>15</v>
      </c>
      <c r="C632" t="s">
        <v>221</v>
      </c>
      <c r="D632" t="s">
        <v>17</v>
      </c>
      <c r="E632" t="s">
        <v>18</v>
      </c>
      <c r="F632" t="s">
        <v>19</v>
      </c>
      <c r="G632" t="s">
        <v>20</v>
      </c>
      <c r="J632" t="s">
        <v>17</v>
      </c>
      <c r="K632" t="str">
        <f>"10009766"</f>
        <v>10009766</v>
      </c>
      <c r="L632" t="str">
        <f>"10009766"</f>
        <v>10009766</v>
      </c>
      <c r="M632" t="s">
        <v>21</v>
      </c>
      <c r="N632" s="1">
        <v>43854.734722222223</v>
      </c>
      <c r="O632" t="s">
        <v>19</v>
      </c>
    </row>
    <row r="633" spans="1:15" x14ac:dyDescent="0.25">
      <c r="A633" t="s">
        <v>540</v>
      </c>
      <c r="B633" t="s">
        <v>15</v>
      </c>
      <c r="C633" t="s">
        <v>221</v>
      </c>
      <c r="D633" t="s">
        <v>17</v>
      </c>
      <c r="E633" t="s">
        <v>18</v>
      </c>
      <c r="F633" t="s">
        <v>19</v>
      </c>
      <c r="G633" t="s">
        <v>20</v>
      </c>
      <c r="J633" t="s">
        <v>17</v>
      </c>
      <c r="K633" t="str">
        <f>"6921515602425"</f>
        <v>6921515602425</v>
      </c>
      <c r="L633" t="str">
        <f>"10002211"</f>
        <v>10002211</v>
      </c>
      <c r="M633" t="s">
        <v>84</v>
      </c>
      <c r="N633" s="1">
        <v>43404.893750000003</v>
      </c>
      <c r="O633" t="s">
        <v>19</v>
      </c>
    </row>
    <row r="634" spans="1:15" x14ac:dyDescent="0.25">
      <c r="A634" t="s">
        <v>541</v>
      </c>
      <c r="B634" t="s">
        <v>15</v>
      </c>
      <c r="C634" t="s">
        <v>221</v>
      </c>
      <c r="D634" t="s">
        <v>17</v>
      </c>
      <c r="E634" t="s">
        <v>18</v>
      </c>
      <c r="F634" t="s">
        <v>19</v>
      </c>
      <c r="G634" t="s">
        <v>20</v>
      </c>
      <c r="J634" t="s">
        <v>17</v>
      </c>
      <c r="K634" t="str">
        <f>"7350080716296"</f>
        <v>7350080716296</v>
      </c>
      <c r="L634" t="str">
        <f>"63350311"</f>
        <v>63350311</v>
      </c>
      <c r="M634" t="s">
        <v>21</v>
      </c>
      <c r="N634" s="1">
        <v>43742.681250000001</v>
      </c>
      <c r="O634" t="s">
        <v>19</v>
      </c>
    </row>
    <row r="635" spans="1:15" x14ac:dyDescent="0.25">
      <c r="A635" t="s">
        <v>542</v>
      </c>
      <c r="B635" t="s">
        <v>15</v>
      </c>
      <c r="C635" t="s">
        <v>221</v>
      </c>
      <c r="D635" t="s">
        <v>17</v>
      </c>
      <c r="E635" t="s">
        <v>18</v>
      </c>
      <c r="F635" t="s">
        <v>19</v>
      </c>
      <c r="G635" t="s">
        <v>20</v>
      </c>
      <c r="J635" t="s">
        <v>17</v>
      </c>
      <c r="K635" t="str">
        <f>"6986565961120"</f>
        <v>6986565961120</v>
      </c>
      <c r="L635" t="str">
        <f>"10113981"</f>
        <v>10113981</v>
      </c>
      <c r="M635" t="s">
        <v>21</v>
      </c>
      <c r="N635" s="1">
        <v>43666.87777777778</v>
      </c>
      <c r="O635" t="s">
        <v>19</v>
      </c>
    </row>
    <row r="636" spans="1:15" x14ac:dyDescent="0.25">
      <c r="A636" t="s">
        <v>543</v>
      </c>
      <c r="B636" t="s">
        <v>15</v>
      </c>
      <c r="C636" t="s">
        <v>221</v>
      </c>
      <c r="D636" t="s">
        <v>17</v>
      </c>
      <c r="E636" t="s">
        <v>18</v>
      </c>
      <c r="F636" t="s">
        <v>19</v>
      </c>
      <c r="G636" t="s">
        <v>20</v>
      </c>
      <c r="J636" t="s">
        <v>17</v>
      </c>
      <c r="K636" t="str">
        <f>"54370005"</f>
        <v>54370005</v>
      </c>
      <c r="L636" t="str">
        <f>"54370005"</f>
        <v>54370005</v>
      </c>
      <c r="M636" t="s">
        <v>21</v>
      </c>
      <c r="N636" s="1">
        <v>43609.805555555555</v>
      </c>
      <c r="O636" t="s">
        <v>19</v>
      </c>
    </row>
    <row r="637" spans="1:15" x14ac:dyDescent="0.25">
      <c r="A637" t="s">
        <v>544</v>
      </c>
      <c r="B637" t="s">
        <v>15</v>
      </c>
      <c r="C637" t="s">
        <v>221</v>
      </c>
      <c r="D637" t="s">
        <v>17</v>
      </c>
      <c r="E637" t="s">
        <v>18</v>
      </c>
      <c r="F637" t="s">
        <v>19</v>
      </c>
      <c r="G637" t="s">
        <v>20</v>
      </c>
      <c r="J637" t="s">
        <v>17</v>
      </c>
      <c r="K637" t="str">
        <f>"6987568414224"</f>
        <v>6987568414224</v>
      </c>
      <c r="L637" t="str">
        <f>"10010477"</f>
        <v>10010477</v>
      </c>
      <c r="M637" t="s">
        <v>84</v>
      </c>
      <c r="N637" s="1">
        <v>43446.951388888891</v>
      </c>
      <c r="O637" t="s">
        <v>19</v>
      </c>
    </row>
    <row r="638" spans="1:15" x14ac:dyDescent="0.25">
      <c r="A638" t="s">
        <v>545</v>
      </c>
      <c r="B638" t="s">
        <v>15</v>
      </c>
      <c r="C638" t="s">
        <v>221</v>
      </c>
      <c r="D638" t="s">
        <v>17</v>
      </c>
      <c r="E638" t="s">
        <v>18</v>
      </c>
      <c r="F638" t="s">
        <v>19</v>
      </c>
      <c r="G638" t="s">
        <v>20</v>
      </c>
      <c r="J638" t="s">
        <v>18</v>
      </c>
      <c r="K638" t="str">
        <f>"50350035"</f>
        <v>50350035</v>
      </c>
      <c r="L638" t="str">
        <f>"50350035"</f>
        <v>50350035</v>
      </c>
      <c r="M638" t="s">
        <v>84</v>
      </c>
      <c r="N638" s="1">
        <v>43563.67083333333</v>
      </c>
      <c r="O638" t="s">
        <v>19</v>
      </c>
    </row>
    <row r="639" spans="1:15" x14ac:dyDescent="0.25">
      <c r="A639" t="s">
        <v>546</v>
      </c>
      <c r="B639" t="s">
        <v>15</v>
      </c>
      <c r="C639" t="s">
        <v>221</v>
      </c>
      <c r="D639" t="s">
        <v>17</v>
      </c>
      <c r="E639" t="s">
        <v>18</v>
      </c>
      <c r="F639" t="s">
        <v>19</v>
      </c>
      <c r="G639" t="s">
        <v>20</v>
      </c>
      <c r="J639" t="s">
        <v>17</v>
      </c>
      <c r="K639" t="str">
        <f>"6925871610223"</f>
        <v>6925871610223</v>
      </c>
      <c r="L639" t="str">
        <f>"22351022"</f>
        <v>22351022</v>
      </c>
      <c r="M639" t="s">
        <v>21</v>
      </c>
      <c r="N639" s="1">
        <v>44442.893750000003</v>
      </c>
      <c r="O639" t="s">
        <v>19</v>
      </c>
    </row>
    <row r="640" spans="1:15" x14ac:dyDescent="0.25">
      <c r="A640" t="s">
        <v>547</v>
      </c>
      <c r="B640" t="s">
        <v>15</v>
      </c>
      <c r="C640" t="s">
        <v>221</v>
      </c>
      <c r="D640" t="s">
        <v>17</v>
      </c>
      <c r="E640" t="s">
        <v>18</v>
      </c>
      <c r="F640" t="s">
        <v>19</v>
      </c>
      <c r="G640" t="s">
        <v>20</v>
      </c>
      <c r="J640" t="s">
        <v>17</v>
      </c>
      <c r="K640" t="str">
        <f>"6925871610308"</f>
        <v>6925871610308</v>
      </c>
      <c r="L640" t="str">
        <f>"22351030"</f>
        <v>22351030</v>
      </c>
      <c r="M640" t="s">
        <v>21</v>
      </c>
      <c r="N640" s="1">
        <v>44442.894444444442</v>
      </c>
      <c r="O640" t="s">
        <v>19</v>
      </c>
    </row>
    <row r="641" spans="1:15" x14ac:dyDescent="0.25">
      <c r="A641" t="s">
        <v>548</v>
      </c>
      <c r="B641" t="s">
        <v>15</v>
      </c>
      <c r="C641" t="s">
        <v>221</v>
      </c>
      <c r="D641" t="s">
        <v>17</v>
      </c>
      <c r="E641" t="s">
        <v>18</v>
      </c>
      <c r="F641" t="s">
        <v>19</v>
      </c>
      <c r="G641" t="s">
        <v>20</v>
      </c>
      <c r="J641" t="s">
        <v>17</v>
      </c>
      <c r="K641" t="str">
        <f>"6925871610315"</f>
        <v>6925871610315</v>
      </c>
      <c r="L641" t="str">
        <f>"22351031"</f>
        <v>22351031</v>
      </c>
      <c r="M641" t="s">
        <v>21</v>
      </c>
      <c r="N641" s="1">
        <v>44442.893055555556</v>
      </c>
      <c r="O641" t="s">
        <v>19</v>
      </c>
    </row>
    <row r="642" spans="1:15" x14ac:dyDescent="0.25">
      <c r="A642" t="s">
        <v>549</v>
      </c>
      <c r="B642" t="s">
        <v>15</v>
      </c>
      <c r="C642" t="s">
        <v>221</v>
      </c>
      <c r="D642" t="s">
        <v>17</v>
      </c>
      <c r="E642" t="s">
        <v>18</v>
      </c>
      <c r="F642" t="s">
        <v>19</v>
      </c>
      <c r="G642" t="s">
        <v>20</v>
      </c>
      <c r="J642" t="s">
        <v>17</v>
      </c>
      <c r="K642" t="str">
        <f>"6925871610384"</f>
        <v>6925871610384</v>
      </c>
      <c r="L642" t="str">
        <f>"22351038"</f>
        <v>22351038</v>
      </c>
      <c r="M642" t="s">
        <v>21</v>
      </c>
      <c r="N642" s="1">
        <v>44442.893055555556</v>
      </c>
      <c r="O642" t="s">
        <v>19</v>
      </c>
    </row>
    <row r="643" spans="1:15" x14ac:dyDescent="0.25">
      <c r="A643" t="s">
        <v>550</v>
      </c>
      <c r="B643" t="s">
        <v>15</v>
      </c>
      <c r="C643" t="s">
        <v>221</v>
      </c>
      <c r="D643" t="s">
        <v>17</v>
      </c>
      <c r="E643" t="s">
        <v>18</v>
      </c>
      <c r="F643" t="s">
        <v>19</v>
      </c>
      <c r="G643" t="s">
        <v>20</v>
      </c>
      <c r="J643" t="s">
        <v>17</v>
      </c>
      <c r="K643" t="str">
        <f>"6925871611053"</f>
        <v>6925871611053</v>
      </c>
      <c r="L643" t="str">
        <f>"22351105"</f>
        <v>22351105</v>
      </c>
      <c r="M643" t="s">
        <v>21</v>
      </c>
      <c r="N643" s="1">
        <v>43853.824305555558</v>
      </c>
      <c r="O643" t="s">
        <v>19</v>
      </c>
    </row>
    <row r="644" spans="1:15" x14ac:dyDescent="0.25">
      <c r="A644" t="s">
        <v>551</v>
      </c>
      <c r="B644" t="s">
        <v>15</v>
      </c>
      <c r="C644" t="s">
        <v>221</v>
      </c>
      <c r="D644" t="s">
        <v>17</v>
      </c>
      <c r="E644" t="s">
        <v>18</v>
      </c>
      <c r="F644" t="s">
        <v>19</v>
      </c>
      <c r="G644" t="s">
        <v>20</v>
      </c>
      <c r="J644" t="s">
        <v>17</v>
      </c>
      <c r="K644" t="str">
        <f>"6925871611183"</f>
        <v>6925871611183</v>
      </c>
      <c r="L644" t="str">
        <f>"22351118"</f>
        <v>22351118</v>
      </c>
      <c r="M644" t="s">
        <v>21</v>
      </c>
      <c r="N644" s="1">
        <v>43853.825694444444</v>
      </c>
      <c r="O644" t="s">
        <v>19</v>
      </c>
    </row>
    <row r="645" spans="1:15" x14ac:dyDescent="0.25">
      <c r="A645" t="s">
        <v>552</v>
      </c>
      <c r="B645" t="s">
        <v>15</v>
      </c>
      <c r="C645" t="s">
        <v>221</v>
      </c>
      <c r="D645" t="s">
        <v>17</v>
      </c>
      <c r="E645" t="s">
        <v>18</v>
      </c>
      <c r="F645" t="s">
        <v>19</v>
      </c>
      <c r="G645" t="s">
        <v>20</v>
      </c>
      <c r="J645" t="s">
        <v>17</v>
      </c>
      <c r="K645" t="str">
        <f>"6925871611374"</f>
        <v>6925871611374</v>
      </c>
      <c r="L645" t="str">
        <f>"22741137"</f>
        <v>22741137</v>
      </c>
      <c r="M645" t="s">
        <v>75</v>
      </c>
      <c r="N645" s="1">
        <v>42881.894444444442</v>
      </c>
      <c r="O645" t="s">
        <v>19</v>
      </c>
    </row>
    <row r="646" spans="1:15" x14ac:dyDescent="0.25">
      <c r="A646" t="s">
        <v>553</v>
      </c>
      <c r="B646" t="s">
        <v>15</v>
      </c>
      <c r="C646" t="s">
        <v>221</v>
      </c>
      <c r="D646" t="s">
        <v>17</v>
      </c>
      <c r="E646" t="s">
        <v>18</v>
      </c>
      <c r="F646" t="s">
        <v>19</v>
      </c>
      <c r="G646" t="s">
        <v>20</v>
      </c>
      <c r="J646" t="s">
        <v>17</v>
      </c>
      <c r="K646" t="str">
        <f>"6925871611664"</f>
        <v>6925871611664</v>
      </c>
      <c r="L646" t="str">
        <f>"22351166"</f>
        <v>22351166</v>
      </c>
      <c r="M646" t="s">
        <v>75</v>
      </c>
      <c r="N646" s="1">
        <v>42881.895138888889</v>
      </c>
      <c r="O646" t="s">
        <v>19</v>
      </c>
    </row>
    <row r="647" spans="1:15" x14ac:dyDescent="0.25">
      <c r="A647" t="s">
        <v>554</v>
      </c>
      <c r="B647" t="s">
        <v>15</v>
      </c>
      <c r="C647" t="s">
        <v>221</v>
      </c>
      <c r="D647" t="s">
        <v>17</v>
      </c>
      <c r="E647" t="s">
        <v>18</v>
      </c>
      <c r="F647" t="s">
        <v>19</v>
      </c>
      <c r="G647" t="s">
        <v>20</v>
      </c>
      <c r="J647" t="s">
        <v>17</v>
      </c>
      <c r="K647" t="str">
        <f>"6925871612470"</f>
        <v>6925871612470</v>
      </c>
      <c r="L647" t="str">
        <f>"22351247"</f>
        <v>22351247</v>
      </c>
      <c r="M647" t="s">
        <v>21</v>
      </c>
      <c r="N647" s="1">
        <v>44442.893750000003</v>
      </c>
      <c r="O647" t="s">
        <v>19</v>
      </c>
    </row>
    <row r="648" spans="1:15" x14ac:dyDescent="0.25">
      <c r="A648" t="s">
        <v>555</v>
      </c>
      <c r="B648" t="s">
        <v>15</v>
      </c>
      <c r="C648" t="s">
        <v>221</v>
      </c>
      <c r="D648" t="s">
        <v>17</v>
      </c>
      <c r="E648" t="s">
        <v>18</v>
      </c>
      <c r="F648" t="s">
        <v>19</v>
      </c>
      <c r="G648" t="s">
        <v>20</v>
      </c>
      <c r="J648" t="s">
        <v>17</v>
      </c>
      <c r="K648" t="str">
        <f>"6925871612814"</f>
        <v>6925871612814</v>
      </c>
      <c r="L648" t="str">
        <f>"22351281"</f>
        <v>22351281</v>
      </c>
      <c r="M648" t="s">
        <v>21</v>
      </c>
      <c r="N648" s="1">
        <v>44405.869444444441</v>
      </c>
      <c r="O648" t="s">
        <v>19</v>
      </c>
    </row>
    <row r="649" spans="1:15" x14ac:dyDescent="0.25">
      <c r="A649" t="s">
        <v>556</v>
      </c>
      <c r="B649" t="s">
        <v>15</v>
      </c>
      <c r="C649" t="s">
        <v>221</v>
      </c>
      <c r="D649" t="s">
        <v>17</v>
      </c>
      <c r="E649" t="s">
        <v>18</v>
      </c>
      <c r="F649" t="s">
        <v>19</v>
      </c>
      <c r="G649" t="s">
        <v>20</v>
      </c>
      <c r="J649" t="s">
        <v>17</v>
      </c>
      <c r="K649" t="str">
        <f>"6925871612883"</f>
        <v>6925871612883</v>
      </c>
      <c r="L649" t="str">
        <f>"22351288"</f>
        <v>22351288</v>
      </c>
      <c r="M649" t="s">
        <v>21</v>
      </c>
      <c r="N649" s="1">
        <v>43545.909722222219</v>
      </c>
      <c r="O649" t="s">
        <v>19</v>
      </c>
    </row>
    <row r="650" spans="1:15" x14ac:dyDescent="0.25">
      <c r="A650" t="s">
        <v>557</v>
      </c>
      <c r="B650" t="s">
        <v>15</v>
      </c>
      <c r="C650" t="s">
        <v>221</v>
      </c>
      <c r="D650" t="s">
        <v>17</v>
      </c>
      <c r="E650" t="s">
        <v>18</v>
      </c>
      <c r="F650" t="s">
        <v>19</v>
      </c>
      <c r="G650" t="s">
        <v>20</v>
      </c>
      <c r="J650" t="s">
        <v>17</v>
      </c>
      <c r="K650" t="str">
        <f>"6925871613293"</f>
        <v>6925871613293</v>
      </c>
      <c r="L650" t="str">
        <f>"22351329"</f>
        <v>22351329</v>
      </c>
      <c r="M650" t="s">
        <v>21</v>
      </c>
      <c r="N650" s="1">
        <v>44341.803472222222</v>
      </c>
      <c r="O650" t="s">
        <v>19</v>
      </c>
    </row>
    <row r="651" spans="1:15" x14ac:dyDescent="0.25">
      <c r="A651" t="s">
        <v>558</v>
      </c>
      <c r="B651" t="s">
        <v>15</v>
      </c>
      <c r="C651" t="s">
        <v>221</v>
      </c>
      <c r="D651" t="s">
        <v>17</v>
      </c>
      <c r="E651" t="s">
        <v>18</v>
      </c>
      <c r="F651" t="s">
        <v>19</v>
      </c>
      <c r="G651" t="s">
        <v>20</v>
      </c>
      <c r="J651" t="s">
        <v>17</v>
      </c>
      <c r="K651" t="str">
        <f>"6925871613354"</f>
        <v>6925871613354</v>
      </c>
      <c r="L651" t="str">
        <f>"22351335"</f>
        <v>22351335</v>
      </c>
      <c r="M651" t="s">
        <v>21</v>
      </c>
      <c r="N651" s="1">
        <v>44405.929166666669</v>
      </c>
      <c r="O651" t="s">
        <v>19</v>
      </c>
    </row>
    <row r="652" spans="1:15" x14ac:dyDescent="0.25">
      <c r="A652" t="s">
        <v>559</v>
      </c>
      <c r="B652" t="s">
        <v>15</v>
      </c>
      <c r="C652" t="s">
        <v>221</v>
      </c>
      <c r="D652" t="s">
        <v>17</v>
      </c>
      <c r="E652" t="s">
        <v>18</v>
      </c>
      <c r="F652" t="s">
        <v>19</v>
      </c>
      <c r="G652" t="s">
        <v>20</v>
      </c>
      <c r="J652" t="s">
        <v>17</v>
      </c>
      <c r="K652" t="str">
        <f>"6925871613460"</f>
        <v>6925871613460</v>
      </c>
      <c r="L652" t="str">
        <f>"22351346"</f>
        <v>22351346</v>
      </c>
      <c r="M652" t="s">
        <v>75</v>
      </c>
      <c r="N652" s="1">
        <v>42881.896527777775</v>
      </c>
      <c r="O652" t="s">
        <v>19</v>
      </c>
    </row>
    <row r="653" spans="1:15" x14ac:dyDescent="0.25">
      <c r="A653" t="s">
        <v>560</v>
      </c>
      <c r="B653" t="s">
        <v>15</v>
      </c>
      <c r="C653" t="s">
        <v>221</v>
      </c>
      <c r="D653" t="s">
        <v>17</v>
      </c>
      <c r="E653" t="s">
        <v>18</v>
      </c>
      <c r="F653" t="s">
        <v>19</v>
      </c>
      <c r="G653" t="s">
        <v>20</v>
      </c>
      <c r="J653" t="s">
        <v>17</v>
      </c>
      <c r="K653" t="str">
        <f>"6925871614092"</f>
        <v>6925871614092</v>
      </c>
      <c r="L653" t="str">
        <f>"22351409"</f>
        <v>22351409</v>
      </c>
      <c r="M653" t="s">
        <v>21</v>
      </c>
      <c r="N653" s="1">
        <v>44405.927777777775</v>
      </c>
      <c r="O653" t="s">
        <v>19</v>
      </c>
    </row>
    <row r="654" spans="1:15" x14ac:dyDescent="0.25">
      <c r="A654" t="s">
        <v>561</v>
      </c>
      <c r="B654" t="s">
        <v>15</v>
      </c>
      <c r="C654" t="s">
        <v>221</v>
      </c>
      <c r="D654" t="s">
        <v>17</v>
      </c>
      <c r="E654" t="s">
        <v>18</v>
      </c>
      <c r="F654" t="s">
        <v>19</v>
      </c>
      <c r="G654" t="s">
        <v>20</v>
      </c>
      <c r="J654" t="s">
        <v>17</v>
      </c>
      <c r="K654" t="str">
        <f>"6925871614320"</f>
        <v>6925871614320</v>
      </c>
      <c r="L654" t="str">
        <f>"22741432"</f>
        <v>22741432</v>
      </c>
      <c r="M654" t="s">
        <v>75</v>
      </c>
      <c r="N654" s="1">
        <v>43063.818749999999</v>
      </c>
      <c r="O654" t="s">
        <v>19</v>
      </c>
    </row>
    <row r="655" spans="1:15" x14ac:dyDescent="0.25">
      <c r="A655" t="s">
        <v>562</v>
      </c>
      <c r="B655" t="s">
        <v>15</v>
      </c>
      <c r="C655" t="s">
        <v>221</v>
      </c>
      <c r="D655" t="s">
        <v>17</v>
      </c>
      <c r="E655" t="s">
        <v>18</v>
      </c>
      <c r="F655" t="s">
        <v>19</v>
      </c>
      <c r="G655" t="s">
        <v>20</v>
      </c>
      <c r="J655" t="s">
        <v>17</v>
      </c>
      <c r="K655" t="str">
        <f>"6925871615952"</f>
        <v>6925871615952</v>
      </c>
      <c r="L655" t="str">
        <f>"22371595"</f>
        <v>22371595</v>
      </c>
      <c r="M655" t="s">
        <v>84</v>
      </c>
      <c r="N655" s="1">
        <v>43501.955555555556</v>
      </c>
      <c r="O655" t="s">
        <v>19</v>
      </c>
    </row>
    <row r="656" spans="1:15" x14ac:dyDescent="0.25">
      <c r="A656" t="s">
        <v>563</v>
      </c>
      <c r="B656" t="s">
        <v>15</v>
      </c>
      <c r="C656" t="s">
        <v>221</v>
      </c>
      <c r="D656" t="s">
        <v>17</v>
      </c>
      <c r="E656" t="s">
        <v>18</v>
      </c>
      <c r="F656" t="s">
        <v>19</v>
      </c>
      <c r="G656" t="s">
        <v>20</v>
      </c>
      <c r="J656" t="s">
        <v>17</v>
      </c>
      <c r="K656" t="str">
        <f>"6925871616164"</f>
        <v>6925871616164</v>
      </c>
      <c r="L656" t="str">
        <f>"22351616"</f>
        <v>22351616</v>
      </c>
      <c r="M656" t="s">
        <v>21</v>
      </c>
      <c r="N656" s="1">
        <v>44341.804861111108</v>
      </c>
      <c r="O656" t="s">
        <v>19</v>
      </c>
    </row>
    <row r="657" spans="1:15" x14ac:dyDescent="0.25">
      <c r="A657" t="s">
        <v>564</v>
      </c>
      <c r="B657" t="s">
        <v>15</v>
      </c>
      <c r="C657" t="s">
        <v>221</v>
      </c>
      <c r="D657" t="s">
        <v>17</v>
      </c>
      <c r="E657" t="s">
        <v>18</v>
      </c>
      <c r="F657" t="s">
        <v>19</v>
      </c>
      <c r="G657" t="s">
        <v>20</v>
      </c>
      <c r="J657" t="s">
        <v>17</v>
      </c>
      <c r="K657" t="str">
        <f>"6925871617338"</f>
        <v>6925871617338</v>
      </c>
      <c r="L657" t="str">
        <f>"22741733"</f>
        <v>22741733</v>
      </c>
      <c r="M657" t="s">
        <v>75</v>
      </c>
      <c r="N657" s="1">
        <v>43063.815972222219</v>
      </c>
      <c r="O657" t="s">
        <v>19</v>
      </c>
    </row>
    <row r="658" spans="1:15" x14ac:dyDescent="0.25">
      <c r="A658" t="s">
        <v>565</v>
      </c>
      <c r="B658" t="s">
        <v>15</v>
      </c>
      <c r="C658" t="s">
        <v>221</v>
      </c>
      <c r="D658" t="s">
        <v>17</v>
      </c>
      <c r="E658" t="s">
        <v>18</v>
      </c>
      <c r="F658" t="s">
        <v>19</v>
      </c>
      <c r="G658" t="s">
        <v>20</v>
      </c>
      <c r="J658" t="s">
        <v>17</v>
      </c>
      <c r="K658" t="str">
        <f>"6925871621007"</f>
        <v>6925871621007</v>
      </c>
      <c r="L658" t="str">
        <f>"98352100"</f>
        <v>98352100</v>
      </c>
      <c r="M658" t="s">
        <v>21</v>
      </c>
      <c r="N658" s="1">
        <v>44247.662499999999</v>
      </c>
      <c r="O658" t="s">
        <v>19</v>
      </c>
    </row>
    <row r="659" spans="1:15" x14ac:dyDescent="0.25">
      <c r="A659" t="s">
        <v>566</v>
      </c>
      <c r="B659" t="s">
        <v>15</v>
      </c>
      <c r="C659" t="s">
        <v>221</v>
      </c>
      <c r="D659" t="s">
        <v>17</v>
      </c>
      <c r="E659" t="s">
        <v>18</v>
      </c>
      <c r="F659" t="s">
        <v>19</v>
      </c>
      <c r="G659" t="s">
        <v>20</v>
      </c>
      <c r="J659" t="s">
        <v>17</v>
      </c>
      <c r="K659" t="str">
        <f>"6925871621403"</f>
        <v>6925871621403</v>
      </c>
      <c r="L659" t="str">
        <f>"22352140"</f>
        <v>22352140</v>
      </c>
      <c r="M659" t="s">
        <v>84</v>
      </c>
      <c r="N659" s="1">
        <v>43314.723611111112</v>
      </c>
      <c r="O659" t="s">
        <v>19</v>
      </c>
    </row>
    <row r="660" spans="1:15" x14ac:dyDescent="0.25">
      <c r="A660" t="s">
        <v>567</v>
      </c>
      <c r="B660" t="s">
        <v>15</v>
      </c>
      <c r="C660" t="s">
        <v>221</v>
      </c>
      <c r="D660" t="s">
        <v>17</v>
      </c>
      <c r="E660" t="s">
        <v>18</v>
      </c>
      <c r="F660" t="s">
        <v>19</v>
      </c>
      <c r="G660" t="s">
        <v>20</v>
      </c>
      <c r="J660" t="s">
        <v>17</v>
      </c>
      <c r="K660" t="str">
        <f>"6925871623100"</f>
        <v>6925871623100</v>
      </c>
      <c r="L660" t="str">
        <f>"22372310"</f>
        <v>22372310</v>
      </c>
      <c r="M660" t="s">
        <v>21</v>
      </c>
      <c r="N660" s="1">
        <v>43644.732638888891</v>
      </c>
      <c r="O660" t="s">
        <v>19</v>
      </c>
    </row>
    <row r="661" spans="1:15" x14ac:dyDescent="0.25">
      <c r="A661" t="s">
        <v>568</v>
      </c>
      <c r="B661" t="s">
        <v>15</v>
      </c>
      <c r="C661" t="s">
        <v>221</v>
      </c>
      <c r="D661" t="s">
        <v>17</v>
      </c>
      <c r="E661" t="s">
        <v>18</v>
      </c>
      <c r="F661" t="s">
        <v>19</v>
      </c>
      <c r="G661" t="s">
        <v>20</v>
      </c>
      <c r="J661" t="s">
        <v>17</v>
      </c>
      <c r="K661" t="str">
        <f>"6925871623193"</f>
        <v>6925871623193</v>
      </c>
      <c r="L661" t="str">
        <f>"98352319"</f>
        <v>98352319</v>
      </c>
      <c r="M661" t="s">
        <v>21</v>
      </c>
      <c r="N661" s="1">
        <v>43404.65</v>
      </c>
      <c r="O661" t="s">
        <v>19</v>
      </c>
    </row>
    <row r="662" spans="1:15" x14ac:dyDescent="0.25">
      <c r="A662" t="s">
        <v>569</v>
      </c>
      <c r="B662" t="s">
        <v>15</v>
      </c>
      <c r="C662" t="s">
        <v>221</v>
      </c>
      <c r="D662" t="s">
        <v>17</v>
      </c>
      <c r="E662" t="s">
        <v>18</v>
      </c>
      <c r="F662" t="s">
        <v>19</v>
      </c>
      <c r="G662" t="s">
        <v>20</v>
      </c>
      <c r="J662" t="s">
        <v>17</v>
      </c>
      <c r="K662" t="str">
        <f>"6925871623506"</f>
        <v>6925871623506</v>
      </c>
      <c r="L662" t="str">
        <f>"22352350"</f>
        <v>22352350</v>
      </c>
      <c r="M662" t="s">
        <v>21</v>
      </c>
      <c r="N662" s="1">
        <v>44296.611111111109</v>
      </c>
      <c r="O662" t="s">
        <v>19</v>
      </c>
    </row>
    <row r="663" spans="1:15" x14ac:dyDescent="0.25">
      <c r="A663" t="s">
        <v>570</v>
      </c>
      <c r="B663" t="s">
        <v>15</v>
      </c>
      <c r="C663" t="s">
        <v>221</v>
      </c>
      <c r="D663" t="s">
        <v>17</v>
      </c>
      <c r="E663" t="s">
        <v>18</v>
      </c>
      <c r="F663" t="s">
        <v>19</v>
      </c>
      <c r="G663" t="s">
        <v>20</v>
      </c>
      <c r="J663" t="s">
        <v>17</v>
      </c>
      <c r="K663" t="str">
        <f>"98032450"</f>
        <v>98032450</v>
      </c>
      <c r="L663" t="str">
        <f>"98032450"</f>
        <v>98032450</v>
      </c>
      <c r="M663" t="s">
        <v>84</v>
      </c>
      <c r="N663" s="1">
        <v>43089.727083333331</v>
      </c>
      <c r="O663" t="s">
        <v>19</v>
      </c>
    </row>
    <row r="664" spans="1:15" x14ac:dyDescent="0.25">
      <c r="A664" t="s">
        <v>571</v>
      </c>
      <c r="B664" t="s">
        <v>15</v>
      </c>
      <c r="C664" t="s">
        <v>221</v>
      </c>
      <c r="D664" t="s">
        <v>17</v>
      </c>
      <c r="E664" t="s">
        <v>18</v>
      </c>
      <c r="F664" t="s">
        <v>19</v>
      </c>
      <c r="G664" t="s">
        <v>20</v>
      </c>
      <c r="J664" t="s">
        <v>17</v>
      </c>
      <c r="K664" t="str">
        <f>"6925871624503"</f>
        <v>6925871624503</v>
      </c>
      <c r="L664" t="str">
        <f>"22032450"</f>
        <v>22032450</v>
      </c>
      <c r="M664" t="s">
        <v>84</v>
      </c>
      <c r="N664" s="1">
        <v>43350.588888888888</v>
      </c>
      <c r="O664" t="s">
        <v>19</v>
      </c>
    </row>
    <row r="665" spans="1:15" x14ac:dyDescent="0.25">
      <c r="A665" t="s">
        <v>572</v>
      </c>
      <c r="B665" t="s">
        <v>15</v>
      </c>
      <c r="C665" t="s">
        <v>221</v>
      </c>
      <c r="D665" t="s">
        <v>17</v>
      </c>
      <c r="E665" t="s">
        <v>18</v>
      </c>
      <c r="F665" t="s">
        <v>19</v>
      </c>
      <c r="G665" t="s">
        <v>20</v>
      </c>
      <c r="J665" t="s">
        <v>17</v>
      </c>
      <c r="K665" t="str">
        <f>"6925871624923"</f>
        <v>6925871624923</v>
      </c>
      <c r="L665" t="str">
        <f>"22352492"</f>
        <v>22352492</v>
      </c>
      <c r="M665" t="s">
        <v>21</v>
      </c>
      <c r="N665" s="1">
        <v>44405.863888888889</v>
      </c>
      <c r="O665" t="s">
        <v>19</v>
      </c>
    </row>
    <row r="666" spans="1:15" x14ac:dyDescent="0.25">
      <c r="A666" t="s">
        <v>573</v>
      </c>
      <c r="B666" t="s">
        <v>15</v>
      </c>
      <c r="C666" t="s">
        <v>221</v>
      </c>
      <c r="D666" t="s">
        <v>17</v>
      </c>
      <c r="E666" t="s">
        <v>18</v>
      </c>
      <c r="F666" t="s">
        <v>19</v>
      </c>
      <c r="G666" t="s">
        <v>20</v>
      </c>
      <c r="J666" t="s">
        <v>17</v>
      </c>
      <c r="K666" t="str">
        <f>"6925871626507"</f>
        <v>6925871626507</v>
      </c>
      <c r="L666" t="str">
        <f>"22352650"</f>
        <v>22352650</v>
      </c>
      <c r="M666" t="s">
        <v>21</v>
      </c>
      <c r="N666" s="1">
        <v>44352.694444444445</v>
      </c>
      <c r="O666" t="s">
        <v>19</v>
      </c>
    </row>
    <row r="667" spans="1:15" x14ac:dyDescent="0.25">
      <c r="A667" t="s">
        <v>574</v>
      </c>
      <c r="B667" t="s">
        <v>15</v>
      </c>
      <c r="C667" t="s">
        <v>221</v>
      </c>
      <c r="D667" t="s">
        <v>17</v>
      </c>
      <c r="E667" t="s">
        <v>18</v>
      </c>
      <c r="F667" t="s">
        <v>19</v>
      </c>
      <c r="G667" t="s">
        <v>20</v>
      </c>
      <c r="J667" t="s">
        <v>17</v>
      </c>
      <c r="K667" t="str">
        <f>"6925871627009"</f>
        <v>6925871627009</v>
      </c>
      <c r="L667" t="str">
        <f>"22372700"</f>
        <v>22372700</v>
      </c>
      <c r="M667" t="s">
        <v>84</v>
      </c>
      <c r="N667" s="1">
        <v>43551.775694444441</v>
      </c>
      <c r="O667" t="s">
        <v>19</v>
      </c>
    </row>
    <row r="668" spans="1:15" x14ac:dyDescent="0.25">
      <c r="A668" t="s">
        <v>575</v>
      </c>
      <c r="B668" t="s">
        <v>15</v>
      </c>
      <c r="C668" t="s">
        <v>221</v>
      </c>
      <c r="D668" t="s">
        <v>17</v>
      </c>
      <c r="E668" t="s">
        <v>18</v>
      </c>
      <c r="F668" t="s">
        <v>19</v>
      </c>
      <c r="G668" t="s">
        <v>20</v>
      </c>
      <c r="J668" t="s">
        <v>17</v>
      </c>
      <c r="K668" t="str">
        <f>"6925871629119"</f>
        <v>6925871629119</v>
      </c>
      <c r="L668" t="str">
        <f>"22742911"</f>
        <v>22742911</v>
      </c>
      <c r="M668" t="s">
        <v>84</v>
      </c>
      <c r="N668" s="1">
        <v>43369.759027777778</v>
      </c>
      <c r="O668" t="s">
        <v>19</v>
      </c>
    </row>
    <row r="669" spans="1:15" x14ac:dyDescent="0.25">
      <c r="A669" t="s">
        <v>576</v>
      </c>
      <c r="B669" t="s">
        <v>15</v>
      </c>
      <c r="C669" t="s">
        <v>221</v>
      </c>
      <c r="D669" t="s">
        <v>17</v>
      </c>
      <c r="E669" t="s">
        <v>18</v>
      </c>
      <c r="F669" t="s">
        <v>19</v>
      </c>
      <c r="G669" t="s">
        <v>20</v>
      </c>
      <c r="J669" t="s">
        <v>17</v>
      </c>
      <c r="K669" t="str">
        <f>"6925871629218"</f>
        <v>6925871629218</v>
      </c>
      <c r="L669" t="str">
        <f>"22372921"</f>
        <v>22372921</v>
      </c>
      <c r="M669" t="s">
        <v>21</v>
      </c>
      <c r="N669" s="1">
        <v>43595.767361111109</v>
      </c>
      <c r="O669" t="s">
        <v>19</v>
      </c>
    </row>
    <row r="670" spans="1:15" x14ac:dyDescent="0.25">
      <c r="A670" t="s">
        <v>577</v>
      </c>
      <c r="B670" t="s">
        <v>15</v>
      </c>
      <c r="C670" t="s">
        <v>221</v>
      </c>
      <c r="D670" t="s">
        <v>17</v>
      </c>
      <c r="E670" t="s">
        <v>18</v>
      </c>
      <c r="F670" t="s">
        <v>19</v>
      </c>
      <c r="G670" t="s">
        <v>20</v>
      </c>
      <c r="J670" t="s">
        <v>17</v>
      </c>
      <c r="K670" t="str">
        <f>"6956322151194"</f>
        <v>6956322151194</v>
      </c>
      <c r="L670" t="str">
        <f>"10002001"</f>
        <v>10002001</v>
      </c>
      <c r="M670" t="s">
        <v>84</v>
      </c>
      <c r="N670" s="1">
        <v>43510.675000000003</v>
      </c>
      <c r="O670" t="s">
        <v>19</v>
      </c>
    </row>
    <row r="671" spans="1:15" x14ac:dyDescent="0.25">
      <c r="A671" t="s">
        <v>578</v>
      </c>
      <c r="B671" t="s">
        <v>15</v>
      </c>
      <c r="C671" t="s">
        <v>221</v>
      </c>
      <c r="D671" t="s">
        <v>17</v>
      </c>
      <c r="E671" t="s">
        <v>18</v>
      </c>
      <c r="F671" t="s">
        <v>19</v>
      </c>
      <c r="G671" t="s">
        <v>20</v>
      </c>
      <c r="J671" t="s">
        <v>17</v>
      </c>
      <c r="K671" t="str">
        <f>"6958221582376"</f>
        <v>6958221582376</v>
      </c>
      <c r="L671" t="str">
        <f>"10001745"</f>
        <v>10001745</v>
      </c>
      <c r="M671" t="s">
        <v>84</v>
      </c>
      <c r="N671" s="1">
        <v>43510.674305555556</v>
      </c>
      <c r="O671" t="s">
        <v>19</v>
      </c>
    </row>
    <row r="672" spans="1:15" x14ac:dyDescent="0.25">
      <c r="A672" t="s">
        <v>579</v>
      </c>
      <c r="B672" t="s">
        <v>15</v>
      </c>
      <c r="C672" t="s">
        <v>221</v>
      </c>
      <c r="D672" t="s">
        <v>17</v>
      </c>
      <c r="E672" t="s">
        <v>18</v>
      </c>
      <c r="F672" t="s">
        <v>19</v>
      </c>
      <c r="G672" t="s">
        <v>20</v>
      </c>
      <c r="J672" t="s">
        <v>17</v>
      </c>
      <c r="K672" t="str">
        <f>"6986698983235"</f>
        <v>6986698983235</v>
      </c>
      <c r="L672" t="str">
        <f>"40350038"</f>
        <v>40350038</v>
      </c>
      <c r="M672" t="s">
        <v>21</v>
      </c>
      <c r="N672" s="1">
        <v>42872.847222222219</v>
      </c>
      <c r="O672" t="s">
        <v>19</v>
      </c>
    </row>
    <row r="673" spans="1:15" x14ac:dyDescent="0.25">
      <c r="A673" t="s">
        <v>580</v>
      </c>
      <c r="B673" t="s">
        <v>15</v>
      </c>
      <c r="C673" t="s">
        <v>221</v>
      </c>
      <c r="D673" t="s">
        <v>17</v>
      </c>
      <c r="E673" t="s">
        <v>18</v>
      </c>
      <c r="F673" t="s">
        <v>19</v>
      </c>
      <c r="G673" t="s">
        <v>20</v>
      </c>
      <c r="J673" t="s">
        <v>17</v>
      </c>
      <c r="K673" t="str">
        <f>"7895623060530"</f>
        <v>7895623060530</v>
      </c>
      <c r="L673" t="str">
        <f>"66356053"</f>
        <v>66356053</v>
      </c>
      <c r="M673" t="s">
        <v>21</v>
      </c>
      <c r="N673" s="1">
        <v>44392.879861111112</v>
      </c>
      <c r="O673" t="s">
        <v>19</v>
      </c>
    </row>
    <row r="674" spans="1:15" x14ac:dyDescent="0.25">
      <c r="A674" t="s">
        <v>581</v>
      </c>
      <c r="B674" t="s">
        <v>15</v>
      </c>
      <c r="C674" t="s">
        <v>221</v>
      </c>
      <c r="D674" t="s">
        <v>17</v>
      </c>
      <c r="E674" t="s">
        <v>18</v>
      </c>
      <c r="F674" t="s">
        <v>19</v>
      </c>
      <c r="G674" t="s">
        <v>20</v>
      </c>
      <c r="J674" t="s">
        <v>17</v>
      </c>
      <c r="K674" t="str">
        <f>"6901443152759"</f>
        <v>6901443152759</v>
      </c>
      <c r="L674" t="str">
        <f>"92350116"</f>
        <v>92350116</v>
      </c>
      <c r="M674" t="s">
        <v>21</v>
      </c>
      <c r="N674" s="1">
        <v>43694.004166666666</v>
      </c>
      <c r="O674" t="s">
        <v>19</v>
      </c>
    </row>
    <row r="675" spans="1:15" x14ac:dyDescent="0.25">
      <c r="A675" t="s">
        <v>582</v>
      </c>
      <c r="B675" t="s">
        <v>15</v>
      </c>
      <c r="C675" t="s">
        <v>221</v>
      </c>
      <c r="D675" t="s">
        <v>17</v>
      </c>
      <c r="E675" t="s">
        <v>18</v>
      </c>
      <c r="F675" t="s">
        <v>19</v>
      </c>
      <c r="G675" t="s">
        <v>20</v>
      </c>
      <c r="J675" t="s">
        <v>17</v>
      </c>
      <c r="K675" t="str">
        <f>"32350715"</f>
        <v>32350715</v>
      </c>
      <c r="L675" t="str">
        <f>"32350715"</f>
        <v>32350715</v>
      </c>
      <c r="M675" t="s">
        <v>75</v>
      </c>
      <c r="N675" s="1">
        <v>42872.839583333334</v>
      </c>
      <c r="O675" t="s">
        <v>19</v>
      </c>
    </row>
    <row r="676" spans="1:15" x14ac:dyDescent="0.25">
      <c r="A676" t="s">
        <v>582</v>
      </c>
      <c r="B676" t="s">
        <v>15</v>
      </c>
      <c r="C676" t="s">
        <v>221</v>
      </c>
      <c r="D676" t="s">
        <v>17</v>
      </c>
      <c r="E676" t="s">
        <v>18</v>
      </c>
      <c r="F676" t="s">
        <v>19</v>
      </c>
      <c r="G676" t="s">
        <v>20</v>
      </c>
      <c r="J676" t="s">
        <v>17</v>
      </c>
      <c r="K676" t="str">
        <f>"4547597823903"</f>
        <v>4547597823903</v>
      </c>
      <c r="L676" t="str">
        <f>"41350717"</f>
        <v>41350717</v>
      </c>
      <c r="M676" t="s">
        <v>75</v>
      </c>
      <c r="N676" s="1">
        <v>42964.706944444442</v>
      </c>
      <c r="O676" t="s">
        <v>19</v>
      </c>
    </row>
    <row r="677" spans="1:15" x14ac:dyDescent="0.25">
      <c r="A677" t="s">
        <v>582</v>
      </c>
      <c r="B677" t="s">
        <v>15</v>
      </c>
      <c r="C677" t="s">
        <v>221</v>
      </c>
      <c r="D677" t="s">
        <v>17</v>
      </c>
      <c r="E677" t="s">
        <v>18</v>
      </c>
      <c r="F677" t="s">
        <v>19</v>
      </c>
      <c r="G677" t="s">
        <v>20</v>
      </c>
      <c r="J677" t="s">
        <v>17</v>
      </c>
      <c r="K677" t="str">
        <f>"86350701"</f>
        <v>86350701</v>
      </c>
      <c r="L677" t="str">
        <f>"86350701"</f>
        <v>86350701</v>
      </c>
      <c r="M677" t="s">
        <v>84</v>
      </c>
      <c r="N677" s="1">
        <v>43417.901388888888</v>
      </c>
      <c r="O677" t="s">
        <v>19</v>
      </c>
    </row>
    <row r="678" spans="1:15" x14ac:dyDescent="0.25">
      <c r="A678" t="s">
        <v>583</v>
      </c>
      <c r="B678" t="s">
        <v>15</v>
      </c>
      <c r="C678" t="s">
        <v>225</v>
      </c>
      <c r="D678" t="s">
        <v>17</v>
      </c>
      <c r="E678" t="s">
        <v>18</v>
      </c>
      <c r="F678" t="s">
        <v>19</v>
      </c>
      <c r="G678" t="s">
        <v>20</v>
      </c>
      <c r="J678" t="s">
        <v>17</v>
      </c>
      <c r="K678" t="str">
        <f>"10002639"</f>
        <v>10002639</v>
      </c>
      <c r="L678" t="str">
        <f>"10002639"</f>
        <v>10002639</v>
      </c>
      <c r="M678" t="s">
        <v>75</v>
      </c>
      <c r="N678" s="1">
        <v>42872.839583333334</v>
      </c>
      <c r="O678" t="s">
        <v>19</v>
      </c>
    </row>
    <row r="679" spans="1:15" x14ac:dyDescent="0.25">
      <c r="A679" t="s">
        <v>584</v>
      </c>
      <c r="B679" t="s">
        <v>15</v>
      </c>
      <c r="C679" t="s">
        <v>221</v>
      </c>
      <c r="D679" t="s">
        <v>17</v>
      </c>
      <c r="E679" t="s">
        <v>18</v>
      </c>
      <c r="F679" t="s">
        <v>19</v>
      </c>
      <c r="G679" t="s">
        <v>20</v>
      </c>
      <c r="J679" t="s">
        <v>17</v>
      </c>
      <c r="K679" t="str">
        <f>"34030700"</f>
        <v>34030700</v>
      </c>
      <c r="L679" t="str">
        <f>"34030700"</f>
        <v>34030700</v>
      </c>
      <c r="M679" t="s">
        <v>75</v>
      </c>
      <c r="N679" s="1">
        <v>42872.839583333334</v>
      </c>
      <c r="O679" t="s">
        <v>19</v>
      </c>
    </row>
    <row r="680" spans="1:15" x14ac:dyDescent="0.25">
      <c r="A680" t="s">
        <v>585</v>
      </c>
      <c r="B680" t="s">
        <v>15</v>
      </c>
      <c r="C680" t="s">
        <v>221</v>
      </c>
      <c r="D680" t="s">
        <v>17</v>
      </c>
      <c r="E680" t="s">
        <v>18</v>
      </c>
      <c r="F680" t="s">
        <v>19</v>
      </c>
      <c r="G680" t="s">
        <v>20</v>
      </c>
      <c r="J680" t="s">
        <v>17</v>
      </c>
      <c r="K680" t="str">
        <f>"76030715"</f>
        <v>76030715</v>
      </c>
      <c r="L680" t="str">
        <f>"76030715"</f>
        <v>76030715</v>
      </c>
      <c r="M680" t="s">
        <v>75</v>
      </c>
      <c r="N680" s="1">
        <v>42872.847222222219</v>
      </c>
      <c r="O680" t="s">
        <v>19</v>
      </c>
    </row>
    <row r="681" spans="1:15" x14ac:dyDescent="0.25">
      <c r="A681" t="s">
        <v>586</v>
      </c>
      <c r="B681" t="s">
        <v>15</v>
      </c>
      <c r="C681" t="s">
        <v>221</v>
      </c>
      <c r="D681" t="s">
        <v>17</v>
      </c>
      <c r="E681" t="s">
        <v>18</v>
      </c>
      <c r="F681" t="s">
        <v>19</v>
      </c>
      <c r="G681" t="s">
        <v>20</v>
      </c>
      <c r="J681" t="s">
        <v>17</v>
      </c>
      <c r="K681" t="str">
        <f>"86350702"</f>
        <v>86350702</v>
      </c>
      <c r="L681" t="str">
        <f>"86350702"</f>
        <v>86350702</v>
      </c>
      <c r="M681" t="s">
        <v>84</v>
      </c>
      <c r="N681" s="1">
        <v>43417.902083333334</v>
      </c>
      <c r="O681" t="s">
        <v>19</v>
      </c>
    </row>
    <row r="682" spans="1:15" x14ac:dyDescent="0.25">
      <c r="A682" t="s">
        <v>586</v>
      </c>
      <c r="B682" t="s">
        <v>15</v>
      </c>
      <c r="C682" t="s">
        <v>221</v>
      </c>
      <c r="D682" t="s">
        <v>17</v>
      </c>
      <c r="E682" t="s">
        <v>18</v>
      </c>
      <c r="F682" t="s">
        <v>19</v>
      </c>
      <c r="G682" t="s">
        <v>20</v>
      </c>
      <c r="J682" t="s">
        <v>17</v>
      </c>
      <c r="K682" t="str">
        <f>"87350700"</f>
        <v>87350700</v>
      </c>
      <c r="L682" t="str">
        <f>"87350700"</f>
        <v>87350700</v>
      </c>
      <c r="M682" t="s">
        <v>21</v>
      </c>
      <c r="N682" s="1">
        <v>44404.705555555556</v>
      </c>
      <c r="O682" t="s">
        <v>19</v>
      </c>
    </row>
    <row r="683" spans="1:15" x14ac:dyDescent="0.25">
      <c r="A683" t="s">
        <v>587</v>
      </c>
      <c r="B683" t="s">
        <v>15</v>
      </c>
      <c r="C683" t="s">
        <v>225</v>
      </c>
      <c r="D683" t="s">
        <v>17</v>
      </c>
      <c r="E683" t="s">
        <v>18</v>
      </c>
      <c r="F683" t="s">
        <v>19</v>
      </c>
      <c r="G683" t="s">
        <v>20</v>
      </c>
      <c r="J683" t="s">
        <v>17</v>
      </c>
      <c r="K683" t="str">
        <f>"10000733"</f>
        <v>10000733</v>
      </c>
      <c r="L683" t="str">
        <f>"10000733"</f>
        <v>10000733</v>
      </c>
      <c r="M683" t="s">
        <v>75</v>
      </c>
      <c r="N683" s="1">
        <v>42872.839583333334</v>
      </c>
      <c r="O683" t="s">
        <v>19</v>
      </c>
    </row>
    <row r="684" spans="1:15" x14ac:dyDescent="0.25">
      <c r="A684" t="s">
        <v>588</v>
      </c>
      <c r="B684" t="s">
        <v>15</v>
      </c>
      <c r="C684" t="s">
        <v>30</v>
      </c>
      <c r="D684" t="s">
        <v>17</v>
      </c>
      <c r="E684" t="s">
        <v>18</v>
      </c>
      <c r="F684" t="s">
        <v>19</v>
      </c>
      <c r="G684" t="s">
        <v>20</v>
      </c>
      <c r="J684" t="s">
        <v>17</v>
      </c>
      <c r="K684" t="str">
        <f>"22357000"</f>
        <v>22357000</v>
      </c>
      <c r="L684" t="str">
        <f>"22747000"</f>
        <v>22747000</v>
      </c>
      <c r="M684" t="s">
        <v>84</v>
      </c>
      <c r="N684" s="1">
        <v>43501.956944444442</v>
      </c>
      <c r="O684" t="s">
        <v>19</v>
      </c>
    </row>
    <row r="685" spans="1:15" x14ac:dyDescent="0.25">
      <c r="A685" t="s">
        <v>589</v>
      </c>
      <c r="B685" t="s">
        <v>15</v>
      </c>
      <c r="C685" t="s">
        <v>221</v>
      </c>
      <c r="D685" t="s">
        <v>17</v>
      </c>
      <c r="E685" t="s">
        <v>18</v>
      </c>
      <c r="F685" t="s">
        <v>19</v>
      </c>
      <c r="G685" t="s">
        <v>20</v>
      </c>
      <c r="J685" t="s">
        <v>17</v>
      </c>
      <c r="K685" t="str">
        <f>"6825331422581"</f>
        <v>6825331422581</v>
      </c>
      <c r="L685" t="str">
        <f>"10001084"</f>
        <v>10001084</v>
      </c>
      <c r="M685" t="s">
        <v>84</v>
      </c>
      <c r="N685" s="1">
        <v>43532.852777777778</v>
      </c>
      <c r="O685" t="s">
        <v>19</v>
      </c>
    </row>
    <row r="686" spans="1:15" x14ac:dyDescent="0.25">
      <c r="A686" t="s">
        <v>590</v>
      </c>
      <c r="B686" t="s">
        <v>15</v>
      </c>
      <c r="C686" t="s">
        <v>221</v>
      </c>
      <c r="D686" t="s">
        <v>17</v>
      </c>
      <c r="E686" t="s">
        <v>18</v>
      </c>
      <c r="F686" t="s">
        <v>19</v>
      </c>
      <c r="G686" t="s">
        <v>20</v>
      </c>
      <c r="J686" t="s">
        <v>17</v>
      </c>
      <c r="K686" t="str">
        <f>"10107865"</f>
        <v>10107865</v>
      </c>
      <c r="L686" t="str">
        <f>"10107865"</f>
        <v>10107865</v>
      </c>
      <c r="M686" t="s">
        <v>75</v>
      </c>
      <c r="N686" s="1">
        <v>42872.839583333334</v>
      </c>
      <c r="O686" t="s">
        <v>19</v>
      </c>
    </row>
    <row r="687" spans="1:15" x14ac:dyDescent="0.25">
      <c r="A687" t="s">
        <v>591</v>
      </c>
      <c r="B687" t="s">
        <v>15</v>
      </c>
      <c r="C687" t="s">
        <v>221</v>
      </c>
      <c r="D687" t="s">
        <v>17</v>
      </c>
      <c r="E687" t="s">
        <v>18</v>
      </c>
      <c r="F687" t="s">
        <v>19</v>
      </c>
      <c r="G687" t="s">
        <v>20</v>
      </c>
      <c r="J687" t="s">
        <v>17</v>
      </c>
      <c r="K687" t="str">
        <f>"101017865"</f>
        <v>101017865</v>
      </c>
      <c r="L687" t="str">
        <f>"101017865"</f>
        <v>101017865</v>
      </c>
      <c r="M687" t="s">
        <v>75</v>
      </c>
      <c r="N687" s="1">
        <v>42872.847222222219</v>
      </c>
      <c r="O687" t="s">
        <v>19</v>
      </c>
    </row>
    <row r="688" spans="1:15" x14ac:dyDescent="0.25">
      <c r="A688" t="s">
        <v>592</v>
      </c>
      <c r="B688" t="s">
        <v>15</v>
      </c>
      <c r="C688" t="s">
        <v>225</v>
      </c>
      <c r="D688" t="s">
        <v>17</v>
      </c>
      <c r="E688" t="s">
        <v>18</v>
      </c>
      <c r="F688" t="s">
        <v>19</v>
      </c>
      <c r="G688" t="s">
        <v>20</v>
      </c>
      <c r="J688" t="s">
        <v>17</v>
      </c>
      <c r="K688" t="str">
        <f>"10006774"</f>
        <v>10006774</v>
      </c>
      <c r="L688" t="str">
        <f>"10006774"</f>
        <v>10006774</v>
      </c>
      <c r="M688" t="s">
        <v>75</v>
      </c>
      <c r="N688" s="1">
        <v>42872.839583333334</v>
      </c>
      <c r="O688" t="s">
        <v>19</v>
      </c>
    </row>
    <row r="689" spans="1:15" x14ac:dyDescent="0.25">
      <c r="A689" t="s">
        <v>593</v>
      </c>
      <c r="B689" t="s">
        <v>15</v>
      </c>
      <c r="C689" t="s">
        <v>221</v>
      </c>
      <c r="D689" t="s">
        <v>17</v>
      </c>
      <c r="E689" t="s">
        <v>18</v>
      </c>
      <c r="F689" t="s">
        <v>19</v>
      </c>
      <c r="G689" t="s">
        <v>20</v>
      </c>
      <c r="J689" t="s">
        <v>17</v>
      </c>
      <c r="K689" t="str">
        <f>"6993124568157"</f>
        <v>6993124568157</v>
      </c>
      <c r="L689" t="str">
        <f>"76350716"</f>
        <v>76350716</v>
      </c>
      <c r="M689" t="s">
        <v>21</v>
      </c>
      <c r="N689" s="1">
        <v>43237.962500000001</v>
      </c>
      <c r="O689" t="s">
        <v>19</v>
      </c>
    </row>
    <row r="690" spans="1:15" x14ac:dyDescent="0.25">
      <c r="A690" t="s">
        <v>594</v>
      </c>
      <c r="B690" t="s">
        <v>15</v>
      </c>
      <c r="C690" t="s">
        <v>221</v>
      </c>
      <c r="D690" t="s">
        <v>17</v>
      </c>
      <c r="E690" t="s">
        <v>18</v>
      </c>
      <c r="F690" t="s">
        <v>19</v>
      </c>
      <c r="G690" t="s">
        <v>20</v>
      </c>
      <c r="J690" t="s">
        <v>17</v>
      </c>
      <c r="K690" t="str">
        <f>"190198107077"</f>
        <v>190198107077</v>
      </c>
      <c r="L690" t="str">
        <f>"76350700"</f>
        <v>76350700</v>
      </c>
      <c r="M690" t="s">
        <v>21</v>
      </c>
      <c r="N690" s="1">
        <v>43420.705555555556</v>
      </c>
      <c r="O690" t="s">
        <v>19</v>
      </c>
    </row>
    <row r="691" spans="1:15" x14ac:dyDescent="0.25">
      <c r="A691" t="s">
        <v>595</v>
      </c>
      <c r="B691" t="s">
        <v>15</v>
      </c>
      <c r="C691" t="s">
        <v>221</v>
      </c>
      <c r="D691" t="s">
        <v>17</v>
      </c>
      <c r="E691" t="s">
        <v>18</v>
      </c>
      <c r="F691" t="s">
        <v>19</v>
      </c>
      <c r="G691" t="s">
        <v>20</v>
      </c>
      <c r="J691" t="s">
        <v>17</v>
      </c>
      <c r="K691" t="str">
        <f>"7858816059575"</f>
        <v>7858816059575</v>
      </c>
      <c r="L691" t="str">
        <f>"87355957"</f>
        <v>87355957</v>
      </c>
      <c r="M691" t="s">
        <v>21</v>
      </c>
      <c r="N691" s="1">
        <v>44404.674305555556</v>
      </c>
      <c r="O691" t="s">
        <v>19</v>
      </c>
    </row>
    <row r="692" spans="1:15" x14ac:dyDescent="0.25">
      <c r="A692" t="s">
        <v>596</v>
      </c>
      <c r="B692" t="s">
        <v>15</v>
      </c>
      <c r="C692" t="s">
        <v>221</v>
      </c>
      <c r="D692" t="s">
        <v>17</v>
      </c>
      <c r="E692" t="s">
        <v>18</v>
      </c>
      <c r="F692" t="s">
        <v>19</v>
      </c>
      <c r="G692" t="s">
        <v>20</v>
      </c>
      <c r="J692" t="s">
        <v>17</v>
      </c>
      <c r="K692" t="str">
        <f>"7858816063718"</f>
        <v>7858816063718</v>
      </c>
      <c r="L692" t="str">
        <f>"87356371"</f>
        <v>87356371</v>
      </c>
      <c r="M692" t="s">
        <v>21</v>
      </c>
      <c r="N692" s="1">
        <v>44357.707638888889</v>
      </c>
      <c r="O692" t="s">
        <v>19</v>
      </c>
    </row>
    <row r="693" spans="1:15" x14ac:dyDescent="0.25">
      <c r="A693" t="s">
        <v>597</v>
      </c>
      <c r="B693" t="s">
        <v>15</v>
      </c>
      <c r="C693" t="s">
        <v>221</v>
      </c>
      <c r="D693" t="s">
        <v>17</v>
      </c>
      <c r="E693" t="s">
        <v>18</v>
      </c>
      <c r="F693" t="s">
        <v>19</v>
      </c>
      <c r="G693" t="s">
        <v>20</v>
      </c>
      <c r="J693" t="s">
        <v>17</v>
      </c>
      <c r="K693" t="str">
        <f>"7858816073922"</f>
        <v>7858816073922</v>
      </c>
      <c r="L693" t="str">
        <f>"87357392"</f>
        <v>87357392</v>
      </c>
      <c r="M693" t="s">
        <v>21</v>
      </c>
      <c r="N693" s="1">
        <v>42872.847222222219</v>
      </c>
      <c r="O693" t="s">
        <v>19</v>
      </c>
    </row>
    <row r="694" spans="1:15" x14ac:dyDescent="0.25">
      <c r="A694" t="s">
        <v>598</v>
      </c>
      <c r="B694" t="s">
        <v>15</v>
      </c>
      <c r="C694" t="s">
        <v>221</v>
      </c>
      <c r="D694" t="s">
        <v>17</v>
      </c>
      <c r="E694" t="s">
        <v>18</v>
      </c>
      <c r="F694" t="s">
        <v>19</v>
      </c>
      <c r="G694" t="s">
        <v>20</v>
      </c>
      <c r="J694" t="s">
        <v>17</v>
      </c>
      <c r="K694" t="str">
        <f>"7858816076510"</f>
        <v>7858816076510</v>
      </c>
      <c r="L694" t="str">
        <f>"87357651"</f>
        <v>87357651</v>
      </c>
      <c r="M694" t="s">
        <v>21</v>
      </c>
      <c r="N694" s="1">
        <v>44371.662499999999</v>
      </c>
      <c r="O694" t="s">
        <v>19</v>
      </c>
    </row>
    <row r="695" spans="1:15" x14ac:dyDescent="0.25">
      <c r="A695" t="s">
        <v>599</v>
      </c>
      <c r="B695" t="s">
        <v>15</v>
      </c>
      <c r="C695" t="s">
        <v>221</v>
      </c>
      <c r="D695" t="s">
        <v>17</v>
      </c>
      <c r="E695" t="s">
        <v>18</v>
      </c>
      <c r="F695" t="s">
        <v>19</v>
      </c>
      <c r="G695" t="s">
        <v>20</v>
      </c>
      <c r="J695" t="s">
        <v>17</v>
      </c>
      <c r="K695" t="str">
        <f>"7858816077302"</f>
        <v>7858816077302</v>
      </c>
      <c r="L695" t="str">
        <f>"87357730"</f>
        <v>87357730</v>
      </c>
      <c r="M695" t="s">
        <v>21</v>
      </c>
      <c r="N695" s="1">
        <v>43252.73333333333</v>
      </c>
      <c r="O695" t="s">
        <v>19</v>
      </c>
    </row>
    <row r="696" spans="1:15" x14ac:dyDescent="0.25">
      <c r="A696" t="s">
        <v>600</v>
      </c>
      <c r="B696" t="s">
        <v>15</v>
      </c>
      <c r="C696" t="s">
        <v>221</v>
      </c>
      <c r="D696" t="s">
        <v>17</v>
      </c>
      <c r="E696" t="s">
        <v>18</v>
      </c>
      <c r="F696" t="s">
        <v>19</v>
      </c>
      <c r="G696" t="s">
        <v>20</v>
      </c>
      <c r="J696" t="s">
        <v>17</v>
      </c>
      <c r="K696" t="str">
        <f>"7858816079092"</f>
        <v>7858816079092</v>
      </c>
      <c r="L696" t="str">
        <f>"87357909"</f>
        <v>87357909</v>
      </c>
      <c r="M696" t="s">
        <v>21</v>
      </c>
      <c r="N696" s="1">
        <v>44357.716666666667</v>
      </c>
      <c r="O696" t="s">
        <v>19</v>
      </c>
    </row>
    <row r="697" spans="1:15" x14ac:dyDescent="0.25">
      <c r="A697" t="s">
        <v>601</v>
      </c>
      <c r="B697" t="s">
        <v>15</v>
      </c>
      <c r="C697" t="s">
        <v>221</v>
      </c>
      <c r="D697" t="s">
        <v>17</v>
      </c>
      <c r="E697" t="s">
        <v>18</v>
      </c>
      <c r="F697" t="s">
        <v>19</v>
      </c>
      <c r="G697" t="s">
        <v>20</v>
      </c>
      <c r="J697" t="s">
        <v>17</v>
      </c>
      <c r="K697" t="str">
        <f>"8944870143622"</f>
        <v>8944870143622</v>
      </c>
      <c r="L697" t="str">
        <f>"8944870143639"</f>
        <v>8944870143639</v>
      </c>
      <c r="M697" t="s">
        <v>21</v>
      </c>
      <c r="N697" s="1">
        <v>44404.732638888891</v>
      </c>
      <c r="O697" t="s">
        <v>19</v>
      </c>
    </row>
    <row r="698" spans="1:15" x14ac:dyDescent="0.25">
      <c r="A698" t="s">
        <v>602</v>
      </c>
      <c r="B698" t="s">
        <v>15</v>
      </c>
      <c r="C698" t="s">
        <v>221</v>
      </c>
      <c r="D698" t="s">
        <v>17</v>
      </c>
      <c r="E698" t="s">
        <v>18</v>
      </c>
      <c r="F698" t="s">
        <v>19</v>
      </c>
      <c r="G698" t="s">
        <v>20</v>
      </c>
      <c r="J698" t="s">
        <v>17</v>
      </c>
      <c r="K698" t="str">
        <f>"8944870151474"</f>
        <v>8944870151474</v>
      </c>
      <c r="L698" t="str">
        <f>"8944870151481"</f>
        <v>8944870151481</v>
      </c>
      <c r="M698" t="s">
        <v>21</v>
      </c>
      <c r="N698" s="1">
        <v>44404.73541666667</v>
      </c>
      <c r="O698" t="s">
        <v>19</v>
      </c>
    </row>
    <row r="699" spans="1:15" x14ac:dyDescent="0.25">
      <c r="A699" t="s">
        <v>603</v>
      </c>
      <c r="B699" t="s">
        <v>15</v>
      </c>
      <c r="C699" t="s">
        <v>221</v>
      </c>
      <c r="D699" t="s">
        <v>17</v>
      </c>
      <c r="E699" t="s">
        <v>18</v>
      </c>
      <c r="F699" t="s">
        <v>19</v>
      </c>
      <c r="G699" t="s">
        <v>20</v>
      </c>
      <c r="J699" t="s">
        <v>17</v>
      </c>
      <c r="K699" t="str">
        <f>"8944870151481"</f>
        <v>8944870151481</v>
      </c>
      <c r="L699" t="str">
        <f>"87352301143"</f>
        <v>87352301143</v>
      </c>
      <c r="M699" t="s">
        <v>21</v>
      </c>
      <c r="N699" s="1">
        <v>44356.694444444445</v>
      </c>
      <c r="O699" t="s">
        <v>19</v>
      </c>
    </row>
    <row r="700" spans="1:15" x14ac:dyDescent="0.25">
      <c r="A700" t="s">
        <v>604</v>
      </c>
      <c r="B700" t="s">
        <v>15</v>
      </c>
      <c r="C700" t="s">
        <v>221</v>
      </c>
      <c r="D700" t="s">
        <v>17</v>
      </c>
      <c r="E700" t="s">
        <v>18</v>
      </c>
      <c r="F700" t="s">
        <v>19</v>
      </c>
      <c r="G700" t="s">
        <v>20</v>
      </c>
      <c r="J700" t="s">
        <v>17</v>
      </c>
      <c r="K700" t="str">
        <f>"8944870161947"</f>
        <v>8944870161947</v>
      </c>
      <c r="L700" t="str">
        <f>"87351433"</f>
        <v>87351433</v>
      </c>
      <c r="M700" t="s">
        <v>21</v>
      </c>
      <c r="N700" s="1">
        <v>43463.696527777778</v>
      </c>
      <c r="O700" t="s">
        <v>19</v>
      </c>
    </row>
    <row r="701" spans="1:15" x14ac:dyDescent="0.25">
      <c r="A701" t="s">
        <v>605</v>
      </c>
      <c r="B701" t="s">
        <v>15</v>
      </c>
      <c r="C701" t="s">
        <v>221</v>
      </c>
      <c r="D701" t="s">
        <v>17</v>
      </c>
      <c r="E701" t="s">
        <v>18</v>
      </c>
      <c r="F701" t="s">
        <v>19</v>
      </c>
      <c r="G701" t="s">
        <v>20</v>
      </c>
      <c r="J701" t="s">
        <v>18</v>
      </c>
      <c r="K701" t="str">
        <f>"6956389555386"</f>
        <v>6956389555386</v>
      </c>
      <c r="L701" t="str">
        <f>"34350036"</f>
        <v>34350036</v>
      </c>
      <c r="M701" t="s">
        <v>84</v>
      </c>
      <c r="N701" s="1">
        <v>43257.787499999999</v>
      </c>
      <c r="O701" t="s">
        <v>19</v>
      </c>
    </row>
    <row r="702" spans="1:15" x14ac:dyDescent="0.25">
      <c r="A702" t="s">
        <v>606</v>
      </c>
      <c r="B702" t="s">
        <v>15</v>
      </c>
      <c r="C702" t="s">
        <v>221</v>
      </c>
      <c r="D702" t="s">
        <v>17</v>
      </c>
      <c r="E702" t="s">
        <v>18</v>
      </c>
      <c r="F702" t="s">
        <v>19</v>
      </c>
      <c r="G702" t="s">
        <v>20</v>
      </c>
      <c r="J702" t="s">
        <v>17</v>
      </c>
      <c r="K702" t="str">
        <f>"6925281946165"</f>
        <v>6925281946165</v>
      </c>
      <c r="L702" t="str">
        <f>"98356165"</f>
        <v>98356165</v>
      </c>
      <c r="M702" t="s">
        <v>21</v>
      </c>
      <c r="N702" s="1">
        <v>44344.678472222222</v>
      </c>
      <c r="O702" t="s">
        <v>19</v>
      </c>
    </row>
    <row r="703" spans="1:15" x14ac:dyDescent="0.25">
      <c r="A703" t="s">
        <v>607</v>
      </c>
      <c r="B703" t="s">
        <v>15</v>
      </c>
      <c r="C703" t="s">
        <v>221</v>
      </c>
      <c r="D703" t="s">
        <v>17</v>
      </c>
      <c r="E703" t="s">
        <v>18</v>
      </c>
      <c r="F703" t="s">
        <v>19</v>
      </c>
      <c r="G703" t="s">
        <v>20</v>
      </c>
      <c r="J703" t="s">
        <v>17</v>
      </c>
      <c r="K703" t="str">
        <f>"6925281946189"</f>
        <v>6925281946189</v>
      </c>
      <c r="L703" t="str">
        <f>"92350050"</f>
        <v>92350050</v>
      </c>
      <c r="M703" t="s">
        <v>21</v>
      </c>
      <c r="N703" s="1">
        <v>44265.859722222223</v>
      </c>
      <c r="O703" t="s">
        <v>19</v>
      </c>
    </row>
    <row r="704" spans="1:15" x14ac:dyDescent="0.25">
      <c r="A704" t="s">
        <v>608</v>
      </c>
      <c r="B704" t="s">
        <v>15</v>
      </c>
      <c r="C704" t="s">
        <v>221</v>
      </c>
      <c r="D704" t="s">
        <v>17</v>
      </c>
      <c r="E704" t="s">
        <v>18</v>
      </c>
      <c r="F704" t="s">
        <v>19</v>
      </c>
      <c r="G704" t="s">
        <v>20</v>
      </c>
      <c r="J704" t="s">
        <v>17</v>
      </c>
      <c r="K704" t="str">
        <f>"6925281946172"</f>
        <v>6925281946172</v>
      </c>
      <c r="L704" t="str">
        <f>"27JBLC50WH"</f>
        <v>27JBLC50WH</v>
      </c>
      <c r="M704" t="s">
        <v>21</v>
      </c>
      <c r="N704" s="1">
        <v>44265.861111111109</v>
      </c>
      <c r="O704" t="s">
        <v>19</v>
      </c>
    </row>
    <row r="705" spans="1:15" x14ac:dyDescent="0.25">
      <c r="A705" t="s">
        <v>609</v>
      </c>
      <c r="B705" t="s">
        <v>15</v>
      </c>
      <c r="C705" t="s">
        <v>221</v>
      </c>
      <c r="D705" t="s">
        <v>17</v>
      </c>
      <c r="E705" t="s">
        <v>18</v>
      </c>
      <c r="F705" t="s">
        <v>19</v>
      </c>
      <c r="G705" t="s">
        <v>20</v>
      </c>
      <c r="J705" t="s">
        <v>17</v>
      </c>
      <c r="K705" t="str">
        <f>"98350078"</f>
        <v>98350078</v>
      </c>
      <c r="L705" t="str">
        <f>"98350078"</f>
        <v>98350078</v>
      </c>
      <c r="M705" t="s">
        <v>21</v>
      </c>
      <c r="N705" s="1">
        <v>43839.716666666667</v>
      </c>
      <c r="O705" t="s">
        <v>19</v>
      </c>
    </row>
    <row r="706" spans="1:15" x14ac:dyDescent="0.25">
      <c r="A706" t="s">
        <v>610</v>
      </c>
      <c r="B706" t="s">
        <v>15</v>
      </c>
      <c r="C706" t="s">
        <v>221</v>
      </c>
      <c r="D706" t="s">
        <v>17</v>
      </c>
      <c r="E706" t="s">
        <v>18</v>
      </c>
      <c r="F706" t="s">
        <v>19</v>
      </c>
      <c r="G706" t="s">
        <v>20</v>
      </c>
      <c r="J706" t="s">
        <v>17</v>
      </c>
      <c r="K706" t="str">
        <f>"63350110"</f>
        <v>63350110</v>
      </c>
      <c r="L706" t="str">
        <f>"63350110"</f>
        <v>63350110</v>
      </c>
      <c r="M706" t="s">
        <v>21</v>
      </c>
      <c r="N706" s="1">
        <v>43313.727083333331</v>
      </c>
      <c r="O706" t="s">
        <v>19</v>
      </c>
    </row>
    <row r="707" spans="1:15" x14ac:dyDescent="0.25">
      <c r="A707" t="s">
        <v>610</v>
      </c>
      <c r="B707" t="s">
        <v>15</v>
      </c>
      <c r="C707" t="s">
        <v>221</v>
      </c>
      <c r="D707" t="s">
        <v>17</v>
      </c>
      <c r="E707" t="s">
        <v>18</v>
      </c>
      <c r="F707" t="s">
        <v>19</v>
      </c>
      <c r="G707" t="s">
        <v>20</v>
      </c>
      <c r="J707" t="s">
        <v>17</v>
      </c>
      <c r="K707" t="str">
        <f>"92350110"</f>
        <v>92350110</v>
      </c>
      <c r="L707" t="str">
        <f>"92350110"</f>
        <v>92350110</v>
      </c>
      <c r="M707" t="s">
        <v>21</v>
      </c>
      <c r="N707" s="1">
        <v>43630.987500000003</v>
      </c>
      <c r="O707" t="s">
        <v>19</v>
      </c>
    </row>
    <row r="708" spans="1:15" x14ac:dyDescent="0.25">
      <c r="A708" t="s">
        <v>610</v>
      </c>
      <c r="B708" t="s">
        <v>15</v>
      </c>
      <c r="C708" t="s">
        <v>221</v>
      </c>
      <c r="D708" t="s">
        <v>17</v>
      </c>
      <c r="E708" t="s">
        <v>18</v>
      </c>
      <c r="F708" t="s">
        <v>19</v>
      </c>
      <c r="G708" t="s">
        <v>20</v>
      </c>
      <c r="J708" t="s">
        <v>17</v>
      </c>
      <c r="K708" t="str">
        <f>"6925281949807"</f>
        <v>6925281949807</v>
      </c>
      <c r="L708" t="str">
        <f>"92359807"</f>
        <v>92359807</v>
      </c>
      <c r="M708" t="s">
        <v>21</v>
      </c>
      <c r="N708" s="1">
        <v>43805.811805555553</v>
      </c>
      <c r="O708" t="s">
        <v>19</v>
      </c>
    </row>
    <row r="709" spans="1:15" x14ac:dyDescent="0.25">
      <c r="A709" t="s">
        <v>611</v>
      </c>
      <c r="B709" t="s">
        <v>15</v>
      </c>
      <c r="C709" t="s">
        <v>221</v>
      </c>
      <c r="D709" t="s">
        <v>17</v>
      </c>
      <c r="E709" t="s">
        <v>18</v>
      </c>
      <c r="F709" t="s">
        <v>19</v>
      </c>
      <c r="G709" t="s">
        <v>20</v>
      </c>
      <c r="J709" t="s">
        <v>17</v>
      </c>
      <c r="K709" t="str">
        <f>"63351100"</f>
        <v>63351100</v>
      </c>
      <c r="L709" t="str">
        <f>"63351100"</f>
        <v>63351100</v>
      </c>
      <c r="M709" t="s">
        <v>21</v>
      </c>
      <c r="N709" s="1">
        <v>43313.729166666664</v>
      </c>
      <c r="O709" t="s">
        <v>19</v>
      </c>
    </row>
    <row r="710" spans="1:15" x14ac:dyDescent="0.25">
      <c r="A710" t="s">
        <v>611</v>
      </c>
      <c r="B710" t="s">
        <v>15</v>
      </c>
      <c r="C710" t="s">
        <v>221</v>
      </c>
      <c r="D710" t="s">
        <v>17</v>
      </c>
      <c r="E710" t="s">
        <v>18</v>
      </c>
      <c r="F710" t="s">
        <v>19</v>
      </c>
      <c r="G710" t="s">
        <v>20</v>
      </c>
      <c r="J710" t="s">
        <v>17</v>
      </c>
      <c r="K710" t="str">
        <f>"6925281949821"</f>
        <v>6925281949821</v>
      </c>
      <c r="L710" t="str">
        <f>"92350011"</f>
        <v>92350011</v>
      </c>
      <c r="M710" t="s">
        <v>21</v>
      </c>
      <c r="N710" s="1">
        <v>43694.003472222219</v>
      </c>
      <c r="O710" t="s">
        <v>19</v>
      </c>
    </row>
    <row r="711" spans="1:15" x14ac:dyDescent="0.25">
      <c r="A711" t="s">
        <v>612</v>
      </c>
      <c r="B711" t="s">
        <v>15</v>
      </c>
      <c r="C711" t="s">
        <v>221</v>
      </c>
      <c r="D711" t="s">
        <v>17</v>
      </c>
      <c r="E711" t="s">
        <v>18</v>
      </c>
      <c r="F711" t="s">
        <v>19</v>
      </c>
      <c r="G711" t="s">
        <v>20</v>
      </c>
      <c r="J711" t="s">
        <v>17</v>
      </c>
      <c r="K711" t="str">
        <f>"92351110"</f>
        <v>92351110</v>
      </c>
      <c r="L711" t="str">
        <f>"92351110"</f>
        <v>92351110</v>
      </c>
      <c r="M711" t="s">
        <v>21</v>
      </c>
      <c r="N711" s="1">
        <v>43630.988888888889</v>
      </c>
      <c r="O711" t="s">
        <v>19</v>
      </c>
    </row>
    <row r="712" spans="1:15" x14ac:dyDescent="0.25">
      <c r="A712" t="s">
        <v>612</v>
      </c>
      <c r="B712" t="s">
        <v>15</v>
      </c>
      <c r="C712" t="s">
        <v>221</v>
      </c>
      <c r="D712" t="s">
        <v>17</v>
      </c>
      <c r="E712" t="s">
        <v>18</v>
      </c>
      <c r="F712" t="s">
        <v>19</v>
      </c>
      <c r="G712" t="s">
        <v>20</v>
      </c>
      <c r="J712" t="s">
        <v>17</v>
      </c>
      <c r="K712" t="str">
        <f>"92359821"</f>
        <v>92359821</v>
      </c>
      <c r="L712" t="str">
        <f>"92359821"</f>
        <v>92359821</v>
      </c>
      <c r="M712" t="s">
        <v>21</v>
      </c>
      <c r="N712" s="1">
        <v>43805.813194444447</v>
      </c>
      <c r="O712" t="s">
        <v>19</v>
      </c>
    </row>
    <row r="713" spans="1:15" x14ac:dyDescent="0.25">
      <c r="A713" t="s">
        <v>612</v>
      </c>
      <c r="B713" t="s">
        <v>15</v>
      </c>
      <c r="C713" t="s">
        <v>221</v>
      </c>
      <c r="D713" t="s">
        <v>17</v>
      </c>
      <c r="E713" t="s">
        <v>18</v>
      </c>
      <c r="F713" t="s">
        <v>19</v>
      </c>
      <c r="G713" t="s">
        <v>20</v>
      </c>
      <c r="J713" t="s">
        <v>17</v>
      </c>
      <c r="K713" t="str">
        <f>"6925281949814"</f>
        <v>6925281949814</v>
      </c>
      <c r="L713" t="str">
        <f>"92351111"</f>
        <v>92351111</v>
      </c>
      <c r="M713" t="s">
        <v>21</v>
      </c>
      <c r="N713" s="1">
        <v>43805.813888888886</v>
      </c>
      <c r="O713" t="s">
        <v>19</v>
      </c>
    </row>
    <row r="714" spans="1:15" x14ac:dyDescent="0.25">
      <c r="A714" t="s">
        <v>612</v>
      </c>
      <c r="B714" t="s">
        <v>15</v>
      </c>
      <c r="C714" t="s">
        <v>221</v>
      </c>
      <c r="D714" t="s">
        <v>17</v>
      </c>
      <c r="E714" t="s">
        <v>18</v>
      </c>
      <c r="F714" t="s">
        <v>19</v>
      </c>
      <c r="G714" t="s">
        <v>20</v>
      </c>
      <c r="J714" t="s">
        <v>17</v>
      </c>
      <c r="K714" t="str">
        <f>"050036355483"</f>
        <v>050036355483</v>
      </c>
      <c r="L714" t="str">
        <f>"1578589087815"</f>
        <v>1578589087815</v>
      </c>
      <c r="M714" t="s">
        <v>21</v>
      </c>
      <c r="N714" s="1">
        <v>43839.706944444442</v>
      </c>
      <c r="O714" t="s">
        <v>19</v>
      </c>
    </row>
    <row r="715" spans="1:15" x14ac:dyDescent="0.25">
      <c r="A715" t="s">
        <v>612</v>
      </c>
      <c r="B715" t="s">
        <v>15</v>
      </c>
      <c r="C715" t="s">
        <v>221</v>
      </c>
      <c r="D715" t="s">
        <v>17</v>
      </c>
      <c r="E715" t="s">
        <v>18</v>
      </c>
      <c r="F715" t="s">
        <v>19</v>
      </c>
      <c r="G715" t="s">
        <v>20</v>
      </c>
      <c r="J715" t="s">
        <v>17</v>
      </c>
      <c r="K715" t="str">
        <f>"050036355476"</f>
        <v>050036355476</v>
      </c>
      <c r="L715" t="str">
        <f>"92351100"</f>
        <v>92351100</v>
      </c>
      <c r="M715" t="s">
        <v>21</v>
      </c>
      <c r="N715" s="1">
        <v>43839.707638888889</v>
      </c>
      <c r="O715" t="s">
        <v>19</v>
      </c>
    </row>
    <row r="716" spans="1:15" x14ac:dyDescent="0.25">
      <c r="A716" t="s">
        <v>612</v>
      </c>
      <c r="B716" t="s">
        <v>15</v>
      </c>
      <c r="C716" t="s">
        <v>221</v>
      </c>
      <c r="D716" t="s">
        <v>17</v>
      </c>
      <c r="E716" t="s">
        <v>18</v>
      </c>
      <c r="F716" t="s">
        <v>19</v>
      </c>
      <c r="G716" t="s">
        <v>20</v>
      </c>
      <c r="J716" t="s">
        <v>17</v>
      </c>
      <c r="K716" t="str">
        <f>"050036355469"</f>
        <v>050036355469</v>
      </c>
      <c r="L716" t="str">
        <f>"98350055"</f>
        <v>98350055</v>
      </c>
      <c r="M716" t="s">
        <v>21</v>
      </c>
      <c r="N716" s="1">
        <v>43839.709722222222</v>
      </c>
      <c r="O716" t="s">
        <v>33</v>
      </c>
    </row>
    <row r="717" spans="1:15" x14ac:dyDescent="0.25">
      <c r="A717" t="s">
        <v>613</v>
      </c>
      <c r="B717" t="s">
        <v>15</v>
      </c>
      <c r="C717" t="s">
        <v>221</v>
      </c>
      <c r="D717" t="s">
        <v>17</v>
      </c>
      <c r="E717" t="s">
        <v>18</v>
      </c>
      <c r="F717" t="s">
        <v>19</v>
      </c>
      <c r="G717" t="s">
        <v>20</v>
      </c>
      <c r="J717" t="s">
        <v>17</v>
      </c>
      <c r="K717" t="str">
        <f>"6925281950247"</f>
        <v>6925281950247</v>
      </c>
      <c r="L717" t="str">
        <f>"92350223"</f>
        <v>92350223</v>
      </c>
      <c r="M717" t="s">
        <v>21</v>
      </c>
      <c r="N717" s="1">
        <v>43742.679861111108</v>
      </c>
      <c r="O717" t="s">
        <v>19</v>
      </c>
    </row>
    <row r="718" spans="1:15" x14ac:dyDescent="0.25">
      <c r="A718" t="s">
        <v>614</v>
      </c>
      <c r="B718" t="s">
        <v>15</v>
      </c>
      <c r="C718" t="s">
        <v>221</v>
      </c>
      <c r="D718" t="s">
        <v>17</v>
      </c>
      <c r="E718" t="s">
        <v>18</v>
      </c>
      <c r="F718" t="s">
        <v>19</v>
      </c>
      <c r="G718" t="s">
        <v>20</v>
      </c>
      <c r="J718" t="s">
        <v>17</v>
      </c>
      <c r="K718" t="str">
        <f>"021299189122"</f>
        <v>021299189122</v>
      </c>
      <c r="L718" t="str">
        <f>"98359122"</f>
        <v>98359122</v>
      </c>
      <c r="M718" t="s">
        <v>21</v>
      </c>
      <c r="N718" s="1">
        <v>44370.817361111112</v>
      </c>
      <c r="O718" t="s">
        <v>19</v>
      </c>
    </row>
    <row r="719" spans="1:15" x14ac:dyDescent="0.25">
      <c r="A719" t="s">
        <v>615</v>
      </c>
      <c r="B719" t="s">
        <v>15</v>
      </c>
      <c r="C719" t="s">
        <v>221</v>
      </c>
      <c r="D719" t="s">
        <v>17</v>
      </c>
      <c r="E719" t="s">
        <v>18</v>
      </c>
      <c r="F719" t="s">
        <v>19</v>
      </c>
      <c r="G719" t="s">
        <v>20</v>
      </c>
      <c r="J719" t="s">
        <v>17</v>
      </c>
      <c r="K719" t="str">
        <f>"021299189603"</f>
        <v>021299189603</v>
      </c>
      <c r="L719" t="str">
        <f>"98359603"</f>
        <v>98359603</v>
      </c>
      <c r="M719" t="s">
        <v>21</v>
      </c>
      <c r="N719" s="1">
        <v>44370.819444444445</v>
      </c>
      <c r="O719" t="s">
        <v>19</v>
      </c>
    </row>
    <row r="720" spans="1:15" x14ac:dyDescent="0.25">
      <c r="A720" t="s">
        <v>616</v>
      </c>
      <c r="B720" t="s">
        <v>15</v>
      </c>
      <c r="C720" t="s">
        <v>221</v>
      </c>
      <c r="D720" t="s">
        <v>17</v>
      </c>
      <c r="E720" t="s">
        <v>18</v>
      </c>
      <c r="F720" t="s">
        <v>19</v>
      </c>
      <c r="G720" t="s">
        <v>20</v>
      </c>
      <c r="J720" t="s">
        <v>17</v>
      </c>
      <c r="K720" t="str">
        <f>"021299189641"</f>
        <v>021299189641</v>
      </c>
      <c r="L720" t="str">
        <f>"98350023"</f>
        <v>98350023</v>
      </c>
      <c r="M720" t="s">
        <v>21</v>
      </c>
      <c r="N720" s="1">
        <v>44321.882638888892</v>
      </c>
      <c r="O720" t="s">
        <v>19</v>
      </c>
    </row>
    <row r="721" spans="1:15" x14ac:dyDescent="0.25">
      <c r="A721" t="s">
        <v>617</v>
      </c>
      <c r="B721" t="s">
        <v>15</v>
      </c>
      <c r="C721" t="s">
        <v>221</v>
      </c>
      <c r="D721" t="s">
        <v>17</v>
      </c>
      <c r="E721" t="s">
        <v>18</v>
      </c>
      <c r="F721" t="s">
        <v>19</v>
      </c>
      <c r="G721" t="s">
        <v>20</v>
      </c>
      <c r="J721" t="s">
        <v>17</v>
      </c>
      <c r="K721" t="str">
        <f>"021299189627"</f>
        <v>021299189627</v>
      </c>
      <c r="L721" t="str">
        <f>"98351023"</f>
        <v>98351023</v>
      </c>
      <c r="M721" t="s">
        <v>21</v>
      </c>
      <c r="N721" s="1">
        <v>44455.86041666667</v>
      </c>
      <c r="O721" t="s">
        <v>19</v>
      </c>
    </row>
    <row r="722" spans="1:15" x14ac:dyDescent="0.25">
      <c r="A722" t="s">
        <v>618</v>
      </c>
      <c r="B722" t="s">
        <v>15</v>
      </c>
      <c r="C722" t="s">
        <v>221</v>
      </c>
      <c r="D722" t="s">
        <v>17</v>
      </c>
      <c r="E722" t="s">
        <v>18</v>
      </c>
      <c r="F722" t="s">
        <v>19</v>
      </c>
      <c r="G722" t="s">
        <v>20</v>
      </c>
      <c r="J722" t="s">
        <v>17</v>
      </c>
      <c r="K722" t="str">
        <f>"6965468454557"</f>
        <v>6965468454557</v>
      </c>
      <c r="L722" t="str">
        <f>"10007720"</f>
        <v>10007720</v>
      </c>
      <c r="M722" t="s">
        <v>21</v>
      </c>
      <c r="N722" s="1">
        <v>43596.64166666667</v>
      </c>
      <c r="O722" t="s">
        <v>19</v>
      </c>
    </row>
    <row r="723" spans="1:15" x14ac:dyDescent="0.25">
      <c r="A723" t="s">
        <v>619</v>
      </c>
      <c r="B723" t="s">
        <v>15</v>
      </c>
      <c r="C723" t="s">
        <v>221</v>
      </c>
      <c r="D723" t="s">
        <v>17</v>
      </c>
      <c r="E723" t="s">
        <v>18</v>
      </c>
      <c r="F723" t="s">
        <v>19</v>
      </c>
      <c r="G723" t="s">
        <v>20</v>
      </c>
      <c r="J723" t="s">
        <v>17</v>
      </c>
      <c r="K723" t="str">
        <f>"731398502677"</f>
        <v>731398502677</v>
      </c>
      <c r="L723" t="str">
        <f>"98352677"</f>
        <v>98352677</v>
      </c>
      <c r="M723" t="s">
        <v>21</v>
      </c>
      <c r="N723" s="1">
        <v>44370.908333333333</v>
      </c>
      <c r="O723" t="s">
        <v>19</v>
      </c>
    </row>
    <row r="724" spans="1:15" x14ac:dyDescent="0.25">
      <c r="A724" t="s">
        <v>620</v>
      </c>
      <c r="B724" t="s">
        <v>15</v>
      </c>
      <c r="C724" t="s">
        <v>221</v>
      </c>
      <c r="D724" t="s">
        <v>17</v>
      </c>
      <c r="E724" t="s">
        <v>18</v>
      </c>
      <c r="F724" t="s">
        <v>19</v>
      </c>
      <c r="G724" t="s">
        <v>20</v>
      </c>
      <c r="J724" t="s">
        <v>17</v>
      </c>
      <c r="K724" t="str">
        <f>"731398026029"</f>
        <v>731398026029</v>
      </c>
      <c r="L724" t="str">
        <f>"98356029"</f>
        <v>98356029</v>
      </c>
      <c r="M724" t="s">
        <v>21</v>
      </c>
      <c r="N724" s="1">
        <v>44370.926388888889</v>
      </c>
      <c r="O724" t="s">
        <v>19</v>
      </c>
    </row>
    <row r="725" spans="1:15" x14ac:dyDescent="0.25">
      <c r="A725" t="s">
        <v>621</v>
      </c>
      <c r="B725" t="s">
        <v>15</v>
      </c>
      <c r="C725" t="s">
        <v>221</v>
      </c>
      <c r="D725" t="s">
        <v>17</v>
      </c>
      <c r="E725" t="s">
        <v>18</v>
      </c>
      <c r="F725" t="s">
        <v>19</v>
      </c>
      <c r="G725" t="s">
        <v>20</v>
      </c>
      <c r="J725" t="s">
        <v>17</v>
      </c>
      <c r="K725" t="str">
        <f>"7808748508429"</f>
        <v>7808748508429</v>
      </c>
      <c r="L725" t="str">
        <f>"98350474"</f>
        <v>98350474</v>
      </c>
      <c r="M725" t="s">
        <v>21</v>
      </c>
      <c r="N725" s="1">
        <v>43839.719444444447</v>
      </c>
      <c r="O725" t="s">
        <v>19</v>
      </c>
    </row>
    <row r="726" spans="1:15" x14ac:dyDescent="0.25">
      <c r="A726" t="s">
        <v>622</v>
      </c>
      <c r="B726" t="s">
        <v>15</v>
      </c>
      <c r="C726" t="s">
        <v>221</v>
      </c>
      <c r="D726" t="s">
        <v>17</v>
      </c>
      <c r="E726" t="s">
        <v>18</v>
      </c>
      <c r="F726" t="s">
        <v>19</v>
      </c>
      <c r="G726" t="s">
        <v>20</v>
      </c>
      <c r="J726" t="s">
        <v>17</v>
      </c>
      <c r="K726" t="str">
        <f>"7808748508474"</f>
        <v>7808748508474</v>
      </c>
      <c r="L726" t="str">
        <f>"98030180"</f>
        <v>98030180</v>
      </c>
      <c r="M726" t="s">
        <v>75</v>
      </c>
      <c r="N726" s="1">
        <v>43201.700694444444</v>
      </c>
      <c r="O726" t="s">
        <v>19</v>
      </c>
    </row>
    <row r="727" spans="1:15" x14ac:dyDescent="0.25">
      <c r="A727" t="s">
        <v>623</v>
      </c>
      <c r="B727" t="s">
        <v>15</v>
      </c>
      <c r="C727" t="s">
        <v>221</v>
      </c>
      <c r="D727" t="s">
        <v>17</v>
      </c>
      <c r="E727" t="s">
        <v>18</v>
      </c>
      <c r="F727" t="s">
        <v>19</v>
      </c>
      <c r="G727" t="s">
        <v>20</v>
      </c>
      <c r="J727" t="s">
        <v>17</v>
      </c>
      <c r="K727" t="str">
        <f>"025215494109"</f>
        <v>025215494109</v>
      </c>
      <c r="L727" t="str">
        <f>"60357360"</f>
        <v>60357360</v>
      </c>
      <c r="M727" t="s">
        <v>21</v>
      </c>
      <c r="N727" s="1">
        <v>43521.611805555556</v>
      </c>
      <c r="O727" t="s">
        <v>19</v>
      </c>
    </row>
    <row r="728" spans="1:15" x14ac:dyDescent="0.25">
      <c r="A728" t="s">
        <v>623</v>
      </c>
      <c r="B728" t="s">
        <v>15</v>
      </c>
      <c r="C728" t="s">
        <v>221</v>
      </c>
      <c r="D728" t="s">
        <v>17</v>
      </c>
      <c r="E728" t="s">
        <v>18</v>
      </c>
      <c r="F728" t="s">
        <v>19</v>
      </c>
      <c r="G728" t="s">
        <v>20</v>
      </c>
      <c r="J728" t="s">
        <v>17</v>
      </c>
      <c r="K728" t="str">
        <f>"025215494116"</f>
        <v>025215494116</v>
      </c>
      <c r="L728" t="str">
        <f>"60357361"</f>
        <v>60357361</v>
      </c>
      <c r="M728" t="s">
        <v>21</v>
      </c>
      <c r="N728" s="1">
        <v>43521.613194444442</v>
      </c>
      <c r="O728" t="s">
        <v>19</v>
      </c>
    </row>
    <row r="729" spans="1:15" x14ac:dyDescent="0.25">
      <c r="A729" t="s">
        <v>623</v>
      </c>
      <c r="B729" t="s">
        <v>15</v>
      </c>
      <c r="C729" t="s">
        <v>221</v>
      </c>
      <c r="D729" t="s">
        <v>17</v>
      </c>
      <c r="E729" t="s">
        <v>18</v>
      </c>
      <c r="F729" t="s">
        <v>19</v>
      </c>
      <c r="G729" t="s">
        <v>20</v>
      </c>
      <c r="J729" t="s">
        <v>17</v>
      </c>
      <c r="K729" t="str">
        <f>"025215494123"</f>
        <v>025215494123</v>
      </c>
      <c r="L729" t="str">
        <f>"60357362"</f>
        <v>60357362</v>
      </c>
      <c r="M729" t="s">
        <v>21</v>
      </c>
      <c r="N729" s="1">
        <v>43521.613194444442</v>
      </c>
      <c r="O729" t="s">
        <v>19</v>
      </c>
    </row>
    <row r="730" spans="1:15" x14ac:dyDescent="0.25">
      <c r="A730" t="s">
        <v>623</v>
      </c>
      <c r="B730" t="s">
        <v>15</v>
      </c>
      <c r="C730" t="s">
        <v>221</v>
      </c>
      <c r="D730" t="s">
        <v>17</v>
      </c>
      <c r="E730" t="s">
        <v>18</v>
      </c>
      <c r="F730" t="s">
        <v>19</v>
      </c>
      <c r="G730" t="s">
        <v>20</v>
      </c>
      <c r="J730" t="s">
        <v>17</v>
      </c>
      <c r="K730" t="str">
        <f>"025215494130"</f>
        <v>025215494130</v>
      </c>
      <c r="L730" t="str">
        <f>"60357363"</f>
        <v>60357363</v>
      </c>
      <c r="M730" t="s">
        <v>21</v>
      </c>
      <c r="N730" s="1">
        <v>43521.613888888889</v>
      </c>
      <c r="O730" t="s">
        <v>19</v>
      </c>
    </row>
    <row r="731" spans="1:15" x14ac:dyDescent="0.25">
      <c r="A731" t="s">
        <v>624</v>
      </c>
      <c r="B731" t="s">
        <v>15</v>
      </c>
      <c r="C731" t="s">
        <v>221</v>
      </c>
      <c r="D731" t="s">
        <v>17</v>
      </c>
      <c r="E731" t="s">
        <v>18</v>
      </c>
      <c r="F731" t="s">
        <v>19</v>
      </c>
      <c r="G731" t="s">
        <v>20</v>
      </c>
      <c r="J731" t="s">
        <v>17</v>
      </c>
      <c r="K731" t="str">
        <f>"025215500282"</f>
        <v>025215500282</v>
      </c>
      <c r="L731" t="str">
        <f>"60351090"</f>
        <v>60351090</v>
      </c>
      <c r="M731" t="s">
        <v>84</v>
      </c>
      <c r="N731" s="1">
        <v>43521.61041666667</v>
      </c>
      <c r="O731" t="s">
        <v>19</v>
      </c>
    </row>
    <row r="732" spans="1:15" x14ac:dyDescent="0.25">
      <c r="A732" t="s">
        <v>624</v>
      </c>
      <c r="B732" t="s">
        <v>15</v>
      </c>
      <c r="C732" t="s">
        <v>221</v>
      </c>
      <c r="D732" t="s">
        <v>17</v>
      </c>
      <c r="E732" t="s">
        <v>18</v>
      </c>
      <c r="F732" t="s">
        <v>19</v>
      </c>
      <c r="G732" t="s">
        <v>20</v>
      </c>
      <c r="J732" t="s">
        <v>17</v>
      </c>
      <c r="K732" t="str">
        <f>"025215500305"</f>
        <v>025215500305</v>
      </c>
      <c r="L732" t="str">
        <f>"60351110"</f>
        <v>60351110</v>
      </c>
      <c r="M732" t="s">
        <v>84</v>
      </c>
      <c r="N732" s="1">
        <v>43521.611111111109</v>
      </c>
      <c r="O732" t="s">
        <v>19</v>
      </c>
    </row>
    <row r="733" spans="1:15" x14ac:dyDescent="0.25">
      <c r="A733" t="s">
        <v>625</v>
      </c>
      <c r="B733" t="s">
        <v>15</v>
      </c>
      <c r="C733" t="s">
        <v>221</v>
      </c>
      <c r="D733" t="s">
        <v>17</v>
      </c>
      <c r="E733" t="s">
        <v>18</v>
      </c>
      <c r="F733" t="s">
        <v>19</v>
      </c>
      <c r="G733" t="s">
        <v>20</v>
      </c>
      <c r="H733" t="s">
        <v>8</v>
      </c>
      <c r="I733" t="s">
        <v>8</v>
      </c>
      <c r="J733" t="s">
        <v>17</v>
      </c>
      <c r="K733" t="str">
        <f>"025215500299"</f>
        <v>025215500299</v>
      </c>
      <c r="L733" t="str">
        <f>"60351009"</f>
        <v>60351009</v>
      </c>
      <c r="M733" t="s">
        <v>84</v>
      </c>
      <c r="N733" s="1">
        <v>43566.620833333334</v>
      </c>
      <c r="O733" t="s">
        <v>19</v>
      </c>
    </row>
    <row r="734" spans="1:15" x14ac:dyDescent="0.25">
      <c r="A734" t="s">
        <v>626</v>
      </c>
      <c r="B734" t="s">
        <v>15</v>
      </c>
      <c r="C734" t="s">
        <v>221</v>
      </c>
      <c r="D734" t="s">
        <v>17</v>
      </c>
      <c r="E734" t="s">
        <v>18</v>
      </c>
      <c r="F734" t="s">
        <v>19</v>
      </c>
      <c r="G734" t="s">
        <v>20</v>
      </c>
      <c r="J734" t="s">
        <v>17</v>
      </c>
      <c r="K734" t="str">
        <f>"025215499647"</f>
        <v>025215499647</v>
      </c>
      <c r="L734" t="str">
        <f>"60359450"</f>
        <v>60359450</v>
      </c>
      <c r="M734" t="s">
        <v>84</v>
      </c>
      <c r="N734" s="1">
        <v>43521.614583333336</v>
      </c>
      <c r="O734" t="s">
        <v>19</v>
      </c>
    </row>
    <row r="735" spans="1:15" x14ac:dyDescent="0.25">
      <c r="A735" t="s">
        <v>627</v>
      </c>
      <c r="B735" t="s">
        <v>15</v>
      </c>
      <c r="C735" t="s">
        <v>225</v>
      </c>
      <c r="D735" t="s">
        <v>17</v>
      </c>
      <c r="E735" t="s">
        <v>18</v>
      </c>
      <c r="F735" t="s">
        <v>19</v>
      </c>
      <c r="G735" t="s">
        <v>20</v>
      </c>
      <c r="H735" t="s">
        <v>8</v>
      </c>
      <c r="I735" t="s">
        <v>8</v>
      </c>
      <c r="J735" t="s">
        <v>17</v>
      </c>
      <c r="K735" t="str">
        <f>"025215499661"</f>
        <v>025215499661</v>
      </c>
      <c r="L735" t="str">
        <f>"60359404"</f>
        <v>60359404</v>
      </c>
      <c r="M735" t="s">
        <v>84</v>
      </c>
      <c r="N735" s="1">
        <v>43566.625</v>
      </c>
      <c r="O735" t="s">
        <v>19</v>
      </c>
    </row>
    <row r="736" spans="1:15" x14ac:dyDescent="0.25">
      <c r="A736" t="s">
        <v>628</v>
      </c>
      <c r="B736" t="s">
        <v>15</v>
      </c>
      <c r="C736" t="s">
        <v>225</v>
      </c>
      <c r="D736" t="s">
        <v>17</v>
      </c>
      <c r="E736" t="s">
        <v>18</v>
      </c>
      <c r="F736" t="s">
        <v>19</v>
      </c>
      <c r="G736" t="s">
        <v>20</v>
      </c>
      <c r="H736" t="s">
        <v>8</v>
      </c>
      <c r="I736" t="s">
        <v>8</v>
      </c>
      <c r="J736" t="s">
        <v>17</v>
      </c>
      <c r="K736" t="str">
        <f>"025215499654"</f>
        <v>025215499654</v>
      </c>
      <c r="L736" t="str">
        <f>"60359405"</f>
        <v>60359405</v>
      </c>
      <c r="M736" t="s">
        <v>84</v>
      </c>
      <c r="N736" s="1">
        <v>43566.624305555553</v>
      </c>
      <c r="O736" t="s">
        <v>19</v>
      </c>
    </row>
    <row r="737" spans="1:15" x14ac:dyDescent="0.25">
      <c r="A737" t="s">
        <v>629</v>
      </c>
      <c r="B737" t="s">
        <v>15</v>
      </c>
      <c r="C737" t="s">
        <v>221</v>
      </c>
      <c r="D737" t="s">
        <v>17</v>
      </c>
      <c r="E737" t="s">
        <v>18</v>
      </c>
      <c r="F737" t="s">
        <v>19</v>
      </c>
      <c r="G737" t="s">
        <v>20</v>
      </c>
      <c r="J737" t="s">
        <v>17</v>
      </c>
      <c r="K737" t="str">
        <f>"025215494147"</f>
        <v>025215494147</v>
      </c>
      <c r="L737" t="str">
        <f>"60357364"</f>
        <v>60357364</v>
      </c>
      <c r="M737" t="s">
        <v>21</v>
      </c>
      <c r="N737" s="1">
        <v>43870.701388888891</v>
      </c>
      <c r="O737" t="s">
        <v>19</v>
      </c>
    </row>
    <row r="738" spans="1:15" x14ac:dyDescent="0.25">
      <c r="A738" t="s">
        <v>630</v>
      </c>
      <c r="B738" t="s">
        <v>15</v>
      </c>
      <c r="C738" t="s">
        <v>221</v>
      </c>
      <c r="D738" t="s">
        <v>17</v>
      </c>
      <c r="E738" t="s">
        <v>18</v>
      </c>
      <c r="F738" t="s">
        <v>19</v>
      </c>
      <c r="G738" t="s">
        <v>20</v>
      </c>
      <c r="J738" t="s">
        <v>17</v>
      </c>
      <c r="K738" t="str">
        <f>"025215500398"</f>
        <v>025215500398</v>
      </c>
      <c r="L738" t="str">
        <f>"60358120"</f>
        <v>60358120</v>
      </c>
      <c r="M738" t="s">
        <v>21</v>
      </c>
      <c r="N738" s="1">
        <v>43870.70208333333</v>
      </c>
      <c r="O738" t="s">
        <v>19</v>
      </c>
    </row>
    <row r="739" spans="1:15" x14ac:dyDescent="0.25">
      <c r="A739" t="s">
        <v>631</v>
      </c>
      <c r="B739" t="s">
        <v>15</v>
      </c>
      <c r="C739" t="s">
        <v>221</v>
      </c>
      <c r="D739" t="s">
        <v>17</v>
      </c>
      <c r="E739" t="s">
        <v>18</v>
      </c>
      <c r="F739" t="s">
        <v>19</v>
      </c>
      <c r="G739" t="s">
        <v>20</v>
      </c>
      <c r="J739" t="s">
        <v>17</v>
      </c>
      <c r="K739" t="str">
        <f>"025215500428"</f>
        <v>025215500428</v>
      </c>
      <c r="L739" t="str">
        <f>"60358123"</f>
        <v>60358123</v>
      </c>
      <c r="M739" t="s">
        <v>21</v>
      </c>
      <c r="N739" s="1">
        <v>43870.722222222219</v>
      </c>
      <c r="O739" t="s">
        <v>19</v>
      </c>
    </row>
    <row r="740" spans="1:15" x14ac:dyDescent="0.25">
      <c r="A740" t="s">
        <v>632</v>
      </c>
      <c r="B740" t="s">
        <v>15</v>
      </c>
      <c r="C740" t="s">
        <v>221</v>
      </c>
      <c r="D740" t="s">
        <v>17</v>
      </c>
      <c r="E740" t="s">
        <v>18</v>
      </c>
      <c r="F740" t="s">
        <v>19</v>
      </c>
      <c r="G740" t="s">
        <v>20</v>
      </c>
      <c r="J740" t="s">
        <v>17</v>
      </c>
      <c r="K740" t="str">
        <f>"025215500411"</f>
        <v>025215500411</v>
      </c>
      <c r="L740" t="str">
        <f>"60358122"</f>
        <v>60358122</v>
      </c>
      <c r="M740" t="s">
        <v>21</v>
      </c>
      <c r="N740" s="1">
        <v>43870.72152777778</v>
      </c>
      <c r="O740" t="s">
        <v>19</v>
      </c>
    </row>
    <row r="741" spans="1:15" x14ac:dyDescent="0.25">
      <c r="A741" t="s">
        <v>633</v>
      </c>
      <c r="B741" t="s">
        <v>15</v>
      </c>
      <c r="C741" t="s">
        <v>221</v>
      </c>
      <c r="D741" t="s">
        <v>17</v>
      </c>
      <c r="E741" t="s">
        <v>18</v>
      </c>
      <c r="F741" t="s">
        <v>19</v>
      </c>
      <c r="G741" t="s">
        <v>20</v>
      </c>
      <c r="J741" t="s">
        <v>17</v>
      </c>
      <c r="K741" t="str">
        <f>"025215500404"</f>
        <v>025215500404</v>
      </c>
      <c r="L741" t="str">
        <f>"60358121"</f>
        <v>60358121</v>
      </c>
      <c r="M741" t="s">
        <v>21</v>
      </c>
      <c r="N741" s="1">
        <v>43870.702777777777</v>
      </c>
      <c r="O741" t="s">
        <v>19</v>
      </c>
    </row>
    <row r="742" spans="1:15" x14ac:dyDescent="0.25">
      <c r="A742" t="s">
        <v>634</v>
      </c>
      <c r="B742" t="s">
        <v>15</v>
      </c>
      <c r="C742" t="s">
        <v>221</v>
      </c>
      <c r="D742" t="s">
        <v>17</v>
      </c>
      <c r="E742" t="s">
        <v>18</v>
      </c>
      <c r="F742" t="s">
        <v>19</v>
      </c>
      <c r="G742" t="s">
        <v>20</v>
      </c>
      <c r="J742" t="s">
        <v>17</v>
      </c>
      <c r="K742" t="str">
        <f>"025215493454"</f>
        <v>025215493454</v>
      </c>
      <c r="L742" t="str">
        <f>"60747292"</f>
        <v>60747292</v>
      </c>
      <c r="M742" t="s">
        <v>21</v>
      </c>
      <c r="N742" s="1">
        <v>43870.720833333333</v>
      </c>
      <c r="O742" t="s">
        <v>19</v>
      </c>
    </row>
    <row r="743" spans="1:15" x14ac:dyDescent="0.25">
      <c r="A743" t="s">
        <v>635</v>
      </c>
      <c r="B743" t="s">
        <v>15</v>
      </c>
      <c r="C743" t="s">
        <v>221</v>
      </c>
      <c r="D743" t="s">
        <v>17</v>
      </c>
      <c r="E743" t="s">
        <v>18</v>
      </c>
      <c r="F743" t="s">
        <v>19</v>
      </c>
      <c r="G743" t="s">
        <v>20</v>
      </c>
      <c r="J743" t="s">
        <v>17</v>
      </c>
      <c r="K743" t="str">
        <f>"218400168685"</f>
        <v>218400168685</v>
      </c>
      <c r="L743" t="str">
        <f>"10351199"</f>
        <v>10351199</v>
      </c>
      <c r="M743" t="s">
        <v>75</v>
      </c>
      <c r="N743" s="1">
        <v>42908.685416666667</v>
      </c>
      <c r="O743" t="s">
        <v>19</v>
      </c>
    </row>
    <row r="744" spans="1:15" x14ac:dyDescent="0.25">
      <c r="A744" t="s">
        <v>636</v>
      </c>
      <c r="B744" t="s">
        <v>15</v>
      </c>
      <c r="C744" t="s">
        <v>221</v>
      </c>
      <c r="D744" t="s">
        <v>17</v>
      </c>
      <c r="E744" t="s">
        <v>18</v>
      </c>
      <c r="F744" t="s">
        <v>19</v>
      </c>
      <c r="G744" t="s">
        <v>20</v>
      </c>
      <c r="J744" t="s">
        <v>17</v>
      </c>
      <c r="K744" t="str">
        <f>"1000001075853"</f>
        <v>1000001075853</v>
      </c>
      <c r="L744" t="str">
        <f>"76350006"</f>
        <v>76350006</v>
      </c>
      <c r="M744" t="s">
        <v>21</v>
      </c>
      <c r="N744" s="1">
        <v>43665.704861111109</v>
      </c>
      <c r="O744" t="s">
        <v>19</v>
      </c>
    </row>
    <row r="745" spans="1:15" x14ac:dyDescent="0.25">
      <c r="A745" t="s">
        <v>637</v>
      </c>
      <c r="B745" t="s">
        <v>15</v>
      </c>
      <c r="C745" t="s">
        <v>221</v>
      </c>
      <c r="D745" t="s">
        <v>17</v>
      </c>
      <c r="E745" t="s">
        <v>18</v>
      </c>
      <c r="F745" t="s">
        <v>19</v>
      </c>
      <c r="G745" t="s">
        <v>20</v>
      </c>
      <c r="J745" t="s">
        <v>17</v>
      </c>
      <c r="K745" t="str">
        <f>"6995411110049"</f>
        <v>6995411110049</v>
      </c>
      <c r="L745" t="str">
        <f>"76350777"</f>
        <v>76350777</v>
      </c>
      <c r="M745" t="s">
        <v>21</v>
      </c>
      <c r="N745" s="1">
        <v>43825.870833333334</v>
      </c>
      <c r="O745" t="s">
        <v>19</v>
      </c>
    </row>
    <row r="746" spans="1:15" x14ac:dyDescent="0.25">
      <c r="A746" t="s">
        <v>638</v>
      </c>
      <c r="B746" t="s">
        <v>15</v>
      </c>
      <c r="C746" t="s">
        <v>221</v>
      </c>
      <c r="D746" t="s">
        <v>17</v>
      </c>
      <c r="E746" t="s">
        <v>18</v>
      </c>
      <c r="F746" t="s">
        <v>19</v>
      </c>
      <c r="G746" t="s">
        <v>20</v>
      </c>
      <c r="J746" t="s">
        <v>17</v>
      </c>
      <c r="K746" t="str">
        <f>"816479013744"</f>
        <v>816479013744</v>
      </c>
      <c r="L746" t="str">
        <f>"30350006"</f>
        <v>30350006</v>
      </c>
      <c r="M746" t="s">
        <v>84</v>
      </c>
      <c r="N746" s="1">
        <v>43313.728472222225</v>
      </c>
      <c r="O746" t="s">
        <v>19</v>
      </c>
    </row>
    <row r="747" spans="1:15" x14ac:dyDescent="0.25">
      <c r="A747" t="s">
        <v>639</v>
      </c>
      <c r="B747" t="s">
        <v>15</v>
      </c>
      <c r="C747" t="s">
        <v>221</v>
      </c>
      <c r="D747" t="s">
        <v>17</v>
      </c>
      <c r="E747" t="s">
        <v>18</v>
      </c>
      <c r="F747" t="s">
        <v>19</v>
      </c>
      <c r="G747" t="s">
        <v>20</v>
      </c>
      <c r="J747" t="s">
        <v>17</v>
      </c>
      <c r="K747" t="str">
        <f>"5012786801738"</f>
        <v>5012786801738</v>
      </c>
      <c r="L747" t="str">
        <f>"10001687"</f>
        <v>10001687</v>
      </c>
      <c r="M747" t="s">
        <v>21</v>
      </c>
      <c r="N747" s="1">
        <v>43546.631249999999</v>
      </c>
      <c r="O747" t="s">
        <v>19</v>
      </c>
    </row>
    <row r="748" spans="1:15" x14ac:dyDescent="0.25">
      <c r="A748" t="s">
        <v>640</v>
      </c>
      <c r="B748" t="s">
        <v>15</v>
      </c>
      <c r="C748" t="s">
        <v>221</v>
      </c>
      <c r="D748" t="s">
        <v>17</v>
      </c>
      <c r="E748" t="s">
        <v>18</v>
      </c>
      <c r="F748" t="s">
        <v>19</v>
      </c>
      <c r="G748" t="s">
        <v>20</v>
      </c>
      <c r="J748" t="s">
        <v>17</v>
      </c>
      <c r="K748" t="str">
        <f>"10001716"</f>
        <v>10001716</v>
      </c>
      <c r="L748" t="str">
        <f>"10001716"</f>
        <v>10001716</v>
      </c>
      <c r="M748" t="s">
        <v>84</v>
      </c>
      <c r="N748" s="1">
        <v>43546.630555555559</v>
      </c>
      <c r="O748" t="s">
        <v>19</v>
      </c>
    </row>
    <row r="749" spans="1:15" x14ac:dyDescent="0.25">
      <c r="A749" t="s">
        <v>641</v>
      </c>
      <c r="B749" t="s">
        <v>15</v>
      </c>
      <c r="C749" t="s">
        <v>221</v>
      </c>
      <c r="D749" t="s">
        <v>17</v>
      </c>
      <c r="E749" t="s">
        <v>18</v>
      </c>
      <c r="F749" t="s">
        <v>19</v>
      </c>
      <c r="G749" t="s">
        <v>20</v>
      </c>
      <c r="J749" t="s">
        <v>17</v>
      </c>
      <c r="K749" t="str">
        <f>"816479013720"</f>
        <v>816479013720</v>
      </c>
      <c r="L749" t="str">
        <f>"79MOTMX2BL"</f>
        <v>79MOTMX2BL</v>
      </c>
      <c r="M749" t="s">
        <v>21</v>
      </c>
      <c r="N749" s="1">
        <v>44265.717361111114</v>
      </c>
      <c r="O749" t="s">
        <v>19</v>
      </c>
    </row>
    <row r="750" spans="1:15" x14ac:dyDescent="0.25">
      <c r="A750" t="s">
        <v>642</v>
      </c>
      <c r="B750" t="s">
        <v>15</v>
      </c>
      <c r="C750" t="s">
        <v>221</v>
      </c>
      <c r="D750" t="s">
        <v>17</v>
      </c>
      <c r="E750" t="s">
        <v>18</v>
      </c>
      <c r="F750" t="s">
        <v>19</v>
      </c>
      <c r="G750" t="s">
        <v>20</v>
      </c>
      <c r="J750" t="s">
        <v>17</v>
      </c>
      <c r="K750" t="str">
        <f>"816479013652"</f>
        <v>816479013652</v>
      </c>
      <c r="L750" t="str">
        <f>"79MOTMXBLK"</f>
        <v>79MOTMXBLK</v>
      </c>
      <c r="M750" t="s">
        <v>21</v>
      </c>
      <c r="N750" s="1">
        <v>43805.904861111114</v>
      </c>
      <c r="O750" t="s">
        <v>19</v>
      </c>
    </row>
    <row r="751" spans="1:15" x14ac:dyDescent="0.25">
      <c r="A751" t="s">
        <v>643</v>
      </c>
      <c r="B751" t="s">
        <v>15</v>
      </c>
      <c r="C751" t="s">
        <v>221</v>
      </c>
      <c r="D751" t="s">
        <v>17</v>
      </c>
      <c r="E751" t="s">
        <v>18</v>
      </c>
      <c r="F751" t="s">
        <v>19</v>
      </c>
      <c r="G751" t="s">
        <v>20</v>
      </c>
      <c r="J751" t="s">
        <v>17</v>
      </c>
      <c r="K751" t="str">
        <f>"816479013669"</f>
        <v>816479013669</v>
      </c>
      <c r="L751" t="str">
        <f>"79MOTMXWHT"</f>
        <v>79MOTMXWHT</v>
      </c>
      <c r="M751" t="s">
        <v>21</v>
      </c>
      <c r="N751" s="1">
        <v>44001.644444444442</v>
      </c>
      <c r="O751" t="s">
        <v>19</v>
      </c>
    </row>
    <row r="752" spans="1:15" x14ac:dyDescent="0.25">
      <c r="A752" t="s">
        <v>644</v>
      </c>
      <c r="B752" t="s">
        <v>15</v>
      </c>
      <c r="C752" t="s">
        <v>221</v>
      </c>
      <c r="D752" t="s">
        <v>17</v>
      </c>
      <c r="E752" t="s">
        <v>18</v>
      </c>
      <c r="F752" t="s">
        <v>19</v>
      </c>
      <c r="G752" t="s">
        <v>20</v>
      </c>
      <c r="J752" t="s">
        <v>17</v>
      </c>
      <c r="K752" t="str">
        <f>"5012786803718"</f>
        <v>5012786803718</v>
      </c>
      <c r="L752" t="str">
        <f>"79MOTSQ20B"</f>
        <v>79MOTSQ20B</v>
      </c>
      <c r="M752" t="s">
        <v>21</v>
      </c>
      <c r="N752" s="1">
        <v>44265.718055555553</v>
      </c>
      <c r="O752" t="s">
        <v>19</v>
      </c>
    </row>
    <row r="753" spans="1:15" x14ac:dyDescent="0.25">
      <c r="A753" t="s">
        <v>645</v>
      </c>
      <c r="B753" t="s">
        <v>15</v>
      </c>
      <c r="C753" t="s">
        <v>221</v>
      </c>
      <c r="D753" t="s">
        <v>17</v>
      </c>
      <c r="E753" t="s">
        <v>18</v>
      </c>
      <c r="F753" t="s">
        <v>19</v>
      </c>
      <c r="G753" t="s">
        <v>20</v>
      </c>
      <c r="J753" t="s">
        <v>17</v>
      </c>
      <c r="K753" t="str">
        <f>"5012786803725"</f>
        <v>5012786803725</v>
      </c>
      <c r="L753" t="str">
        <f>"79MOTSQ20P"</f>
        <v>79MOTSQ20P</v>
      </c>
      <c r="M753" t="s">
        <v>21</v>
      </c>
      <c r="N753" s="1">
        <v>44265.71875</v>
      </c>
      <c r="O753" t="s">
        <v>19</v>
      </c>
    </row>
    <row r="754" spans="1:15" x14ac:dyDescent="0.25">
      <c r="A754" t="s">
        <v>646</v>
      </c>
      <c r="B754" t="s">
        <v>15</v>
      </c>
      <c r="C754" t="s">
        <v>221</v>
      </c>
      <c r="D754" t="s">
        <v>17</v>
      </c>
      <c r="E754" t="s">
        <v>18</v>
      </c>
      <c r="F754" t="s">
        <v>19</v>
      </c>
      <c r="G754" t="s">
        <v>20</v>
      </c>
      <c r="J754" t="s">
        <v>17</v>
      </c>
      <c r="K754" t="str">
        <f>"7804625560610"</f>
        <v>7804625560610</v>
      </c>
      <c r="L754" t="str">
        <f>"42400010"</f>
        <v>42400010</v>
      </c>
      <c r="M754" t="s">
        <v>75</v>
      </c>
      <c r="N754" s="1">
        <v>42872.839583333334</v>
      </c>
      <c r="O754" t="s">
        <v>19</v>
      </c>
    </row>
    <row r="755" spans="1:15" x14ac:dyDescent="0.25">
      <c r="A755" t="s">
        <v>647</v>
      </c>
      <c r="B755" t="s">
        <v>15</v>
      </c>
      <c r="C755" t="s">
        <v>225</v>
      </c>
      <c r="D755" t="s">
        <v>17</v>
      </c>
      <c r="E755" t="s">
        <v>18</v>
      </c>
      <c r="F755" t="s">
        <v>19</v>
      </c>
      <c r="G755" t="s">
        <v>20</v>
      </c>
      <c r="J755" t="s">
        <v>17</v>
      </c>
      <c r="K755" t="str">
        <f>"7804625560580"</f>
        <v>7804625560580</v>
      </c>
      <c r="L755" t="str">
        <f>"42400000"</f>
        <v>42400000</v>
      </c>
      <c r="M755" t="s">
        <v>75</v>
      </c>
      <c r="N755" s="1">
        <v>42872.839583333334</v>
      </c>
      <c r="O755" t="s">
        <v>19</v>
      </c>
    </row>
    <row r="756" spans="1:15" x14ac:dyDescent="0.25">
      <c r="A756" t="s">
        <v>648</v>
      </c>
      <c r="B756" t="s">
        <v>15</v>
      </c>
      <c r="C756" t="s">
        <v>225</v>
      </c>
      <c r="D756" t="s">
        <v>17</v>
      </c>
      <c r="E756" t="s">
        <v>18</v>
      </c>
      <c r="F756" t="s">
        <v>19</v>
      </c>
      <c r="G756" t="s">
        <v>20</v>
      </c>
      <c r="J756" t="s">
        <v>17</v>
      </c>
      <c r="K756" t="str">
        <f>"7804625560597"</f>
        <v>7804625560597</v>
      </c>
      <c r="L756" t="str">
        <f>"42400001"</f>
        <v>42400001</v>
      </c>
      <c r="M756" t="s">
        <v>75</v>
      </c>
      <c r="N756" s="1">
        <v>42872.839583333334</v>
      </c>
      <c r="O756" t="s">
        <v>19</v>
      </c>
    </row>
    <row r="757" spans="1:15" x14ac:dyDescent="0.25">
      <c r="A757" t="s">
        <v>649</v>
      </c>
      <c r="B757" t="s">
        <v>15</v>
      </c>
      <c r="C757" t="s">
        <v>225</v>
      </c>
      <c r="D757" t="s">
        <v>17</v>
      </c>
      <c r="E757" t="s">
        <v>18</v>
      </c>
      <c r="F757" t="s">
        <v>19</v>
      </c>
      <c r="G757" t="s">
        <v>20</v>
      </c>
      <c r="J757" t="s">
        <v>17</v>
      </c>
      <c r="K757" t="str">
        <f>"42400050"</f>
        <v>42400050</v>
      </c>
      <c r="L757" t="str">
        <f>"42400050"</f>
        <v>42400050</v>
      </c>
      <c r="M757" t="s">
        <v>75</v>
      </c>
      <c r="N757" s="1">
        <v>42872.839583333334</v>
      </c>
      <c r="O757" t="s">
        <v>19</v>
      </c>
    </row>
    <row r="758" spans="1:15" x14ac:dyDescent="0.25">
      <c r="A758" t="s">
        <v>650</v>
      </c>
      <c r="B758" t="s">
        <v>15</v>
      </c>
      <c r="C758" t="s">
        <v>221</v>
      </c>
      <c r="D758" t="s">
        <v>17</v>
      </c>
      <c r="E758" t="s">
        <v>18</v>
      </c>
      <c r="F758" t="s">
        <v>19</v>
      </c>
      <c r="G758" t="s">
        <v>20</v>
      </c>
      <c r="J758" t="s">
        <v>17</v>
      </c>
      <c r="K758" t="str">
        <f>"6901443152742"</f>
        <v>6901443152742</v>
      </c>
      <c r="L758" t="str">
        <f>"92350500"</f>
        <v>92350500</v>
      </c>
      <c r="M758" t="s">
        <v>21</v>
      </c>
      <c r="N758" s="1">
        <v>43255.68472222222</v>
      </c>
      <c r="O758" t="s">
        <v>19</v>
      </c>
    </row>
    <row r="759" spans="1:15" x14ac:dyDescent="0.25">
      <c r="A759" t="s">
        <v>651</v>
      </c>
      <c r="B759" t="s">
        <v>15</v>
      </c>
      <c r="C759" t="s">
        <v>221</v>
      </c>
      <c r="D759" t="s">
        <v>17</v>
      </c>
      <c r="E759" t="s">
        <v>18</v>
      </c>
      <c r="F759" t="s">
        <v>19</v>
      </c>
      <c r="G759" t="s">
        <v>20</v>
      </c>
      <c r="J759" t="s">
        <v>17</v>
      </c>
      <c r="K759" t="str">
        <f>"30350033"</f>
        <v>30350033</v>
      </c>
      <c r="L759" t="str">
        <f>"30350033"</f>
        <v>30350033</v>
      </c>
      <c r="M759" t="s">
        <v>21</v>
      </c>
      <c r="N759" s="1">
        <v>43501.944444444445</v>
      </c>
      <c r="O759" t="s">
        <v>19</v>
      </c>
    </row>
    <row r="760" spans="1:15" x14ac:dyDescent="0.25">
      <c r="A760" t="s">
        <v>652</v>
      </c>
      <c r="B760" t="s">
        <v>15</v>
      </c>
      <c r="C760" t="s">
        <v>221</v>
      </c>
      <c r="D760" t="s">
        <v>17</v>
      </c>
      <c r="E760" t="s">
        <v>18</v>
      </c>
      <c r="F760" t="s">
        <v>19</v>
      </c>
      <c r="G760" t="s">
        <v>20</v>
      </c>
      <c r="J760" t="s">
        <v>17</v>
      </c>
      <c r="K760" t="str">
        <f>"005142"</f>
        <v>005142</v>
      </c>
      <c r="L760" t="str">
        <f>"33030715"</f>
        <v>33030715</v>
      </c>
      <c r="M760" t="s">
        <v>75</v>
      </c>
      <c r="N760" s="1">
        <v>43046.628472222219</v>
      </c>
      <c r="O760" t="s">
        <v>19</v>
      </c>
    </row>
    <row r="761" spans="1:15" x14ac:dyDescent="0.25">
      <c r="A761" t="s">
        <v>653</v>
      </c>
      <c r="B761" t="s">
        <v>15</v>
      </c>
      <c r="C761" t="s">
        <v>221</v>
      </c>
      <c r="D761" t="s">
        <v>17</v>
      </c>
      <c r="E761" t="s">
        <v>18</v>
      </c>
      <c r="F761" t="s">
        <v>19</v>
      </c>
      <c r="G761" t="s">
        <v>20</v>
      </c>
      <c r="J761" t="s">
        <v>17</v>
      </c>
      <c r="K761" t="str">
        <f>"10000672"</f>
        <v>10000672</v>
      </c>
      <c r="L761" t="str">
        <f>"10000672"</f>
        <v>10000672</v>
      </c>
      <c r="M761" t="s">
        <v>75</v>
      </c>
      <c r="N761" s="1">
        <v>42872.839583333334</v>
      </c>
      <c r="O761" t="s">
        <v>19</v>
      </c>
    </row>
    <row r="762" spans="1:15" x14ac:dyDescent="0.25">
      <c r="A762" t="s">
        <v>654</v>
      </c>
      <c r="B762" t="s">
        <v>15</v>
      </c>
      <c r="C762" t="s">
        <v>221</v>
      </c>
      <c r="D762" t="s">
        <v>17</v>
      </c>
      <c r="E762" t="s">
        <v>18</v>
      </c>
      <c r="F762" t="s">
        <v>19</v>
      </c>
      <c r="G762" t="s">
        <v>20</v>
      </c>
      <c r="J762" t="s">
        <v>17</v>
      </c>
      <c r="K762" t="str">
        <f>"5025232880997"</f>
        <v>5025232880997</v>
      </c>
      <c r="L762" t="str">
        <f>"253500997"</f>
        <v>253500997</v>
      </c>
      <c r="M762" t="s">
        <v>21</v>
      </c>
      <c r="N762" s="1">
        <v>44001.64166666667</v>
      </c>
      <c r="O762" t="s">
        <v>19</v>
      </c>
    </row>
    <row r="763" spans="1:15" x14ac:dyDescent="0.25">
      <c r="A763" t="s">
        <v>655</v>
      </c>
      <c r="B763" t="s">
        <v>15</v>
      </c>
      <c r="C763" t="s">
        <v>221</v>
      </c>
      <c r="D763" t="s">
        <v>17</v>
      </c>
      <c r="E763" t="s">
        <v>18</v>
      </c>
      <c r="F763" t="s">
        <v>19</v>
      </c>
      <c r="G763" t="s">
        <v>20</v>
      </c>
      <c r="J763" t="s">
        <v>17</v>
      </c>
      <c r="K763" t="str">
        <f>"5025232882366"</f>
        <v>5025232882366</v>
      </c>
      <c r="L763" t="str">
        <f>"25350115"</f>
        <v>25350115</v>
      </c>
      <c r="M763" t="s">
        <v>21</v>
      </c>
      <c r="N763" s="1">
        <v>43546.632638888892</v>
      </c>
      <c r="O763" t="s">
        <v>19</v>
      </c>
    </row>
    <row r="764" spans="1:15" x14ac:dyDescent="0.25">
      <c r="A764" t="s">
        <v>656</v>
      </c>
      <c r="B764" t="s">
        <v>15</v>
      </c>
      <c r="C764" t="s">
        <v>221</v>
      </c>
      <c r="D764" t="s">
        <v>17</v>
      </c>
      <c r="E764" t="s">
        <v>18</v>
      </c>
      <c r="F764" t="s">
        <v>19</v>
      </c>
      <c r="G764" t="s">
        <v>20</v>
      </c>
      <c r="J764" t="s">
        <v>17</v>
      </c>
      <c r="K764" t="str">
        <f>"5025232882373"</f>
        <v>5025232882373</v>
      </c>
      <c r="L764" t="str">
        <f>"25352373"</f>
        <v>25352373</v>
      </c>
      <c r="M764" t="s">
        <v>21</v>
      </c>
      <c r="N764" s="1">
        <v>42872.839583333334</v>
      </c>
      <c r="O764" t="s">
        <v>19</v>
      </c>
    </row>
    <row r="765" spans="1:15" x14ac:dyDescent="0.25">
      <c r="A765" t="s">
        <v>657</v>
      </c>
      <c r="B765" t="s">
        <v>15</v>
      </c>
      <c r="C765" t="s">
        <v>221</v>
      </c>
      <c r="D765" t="s">
        <v>17</v>
      </c>
      <c r="E765" t="s">
        <v>18</v>
      </c>
      <c r="F765" t="s">
        <v>19</v>
      </c>
      <c r="G765" t="s">
        <v>20</v>
      </c>
      <c r="J765" t="s">
        <v>17</v>
      </c>
      <c r="K765" t="str">
        <f>"885170132054"</f>
        <v>885170132054</v>
      </c>
      <c r="L765" t="str">
        <f>"25350125"</f>
        <v>25350125</v>
      </c>
      <c r="M765" t="s">
        <v>21</v>
      </c>
      <c r="N765" s="1">
        <v>42872.847222222219</v>
      </c>
      <c r="O765" t="s">
        <v>19</v>
      </c>
    </row>
    <row r="766" spans="1:15" x14ac:dyDescent="0.25">
      <c r="A766" t="s">
        <v>658</v>
      </c>
      <c r="B766" t="s">
        <v>15</v>
      </c>
      <c r="C766" t="s">
        <v>221</v>
      </c>
      <c r="D766" t="s">
        <v>17</v>
      </c>
      <c r="E766" t="s">
        <v>18</v>
      </c>
      <c r="F766" t="s">
        <v>19</v>
      </c>
      <c r="G766" t="s">
        <v>20</v>
      </c>
      <c r="J766" t="s">
        <v>17</v>
      </c>
      <c r="K766" t="str">
        <f>"885170360761"</f>
        <v>885170360761</v>
      </c>
      <c r="L766" t="str">
        <f>"253500130"</f>
        <v>253500130</v>
      </c>
      <c r="M766" t="s">
        <v>21</v>
      </c>
      <c r="N766" s="1">
        <v>42872.839583333334</v>
      </c>
      <c r="O766" t="s">
        <v>19</v>
      </c>
    </row>
    <row r="767" spans="1:15" x14ac:dyDescent="0.25">
      <c r="A767" t="s">
        <v>659</v>
      </c>
      <c r="B767" t="s">
        <v>15</v>
      </c>
      <c r="C767" t="s">
        <v>221</v>
      </c>
      <c r="D767" t="s">
        <v>17</v>
      </c>
      <c r="E767" t="s">
        <v>18</v>
      </c>
      <c r="F767" t="s">
        <v>19</v>
      </c>
      <c r="G767" t="s">
        <v>20</v>
      </c>
      <c r="J767" t="s">
        <v>17</v>
      </c>
      <c r="K767" t="str">
        <f>"5025232828098"</f>
        <v>5025232828098</v>
      </c>
      <c r="L767" t="str">
        <f>"25350105"</f>
        <v>25350105</v>
      </c>
      <c r="M767" t="s">
        <v>21</v>
      </c>
      <c r="N767" s="1">
        <v>42872.839583333334</v>
      </c>
      <c r="O767" t="s">
        <v>19</v>
      </c>
    </row>
    <row r="768" spans="1:15" x14ac:dyDescent="0.25">
      <c r="A768" t="s">
        <v>660</v>
      </c>
      <c r="B768" t="s">
        <v>15</v>
      </c>
      <c r="C768" t="s">
        <v>221</v>
      </c>
      <c r="D768" t="s">
        <v>17</v>
      </c>
      <c r="E768" t="s">
        <v>18</v>
      </c>
      <c r="F768" t="s">
        <v>19</v>
      </c>
      <c r="G768" t="s">
        <v>20</v>
      </c>
      <c r="J768" t="s">
        <v>17</v>
      </c>
      <c r="K768" t="str">
        <f>"5025232882397"</f>
        <v>5025232882397</v>
      </c>
      <c r="L768" t="str">
        <f>"25352221"</f>
        <v>25352221</v>
      </c>
      <c r="M768" t="s">
        <v>21</v>
      </c>
      <c r="N768" s="1">
        <v>43708.770138888889</v>
      </c>
      <c r="O768" t="s">
        <v>19</v>
      </c>
    </row>
    <row r="769" spans="1:15" x14ac:dyDescent="0.25">
      <c r="A769" t="s">
        <v>661</v>
      </c>
      <c r="B769" t="s">
        <v>15</v>
      </c>
      <c r="C769" t="s">
        <v>221</v>
      </c>
      <c r="D769" t="s">
        <v>17</v>
      </c>
      <c r="E769" t="s">
        <v>18</v>
      </c>
      <c r="F769" t="s">
        <v>19</v>
      </c>
      <c r="G769" t="s">
        <v>20</v>
      </c>
      <c r="J769" t="s">
        <v>17</v>
      </c>
      <c r="K769" t="str">
        <f>"5025232880966"</f>
        <v>5025232880966</v>
      </c>
      <c r="L769" t="str">
        <f>"25350966"</f>
        <v>25350966</v>
      </c>
      <c r="M769" t="s">
        <v>21</v>
      </c>
      <c r="N769" s="1">
        <v>44001.640972222223</v>
      </c>
      <c r="O769" t="s">
        <v>19</v>
      </c>
    </row>
    <row r="770" spans="1:15" x14ac:dyDescent="0.25">
      <c r="A770" t="s">
        <v>662</v>
      </c>
      <c r="B770" t="s">
        <v>15</v>
      </c>
      <c r="C770" t="s">
        <v>221</v>
      </c>
      <c r="D770" t="s">
        <v>17</v>
      </c>
      <c r="E770" t="s">
        <v>18</v>
      </c>
      <c r="F770" t="s">
        <v>19</v>
      </c>
      <c r="G770" t="s">
        <v>20</v>
      </c>
      <c r="J770" t="s">
        <v>17</v>
      </c>
      <c r="K770" t="str">
        <f>"5025232820030"</f>
        <v>5025232820030</v>
      </c>
      <c r="L770" t="str">
        <f>"25350050"</f>
        <v>25350050</v>
      </c>
      <c r="M770" t="s">
        <v>75</v>
      </c>
      <c r="N770" s="1">
        <v>43013.599305555559</v>
      </c>
      <c r="O770" t="s">
        <v>19</v>
      </c>
    </row>
    <row r="771" spans="1:15" x14ac:dyDescent="0.25">
      <c r="A771" t="s">
        <v>663</v>
      </c>
      <c r="B771" t="s">
        <v>15</v>
      </c>
      <c r="C771" t="s">
        <v>221</v>
      </c>
      <c r="D771" t="s">
        <v>17</v>
      </c>
      <c r="E771" t="s">
        <v>18</v>
      </c>
      <c r="F771" t="s">
        <v>19</v>
      </c>
      <c r="G771" t="s">
        <v>20</v>
      </c>
      <c r="J771" t="s">
        <v>17</v>
      </c>
      <c r="K771" t="str">
        <f>"8613111467208"</f>
        <v>8613111467208</v>
      </c>
      <c r="L771" t="str">
        <f>"10100484"</f>
        <v>10100484</v>
      </c>
      <c r="M771" t="s">
        <v>21</v>
      </c>
      <c r="N771" s="1">
        <v>43666.886805555558</v>
      </c>
      <c r="O771" t="s">
        <v>19</v>
      </c>
    </row>
    <row r="772" spans="1:15" x14ac:dyDescent="0.25">
      <c r="A772" t="s">
        <v>664</v>
      </c>
      <c r="B772" t="s">
        <v>15</v>
      </c>
      <c r="C772" t="s">
        <v>221</v>
      </c>
      <c r="D772" t="s">
        <v>17</v>
      </c>
      <c r="E772" t="s">
        <v>18</v>
      </c>
      <c r="F772" t="s">
        <v>19</v>
      </c>
      <c r="G772" t="s">
        <v>20</v>
      </c>
      <c r="J772" t="s">
        <v>17</v>
      </c>
      <c r="K772" t="str">
        <f>"6925970711876"</f>
        <v>6925970711876</v>
      </c>
      <c r="L772" t="str">
        <f>"98351205"</f>
        <v>98351205</v>
      </c>
      <c r="M772" t="s">
        <v>84</v>
      </c>
      <c r="N772" s="1">
        <v>43280.614583333336</v>
      </c>
      <c r="O772" t="s">
        <v>19</v>
      </c>
    </row>
    <row r="773" spans="1:15" x14ac:dyDescent="0.25">
      <c r="A773" t="s">
        <v>665</v>
      </c>
      <c r="B773" t="s">
        <v>15</v>
      </c>
      <c r="C773" t="s">
        <v>221</v>
      </c>
      <c r="D773" t="s">
        <v>17</v>
      </c>
      <c r="E773" t="s">
        <v>18</v>
      </c>
      <c r="F773" t="s">
        <v>19</v>
      </c>
      <c r="G773" t="s">
        <v>20</v>
      </c>
      <c r="J773" t="s">
        <v>17</v>
      </c>
      <c r="K773" t="str">
        <f>"6925970700191"</f>
        <v>6925970700191</v>
      </c>
      <c r="L773" t="str">
        <f>"98352305"</f>
        <v>98352305</v>
      </c>
      <c r="M773" t="s">
        <v>84</v>
      </c>
      <c r="N773" s="1">
        <v>43280.615972222222</v>
      </c>
      <c r="O773" t="s">
        <v>19</v>
      </c>
    </row>
    <row r="774" spans="1:15" x14ac:dyDescent="0.25">
      <c r="A774" t="s">
        <v>666</v>
      </c>
      <c r="B774" t="s">
        <v>15</v>
      </c>
      <c r="C774" t="s">
        <v>221</v>
      </c>
      <c r="D774" t="s">
        <v>17</v>
      </c>
      <c r="E774" t="s">
        <v>18</v>
      </c>
      <c r="F774" t="s">
        <v>19</v>
      </c>
      <c r="G774" t="s">
        <v>20</v>
      </c>
      <c r="J774" t="s">
        <v>17</v>
      </c>
      <c r="K774" t="str">
        <f>"6951613981603"</f>
        <v>6951613981603</v>
      </c>
      <c r="L774" t="str">
        <f>"98351405"</f>
        <v>98351405</v>
      </c>
      <c r="M774" t="s">
        <v>21</v>
      </c>
      <c r="N774" s="1">
        <v>42872.839583333334</v>
      </c>
      <c r="O774" t="s">
        <v>19</v>
      </c>
    </row>
    <row r="775" spans="1:15" x14ac:dyDescent="0.25">
      <c r="A775" t="s">
        <v>667</v>
      </c>
      <c r="B775" t="s">
        <v>15</v>
      </c>
      <c r="C775" t="s">
        <v>221</v>
      </c>
      <c r="D775" t="s">
        <v>17</v>
      </c>
      <c r="E775" t="s">
        <v>18</v>
      </c>
      <c r="F775" t="s">
        <v>19</v>
      </c>
      <c r="G775" t="s">
        <v>20</v>
      </c>
      <c r="J775" t="s">
        <v>17</v>
      </c>
      <c r="K775" t="str">
        <f>"889446006865"</f>
        <v>889446006865</v>
      </c>
      <c r="L775" t="str">
        <f>"25036964"</f>
        <v>25036964</v>
      </c>
      <c r="M775" t="s">
        <v>21</v>
      </c>
      <c r="N775" s="1">
        <v>43063.71875</v>
      </c>
      <c r="O775" t="s">
        <v>19</v>
      </c>
    </row>
    <row r="776" spans="1:15" x14ac:dyDescent="0.25">
      <c r="A776" t="s">
        <v>667</v>
      </c>
      <c r="B776" t="s">
        <v>15</v>
      </c>
      <c r="C776" t="s">
        <v>221</v>
      </c>
      <c r="D776" t="s">
        <v>17</v>
      </c>
      <c r="E776" t="s">
        <v>18</v>
      </c>
      <c r="F776" t="s">
        <v>19</v>
      </c>
      <c r="G776" t="s">
        <v>20</v>
      </c>
      <c r="J776" t="s">
        <v>17</v>
      </c>
      <c r="K776" t="str">
        <f>"27PHL1405M"</f>
        <v>27PHL1405M</v>
      </c>
      <c r="L776" t="str">
        <f>"27PHL1405M"</f>
        <v>27PHL1405M</v>
      </c>
      <c r="M776" t="s">
        <v>21</v>
      </c>
      <c r="N776" s="1">
        <v>43805.90902777778</v>
      </c>
      <c r="O776" t="s">
        <v>19</v>
      </c>
    </row>
    <row r="777" spans="1:15" x14ac:dyDescent="0.25">
      <c r="A777" t="s">
        <v>667</v>
      </c>
      <c r="B777" t="s">
        <v>15</v>
      </c>
      <c r="C777" t="s">
        <v>221</v>
      </c>
      <c r="D777" t="s">
        <v>17</v>
      </c>
      <c r="E777" t="s">
        <v>18</v>
      </c>
      <c r="F777" t="s">
        <v>19</v>
      </c>
      <c r="G777" t="s">
        <v>20</v>
      </c>
      <c r="J777" t="s">
        <v>17</v>
      </c>
      <c r="K777" t="str">
        <f>"889446006650"</f>
        <v>889446006650</v>
      </c>
      <c r="L777" t="str">
        <f>"27PHL1405A"</f>
        <v>27PHL1405A</v>
      </c>
      <c r="M777" t="s">
        <v>21</v>
      </c>
      <c r="N777" s="1">
        <v>43805.911111111112</v>
      </c>
      <c r="O777" t="s">
        <v>19</v>
      </c>
    </row>
    <row r="778" spans="1:15" x14ac:dyDescent="0.25">
      <c r="A778" t="s">
        <v>668</v>
      </c>
      <c r="B778" t="s">
        <v>15</v>
      </c>
      <c r="C778" t="s">
        <v>221</v>
      </c>
      <c r="D778" t="s">
        <v>17</v>
      </c>
      <c r="E778" t="s">
        <v>18</v>
      </c>
      <c r="F778" t="s">
        <v>19</v>
      </c>
      <c r="G778" t="s">
        <v>20</v>
      </c>
      <c r="J778" t="s">
        <v>17</v>
      </c>
      <c r="K778" t="str">
        <f>"889446006896"</f>
        <v>889446006896</v>
      </c>
      <c r="L778" t="str">
        <f>"98031405"</f>
        <v>98031405</v>
      </c>
      <c r="M778" t="s">
        <v>21</v>
      </c>
      <c r="N778" s="1">
        <v>43201.695833333331</v>
      </c>
      <c r="O778" t="s">
        <v>19</v>
      </c>
    </row>
    <row r="779" spans="1:15" x14ac:dyDescent="0.25">
      <c r="A779" t="s">
        <v>669</v>
      </c>
      <c r="B779" t="s">
        <v>15</v>
      </c>
      <c r="C779" t="s">
        <v>221</v>
      </c>
      <c r="D779" t="s">
        <v>17</v>
      </c>
      <c r="E779" t="s">
        <v>18</v>
      </c>
      <c r="F779" t="s">
        <v>19</v>
      </c>
      <c r="G779" t="s">
        <v>20</v>
      </c>
      <c r="J779" t="s">
        <v>17</v>
      </c>
      <c r="K779" t="str">
        <f>"98036872"</f>
        <v>98036872</v>
      </c>
      <c r="L779" t="str">
        <f>"98036872"</f>
        <v>98036872</v>
      </c>
      <c r="M779" t="s">
        <v>21</v>
      </c>
      <c r="N779" s="1">
        <v>43063.720138888886</v>
      </c>
      <c r="O779" t="s">
        <v>19</v>
      </c>
    </row>
    <row r="780" spans="1:15" x14ac:dyDescent="0.25">
      <c r="A780" t="s">
        <v>669</v>
      </c>
      <c r="B780" t="s">
        <v>15</v>
      </c>
      <c r="C780" t="s">
        <v>221</v>
      </c>
      <c r="D780" t="s">
        <v>17</v>
      </c>
      <c r="E780" t="s">
        <v>18</v>
      </c>
      <c r="F780" t="s">
        <v>19</v>
      </c>
      <c r="G780" t="s">
        <v>20</v>
      </c>
      <c r="J780" t="s">
        <v>17</v>
      </c>
      <c r="K780" t="str">
        <f>"889446006872"</f>
        <v>889446006872</v>
      </c>
      <c r="L780" t="str">
        <f>"27PHL1405J"</f>
        <v>27PHL1405J</v>
      </c>
      <c r="M780" t="s">
        <v>21</v>
      </c>
      <c r="N780" s="1">
        <v>43805.909722222219</v>
      </c>
      <c r="O780" t="s">
        <v>19</v>
      </c>
    </row>
    <row r="781" spans="1:15" x14ac:dyDescent="0.25">
      <c r="A781" t="s">
        <v>670</v>
      </c>
      <c r="B781" t="s">
        <v>15</v>
      </c>
      <c r="C781" t="s">
        <v>225</v>
      </c>
      <c r="D781" t="s">
        <v>17</v>
      </c>
      <c r="E781" t="s">
        <v>18</v>
      </c>
      <c r="F781" t="s">
        <v>19</v>
      </c>
      <c r="G781" t="s">
        <v>20</v>
      </c>
      <c r="H781" t="s">
        <v>8</v>
      </c>
      <c r="I781" t="s">
        <v>8</v>
      </c>
      <c r="J781" t="s">
        <v>17</v>
      </c>
      <c r="K781" t="str">
        <f>"8712581584276"</f>
        <v>8712581584276</v>
      </c>
      <c r="L781" t="str">
        <f>"98352500"</f>
        <v>98352500</v>
      </c>
      <c r="M781" t="s">
        <v>21</v>
      </c>
      <c r="N781" s="1">
        <v>42872.847222222219</v>
      </c>
      <c r="O781" t="s">
        <v>19</v>
      </c>
    </row>
    <row r="782" spans="1:15" x14ac:dyDescent="0.25">
      <c r="A782" t="s">
        <v>671</v>
      </c>
      <c r="B782" t="s">
        <v>15</v>
      </c>
      <c r="C782" t="s">
        <v>221</v>
      </c>
      <c r="D782" t="s">
        <v>17</v>
      </c>
      <c r="E782" t="s">
        <v>18</v>
      </c>
      <c r="F782" t="s">
        <v>19</v>
      </c>
      <c r="G782" t="s">
        <v>20</v>
      </c>
      <c r="J782" t="s">
        <v>17</v>
      </c>
      <c r="K782" t="str">
        <f>"6951613981597"</f>
        <v>6951613981597</v>
      </c>
      <c r="L782" t="str">
        <f>"98351597"</f>
        <v>98351597</v>
      </c>
      <c r="M782" t="s">
        <v>21</v>
      </c>
      <c r="N782" s="1">
        <v>43748.576388888891</v>
      </c>
      <c r="O782" t="s">
        <v>19</v>
      </c>
    </row>
    <row r="783" spans="1:15" x14ac:dyDescent="0.25">
      <c r="A783" t="s">
        <v>672</v>
      </c>
      <c r="B783" t="s">
        <v>15</v>
      </c>
      <c r="C783" t="s">
        <v>221</v>
      </c>
      <c r="D783" t="s">
        <v>17</v>
      </c>
      <c r="E783" t="s">
        <v>18</v>
      </c>
      <c r="F783" t="s">
        <v>19</v>
      </c>
      <c r="G783" t="s">
        <v>20</v>
      </c>
      <c r="J783" t="s">
        <v>17</v>
      </c>
      <c r="K783" t="str">
        <f>"6923410724516"</f>
        <v>6923410724516</v>
      </c>
      <c r="L783" t="str">
        <f>"98354516"</f>
        <v>98354516</v>
      </c>
      <c r="M783" t="s">
        <v>21</v>
      </c>
      <c r="N783" s="1">
        <v>42872.839583333334</v>
      </c>
      <c r="O783" t="s">
        <v>19</v>
      </c>
    </row>
    <row r="784" spans="1:15" x14ac:dyDescent="0.25">
      <c r="A784" t="s">
        <v>673</v>
      </c>
      <c r="B784" t="s">
        <v>15</v>
      </c>
      <c r="C784" t="s">
        <v>221</v>
      </c>
      <c r="D784" t="s">
        <v>17</v>
      </c>
      <c r="E784" t="s">
        <v>18</v>
      </c>
      <c r="F784" t="s">
        <v>19</v>
      </c>
      <c r="G784" t="s">
        <v>20</v>
      </c>
      <c r="J784" t="s">
        <v>17</v>
      </c>
      <c r="K784" t="str">
        <f>"6951613981580"</f>
        <v>6951613981580</v>
      </c>
      <c r="L784" t="str">
        <f>"98351580"</f>
        <v>98351580</v>
      </c>
      <c r="M784" t="s">
        <v>21</v>
      </c>
      <c r="N784" s="1">
        <v>43748.57708333333</v>
      </c>
      <c r="O784" t="s">
        <v>19</v>
      </c>
    </row>
    <row r="785" spans="1:15" x14ac:dyDescent="0.25">
      <c r="A785" t="s">
        <v>674</v>
      </c>
      <c r="B785" t="s">
        <v>15</v>
      </c>
      <c r="C785" t="s">
        <v>221</v>
      </c>
      <c r="D785" t="s">
        <v>17</v>
      </c>
      <c r="E785" t="s">
        <v>18</v>
      </c>
      <c r="F785" t="s">
        <v>19</v>
      </c>
      <c r="G785" t="s">
        <v>20</v>
      </c>
      <c r="J785" t="s">
        <v>17</v>
      </c>
      <c r="K785" t="str">
        <f>"889446007695"</f>
        <v>889446007695</v>
      </c>
      <c r="L785" t="str">
        <f>"98353550"</f>
        <v>98353550</v>
      </c>
      <c r="M785" t="s">
        <v>21</v>
      </c>
      <c r="N785" s="1">
        <v>43706.644444444442</v>
      </c>
      <c r="O785" t="s">
        <v>19</v>
      </c>
    </row>
    <row r="786" spans="1:15" x14ac:dyDescent="0.25">
      <c r="A786" t="s">
        <v>675</v>
      </c>
      <c r="B786" t="s">
        <v>15</v>
      </c>
      <c r="C786" t="s">
        <v>221</v>
      </c>
      <c r="D786" t="s">
        <v>17</v>
      </c>
      <c r="E786" t="s">
        <v>18</v>
      </c>
      <c r="F786" t="s">
        <v>19</v>
      </c>
      <c r="G786" t="s">
        <v>20</v>
      </c>
      <c r="J786" t="s">
        <v>17</v>
      </c>
      <c r="K786" t="str">
        <f>"6923410724523"</f>
        <v>6923410724523</v>
      </c>
      <c r="L786" t="str">
        <f>"98354523"</f>
        <v>98354523</v>
      </c>
      <c r="M786" t="s">
        <v>21</v>
      </c>
      <c r="N786" s="1">
        <v>43748.578472222223</v>
      </c>
      <c r="O786" t="s">
        <v>19</v>
      </c>
    </row>
    <row r="787" spans="1:15" x14ac:dyDescent="0.25">
      <c r="A787" t="s">
        <v>676</v>
      </c>
      <c r="B787" t="s">
        <v>15</v>
      </c>
      <c r="C787" t="s">
        <v>221</v>
      </c>
      <c r="D787" t="s">
        <v>17</v>
      </c>
      <c r="E787" t="s">
        <v>18</v>
      </c>
      <c r="F787" t="s">
        <v>19</v>
      </c>
      <c r="G787" t="s">
        <v>20</v>
      </c>
      <c r="J787" t="s">
        <v>17</v>
      </c>
      <c r="K787" t="str">
        <f>"889446007022"</f>
        <v>889446007022</v>
      </c>
      <c r="L787" t="str">
        <f>"98354205"</f>
        <v>98354205</v>
      </c>
      <c r="M787" t="s">
        <v>84</v>
      </c>
      <c r="N787" s="1">
        <v>43404.647916666669</v>
      </c>
      <c r="O787" t="s">
        <v>19</v>
      </c>
    </row>
    <row r="788" spans="1:15" x14ac:dyDescent="0.25">
      <c r="A788" t="s">
        <v>677</v>
      </c>
      <c r="B788" t="s">
        <v>15</v>
      </c>
      <c r="C788" t="s">
        <v>221</v>
      </c>
      <c r="D788" t="s">
        <v>17</v>
      </c>
      <c r="E788" t="s">
        <v>18</v>
      </c>
      <c r="F788" t="s">
        <v>19</v>
      </c>
      <c r="G788" t="s">
        <v>20</v>
      </c>
      <c r="H788" t="s">
        <v>8</v>
      </c>
      <c r="I788" t="s">
        <v>8</v>
      </c>
      <c r="J788" t="s">
        <v>17</v>
      </c>
      <c r="K788" t="str">
        <f>"489518561034"</f>
        <v>489518561034</v>
      </c>
      <c r="L788" t="str">
        <f>"25357055"</f>
        <v>25357055</v>
      </c>
      <c r="M788" t="s">
        <v>21</v>
      </c>
      <c r="N788" s="1">
        <v>42872.839583333334</v>
      </c>
      <c r="O788" t="s">
        <v>19</v>
      </c>
    </row>
    <row r="789" spans="1:15" x14ac:dyDescent="0.25">
      <c r="A789" t="s">
        <v>678</v>
      </c>
      <c r="B789" t="s">
        <v>15</v>
      </c>
      <c r="C789" t="s">
        <v>221</v>
      </c>
      <c r="D789" t="s">
        <v>17</v>
      </c>
      <c r="E789" t="s">
        <v>18</v>
      </c>
      <c r="F789" t="s">
        <v>19</v>
      </c>
      <c r="G789" t="s">
        <v>20</v>
      </c>
      <c r="J789" t="s">
        <v>17</v>
      </c>
      <c r="K789" t="str">
        <f>"609585247956"</f>
        <v>609585247956</v>
      </c>
      <c r="L789" t="str">
        <f>"98359105"</f>
        <v>98359105</v>
      </c>
      <c r="M789" t="s">
        <v>21</v>
      </c>
      <c r="N789" s="1">
        <v>43350.816666666666</v>
      </c>
      <c r="O789" t="s">
        <v>19</v>
      </c>
    </row>
    <row r="790" spans="1:15" x14ac:dyDescent="0.25">
      <c r="A790" t="s">
        <v>679</v>
      </c>
      <c r="B790" t="s">
        <v>15</v>
      </c>
      <c r="C790" t="s">
        <v>221</v>
      </c>
      <c r="D790" t="s">
        <v>17</v>
      </c>
      <c r="E790" t="s">
        <v>18</v>
      </c>
      <c r="F790" t="s">
        <v>19</v>
      </c>
      <c r="G790" t="s">
        <v>20</v>
      </c>
      <c r="J790" t="s">
        <v>17</v>
      </c>
      <c r="K790" t="str">
        <f>"889446006032"</f>
        <v>889446006032</v>
      </c>
      <c r="L790" t="str">
        <f>"98353555"</f>
        <v>98353555</v>
      </c>
      <c r="M790" t="s">
        <v>21</v>
      </c>
      <c r="N790" s="1">
        <v>43706.644444444442</v>
      </c>
      <c r="O790" t="s">
        <v>19</v>
      </c>
    </row>
    <row r="791" spans="1:15" x14ac:dyDescent="0.25">
      <c r="A791" t="s">
        <v>680</v>
      </c>
      <c r="B791" t="s">
        <v>15</v>
      </c>
      <c r="C791" t="s">
        <v>221</v>
      </c>
      <c r="D791" t="s">
        <v>17</v>
      </c>
      <c r="E791" t="s">
        <v>18</v>
      </c>
      <c r="F791" t="s">
        <v>19</v>
      </c>
      <c r="G791" t="s">
        <v>20</v>
      </c>
      <c r="J791" t="s">
        <v>17</v>
      </c>
      <c r="K791" t="str">
        <f>"889446006421"</f>
        <v>889446006421</v>
      </c>
      <c r="L791" t="str">
        <f>"98351305"</f>
        <v>98351305</v>
      </c>
      <c r="M791" t="s">
        <v>21</v>
      </c>
      <c r="N791" s="1">
        <v>43706.664583333331</v>
      </c>
      <c r="O791" t="s">
        <v>19</v>
      </c>
    </row>
    <row r="792" spans="1:15" x14ac:dyDescent="0.25">
      <c r="A792" t="s">
        <v>681</v>
      </c>
      <c r="B792" t="s">
        <v>15</v>
      </c>
      <c r="C792" t="s">
        <v>221</v>
      </c>
      <c r="D792" t="s">
        <v>17</v>
      </c>
      <c r="E792" t="s">
        <v>18</v>
      </c>
      <c r="F792" t="s">
        <v>19</v>
      </c>
      <c r="G792" t="s">
        <v>20</v>
      </c>
      <c r="J792" t="s">
        <v>17</v>
      </c>
      <c r="K792" t="str">
        <f>"4895229100589"</f>
        <v>4895229100589</v>
      </c>
      <c r="L792" t="str">
        <f>"98350101"</f>
        <v>98350101</v>
      </c>
      <c r="M792" t="s">
        <v>21</v>
      </c>
      <c r="N792" s="1">
        <v>42872.849305555559</v>
      </c>
      <c r="O792" t="s">
        <v>19</v>
      </c>
    </row>
    <row r="793" spans="1:15" x14ac:dyDescent="0.25">
      <c r="A793" t="s">
        <v>682</v>
      </c>
      <c r="B793" t="s">
        <v>15</v>
      </c>
      <c r="C793" t="s">
        <v>221</v>
      </c>
      <c r="D793" t="s">
        <v>17</v>
      </c>
      <c r="E793" t="s">
        <v>18</v>
      </c>
      <c r="F793" t="s">
        <v>19</v>
      </c>
      <c r="G793" t="s">
        <v>20</v>
      </c>
      <c r="J793" t="s">
        <v>17</v>
      </c>
      <c r="K793" t="str">
        <f>"4895229100572"</f>
        <v>4895229100572</v>
      </c>
      <c r="L793" t="str">
        <f>"98350572"</f>
        <v>98350572</v>
      </c>
      <c r="M793" t="s">
        <v>21</v>
      </c>
      <c r="N793" s="1">
        <v>44370.834722222222</v>
      </c>
      <c r="O793" t="s">
        <v>19</v>
      </c>
    </row>
    <row r="794" spans="1:15" x14ac:dyDescent="0.25">
      <c r="A794" t="s">
        <v>683</v>
      </c>
      <c r="B794" t="s">
        <v>15</v>
      </c>
      <c r="C794" t="s">
        <v>221</v>
      </c>
      <c r="D794" t="s">
        <v>17</v>
      </c>
      <c r="E794" t="s">
        <v>18</v>
      </c>
      <c r="F794" t="s">
        <v>19</v>
      </c>
      <c r="G794" t="s">
        <v>20</v>
      </c>
      <c r="J794" t="s">
        <v>17</v>
      </c>
      <c r="K794" t="str">
        <f>"4573243090382"</f>
        <v>4573243090382</v>
      </c>
      <c r="L794" t="str">
        <f>"27PNR502BK"</f>
        <v>27PNR502BK</v>
      </c>
      <c r="M794" t="s">
        <v>21</v>
      </c>
      <c r="N794" s="1">
        <v>44265.863194444442</v>
      </c>
      <c r="O794" t="s">
        <v>19</v>
      </c>
    </row>
    <row r="795" spans="1:15" x14ac:dyDescent="0.25">
      <c r="A795" t="s">
        <v>684</v>
      </c>
      <c r="B795" t="s">
        <v>15</v>
      </c>
      <c r="C795" t="s">
        <v>221</v>
      </c>
      <c r="D795" t="s">
        <v>17</v>
      </c>
      <c r="E795" t="s">
        <v>18</v>
      </c>
      <c r="F795" t="s">
        <v>19</v>
      </c>
      <c r="G795" t="s">
        <v>20</v>
      </c>
      <c r="J795" t="s">
        <v>17</v>
      </c>
      <c r="K795" t="str">
        <f>"4573243090412"</f>
        <v>4573243090412</v>
      </c>
      <c r="L795" t="str">
        <f>"27PNR502BL"</f>
        <v>27PNR502BL</v>
      </c>
      <c r="M795" t="s">
        <v>21</v>
      </c>
      <c r="N795" s="1">
        <v>44265.863888888889</v>
      </c>
      <c r="O795" t="s">
        <v>19</v>
      </c>
    </row>
    <row r="796" spans="1:15" x14ac:dyDescent="0.25">
      <c r="A796" t="s">
        <v>685</v>
      </c>
      <c r="B796" t="s">
        <v>15</v>
      </c>
      <c r="C796" t="s">
        <v>221</v>
      </c>
      <c r="D796" t="s">
        <v>17</v>
      </c>
      <c r="E796" t="s">
        <v>18</v>
      </c>
      <c r="F796" t="s">
        <v>19</v>
      </c>
      <c r="G796" t="s">
        <v>20</v>
      </c>
      <c r="J796" t="s">
        <v>17</v>
      </c>
      <c r="K796" t="str">
        <f>"4573211154443"</f>
        <v>4573211154443</v>
      </c>
      <c r="L796" t="str">
        <f>"27PNR01TBL"</f>
        <v>27PNR01TBL</v>
      </c>
      <c r="M796" t="s">
        <v>21</v>
      </c>
      <c r="N796" s="1">
        <v>43805.902777777781</v>
      </c>
      <c r="O796" t="s">
        <v>19</v>
      </c>
    </row>
    <row r="797" spans="1:15" x14ac:dyDescent="0.25">
      <c r="A797" t="s">
        <v>686</v>
      </c>
      <c r="B797" t="s">
        <v>15</v>
      </c>
      <c r="C797" t="s">
        <v>221</v>
      </c>
      <c r="D797" t="s">
        <v>17</v>
      </c>
      <c r="E797" t="s">
        <v>18</v>
      </c>
      <c r="F797" t="s">
        <v>19</v>
      </c>
      <c r="G797" t="s">
        <v>20</v>
      </c>
      <c r="J797" t="s">
        <v>17</v>
      </c>
      <c r="K797" t="str">
        <f>"4573211154450"</f>
        <v>4573211154450</v>
      </c>
      <c r="L797" t="str">
        <f>"27PNR01TWH"</f>
        <v>27PNR01TWH</v>
      </c>
      <c r="M797" t="s">
        <v>21</v>
      </c>
      <c r="N797" s="1">
        <v>43805.90347222222</v>
      </c>
      <c r="O797" t="s">
        <v>19</v>
      </c>
    </row>
    <row r="798" spans="1:15" x14ac:dyDescent="0.25">
      <c r="A798" t="s">
        <v>687</v>
      </c>
      <c r="B798" t="s">
        <v>15</v>
      </c>
      <c r="C798" t="s">
        <v>221</v>
      </c>
      <c r="D798" t="s">
        <v>17</v>
      </c>
      <c r="E798" t="s">
        <v>18</v>
      </c>
      <c r="F798" t="s">
        <v>19</v>
      </c>
      <c r="G798" t="s">
        <v>20</v>
      </c>
      <c r="J798" t="s">
        <v>17</v>
      </c>
      <c r="K798" t="str">
        <f>"4573211154429"</f>
        <v>4573211154429</v>
      </c>
      <c r="L798" t="str">
        <f>"27PNR01TBK"</f>
        <v>27PNR01TBK</v>
      </c>
      <c r="M798" t="s">
        <v>21</v>
      </c>
      <c r="N798" s="1">
        <v>43805.90347222222</v>
      </c>
      <c r="O798" t="s">
        <v>19</v>
      </c>
    </row>
    <row r="799" spans="1:15" x14ac:dyDescent="0.25">
      <c r="A799" t="s">
        <v>688</v>
      </c>
      <c r="B799" t="s">
        <v>15</v>
      </c>
      <c r="C799" t="s">
        <v>221</v>
      </c>
      <c r="D799" t="s">
        <v>17</v>
      </c>
      <c r="E799" t="s">
        <v>18</v>
      </c>
      <c r="F799" t="s">
        <v>19</v>
      </c>
      <c r="G799" t="s">
        <v>20</v>
      </c>
      <c r="J799" t="s">
        <v>17</v>
      </c>
      <c r="K799" t="str">
        <f>"34351400"</f>
        <v>34351400</v>
      </c>
      <c r="L799" t="str">
        <f>"34351400"</f>
        <v>34351400</v>
      </c>
      <c r="M799" t="s">
        <v>75</v>
      </c>
      <c r="N799" s="1">
        <v>42872.839583333334</v>
      </c>
      <c r="O799" t="s">
        <v>19</v>
      </c>
    </row>
    <row r="800" spans="1:15" x14ac:dyDescent="0.25">
      <c r="A800" t="s">
        <v>689</v>
      </c>
      <c r="B800" t="s">
        <v>15</v>
      </c>
      <c r="C800" t="s">
        <v>221</v>
      </c>
      <c r="D800" t="s">
        <v>17</v>
      </c>
      <c r="E800" t="s">
        <v>18</v>
      </c>
      <c r="F800" t="s">
        <v>19</v>
      </c>
      <c r="G800" t="s">
        <v>20</v>
      </c>
      <c r="J800" t="s">
        <v>18</v>
      </c>
      <c r="K800" t="str">
        <f>"8806088304472"</f>
        <v>8806088304472</v>
      </c>
      <c r="L800" t="str">
        <f>"40351400"</f>
        <v>40351400</v>
      </c>
      <c r="M800" t="s">
        <v>21</v>
      </c>
      <c r="N800" s="1">
        <v>44351.813888888886</v>
      </c>
      <c r="O800" t="s">
        <v>19</v>
      </c>
    </row>
    <row r="801" spans="1:15" x14ac:dyDescent="0.25">
      <c r="A801" t="s">
        <v>690</v>
      </c>
      <c r="B801" t="s">
        <v>15</v>
      </c>
      <c r="C801" t="s">
        <v>221</v>
      </c>
      <c r="D801" t="s">
        <v>17</v>
      </c>
      <c r="E801" t="s">
        <v>18</v>
      </c>
      <c r="F801" t="s">
        <v>19</v>
      </c>
      <c r="G801" t="s">
        <v>20</v>
      </c>
      <c r="J801" t="s">
        <v>17</v>
      </c>
      <c r="K801" t="str">
        <f>"7858816041846"</f>
        <v>7858816041846</v>
      </c>
      <c r="L801" t="str">
        <f>"87354184"</f>
        <v>87354184</v>
      </c>
      <c r="M801" t="s">
        <v>84</v>
      </c>
      <c r="N801" s="1">
        <v>43252.731944444444</v>
      </c>
      <c r="O801" t="s">
        <v>19</v>
      </c>
    </row>
    <row r="802" spans="1:15" x14ac:dyDescent="0.25">
      <c r="A802" t="s">
        <v>691</v>
      </c>
      <c r="B802" t="s">
        <v>15</v>
      </c>
      <c r="C802" t="s">
        <v>221</v>
      </c>
      <c r="D802" t="s">
        <v>17</v>
      </c>
      <c r="E802" t="s">
        <v>18</v>
      </c>
      <c r="F802" t="s">
        <v>19</v>
      </c>
      <c r="G802" t="s">
        <v>20</v>
      </c>
      <c r="H802" t="s">
        <v>8</v>
      </c>
      <c r="J802" t="s">
        <v>17</v>
      </c>
      <c r="K802" t="str">
        <f>"8808987920012"</f>
        <v>8808987920012</v>
      </c>
      <c r="L802" t="str">
        <f>"79ORGEH61B"</f>
        <v>79ORGEH61B</v>
      </c>
      <c r="M802" t="s">
        <v>21</v>
      </c>
      <c r="N802" s="1">
        <v>43805.818749999999</v>
      </c>
      <c r="O802" t="s">
        <v>19</v>
      </c>
    </row>
    <row r="803" spans="1:15" x14ac:dyDescent="0.25">
      <c r="A803" t="s">
        <v>692</v>
      </c>
      <c r="B803" t="s">
        <v>15</v>
      </c>
      <c r="C803" t="s">
        <v>221</v>
      </c>
      <c r="D803" t="s">
        <v>17</v>
      </c>
      <c r="E803" t="s">
        <v>18</v>
      </c>
      <c r="F803" t="s">
        <v>19</v>
      </c>
      <c r="G803" t="s">
        <v>20</v>
      </c>
      <c r="J803" t="s">
        <v>17</v>
      </c>
      <c r="K803" t="str">
        <f>"8806085691308"</f>
        <v>8806085691308</v>
      </c>
      <c r="L803" t="str">
        <f>"79ORGH130N"</f>
        <v>79ORGH130N</v>
      </c>
      <c r="M803" t="s">
        <v>21</v>
      </c>
      <c r="N803" s="1">
        <v>43570.615277777775</v>
      </c>
      <c r="O803" t="s">
        <v>19</v>
      </c>
    </row>
    <row r="804" spans="1:15" x14ac:dyDescent="0.25">
      <c r="A804" t="s">
        <v>693</v>
      </c>
      <c r="B804" t="s">
        <v>15</v>
      </c>
      <c r="C804" t="s">
        <v>221</v>
      </c>
      <c r="D804" t="s">
        <v>17</v>
      </c>
      <c r="E804" t="s">
        <v>18</v>
      </c>
      <c r="F804" t="s">
        <v>19</v>
      </c>
      <c r="G804" t="s">
        <v>20</v>
      </c>
      <c r="J804" t="s">
        <v>17</v>
      </c>
      <c r="K804" t="str">
        <f>"8806085692701"</f>
        <v>8806085692701</v>
      </c>
      <c r="L804" t="str">
        <f>"63352701"</f>
        <v>63352701</v>
      </c>
      <c r="M804" t="s">
        <v>21</v>
      </c>
      <c r="N804" s="1">
        <v>43879.78125</v>
      </c>
      <c r="O804" t="s">
        <v>19</v>
      </c>
    </row>
    <row r="805" spans="1:15" x14ac:dyDescent="0.25">
      <c r="A805" t="s">
        <v>694</v>
      </c>
      <c r="B805" t="s">
        <v>15</v>
      </c>
      <c r="C805" t="s">
        <v>221</v>
      </c>
      <c r="D805" t="s">
        <v>17</v>
      </c>
      <c r="E805" t="s">
        <v>18</v>
      </c>
      <c r="F805" t="s">
        <v>19</v>
      </c>
      <c r="G805" t="s">
        <v>20</v>
      </c>
      <c r="J805" t="s">
        <v>17</v>
      </c>
      <c r="K805" t="str">
        <f>"32351400"</f>
        <v>32351400</v>
      </c>
      <c r="L805" t="str">
        <f>"32351400"</f>
        <v>32351400</v>
      </c>
      <c r="M805" t="s">
        <v>84</v>
      </c>
      <c r="N805" s="1">
        <v>43420.704861111109</v>
      </c>
      <c r="O805" t="s">
        <v>19</v>
      </c>
    </row>
    <row r="806" spans="1:15" x14ac:dyDescent="0.25">
      <c r="A806" t="s">
        <v>695</v>
      </c>
      <c r="B806" t="s">
        <v>15</v>
      </c>
      <c r="C806" t="s">
        <v>221</v>
      </c>
      <c r="D806" t="s">
        <v>17</v>
      </c>
      <c r="E806" t="s">
        <v>18</v>
      </c>
      <c r="F806" t="s">
        <v>19</v>
      </c>
      <c r="G806" t="s">
        <v>20</v>
      </c>
      <c r="J806" t="s">
        <v>17</v>
      </c>
      <c r="K806" t="str">
        <f>"8806088843476"</f>
        <v>8806088843476</v>
      </c>
      <c r="L806" t="str">
        <f>"86353476"</f>
        <v>86353476</v>
      </c>
      <c r="M806" t="s">
        <v>84</v>
      </c>
      <c r="N806" s="1">
        <v>43314.857638888891</v>
      </c>
      <c r="O806" t="s">
        <v>19</v>
      </c>
    </row>
    <row r="807" spans="1:15" x14ac:dyDescent="0.25">
      <c r="A807" t="s">
        <v>696</v>
      </c>
      <c r="B807" t="s">
        <v>15</v>
      </c>
      <c r="C807" t="s">
        <v>221</v>
      </c>
      <c r="D807" t="s">
        <v>17</v>
      </c>
      <c r="E807" t="s">
        <v>18</v>
      </c>
      <c r="F807" t="s">
        <v>19</v>
      </c>
      <c r="G807" t="s">
        <v>20</v>
      </c>
      <c r="J807" t="s">
        <v>17</v>
      </c>
      <c r="K807" t="str">
        <f>"027242867284"</f>
        <v>027242867284</v>
      </c>
      <c r="L807" t="str">
        <f>"37SONAP15N"</f>
        <v>37SONAP15N</v>
      </c>
      <c r="M807" t="s">
        <v>21</v>
      </c>
      <c r="N807" s="1">
        <v>43805.901388888888</v>
      </c>
      <c r="O807" t="s">
        <v>19</v>
      </c>
    </row>
    <row r="808" spans="1:15" x14ac:dyDescent="0.25">
      <c r="A808" t="s">
        <v>696</v>
      </c>
      <c r="B808" t="s">
        <v>15</v>
      </c>
      <c r="C808" t="s">
        <v>221</v>
      </c>
      <c r="D808" t="s">
        <v>17</v>
      </c>
      <c r="E808" t="s">
        <v>18</v>
      </c>
      <c r="F808" t="s">
        <v>19</v>
      </c>
      <c r="G808" t="s">
        <v>20</v>
      </c>
      <c r="J808" t="s">
        <v>17</v>
      </c>
      <c r="K808" t="str">
        <f>"63350015"</f>
        <v>63350015</v>
      </c>
      <c r="L808" t="str">
        <f>"63350015"</f>
        <v>63350015</v>
      </c>
      <c r="M808" t="s">
        <v>21</v>
      </c>
      <c r="N808" s="1">
        <v>43879.775694444441</v>
      </c>
      <c r="O808" t="s">
        <v>19</v>
      </c>
    </row>
    <row r="809" spans="1:15" x14ac:dyDescent="0.25">
      <c r="A809" t="s">
        <v>697</v>
      </c>
      <c r="B809" t="s">
        <v>15</v>
      </c>
      <c r="C809" t="s">
        <v>221</v>
      </c>
      <c r="D809" t="s">
        <v>17</v>
      </c>
      <c r="E809" t="s">
        <v>18</v>
      </c>
      <c r="F809" t="s">
        <v>19</v>
      </c>
      <c r="G809" t="s">
        <v>20</v>
      </c>
      <c r="J809" t="s">
        <v>17</v>
      </c>
      <c r="K809" t="str">
        <f>"027242869516"</f>
        <v>027242869516</v>
      </c>
      <c r="L809" t="str">
        <f>"37SONAP15A"</f>
        <v>37SONAP15A</v>
      </c>
      <c r="M809" t="s">
        <v>21</v>
      </c>
      <c r="N809" s="1">
        <v>44265.902777777781</v>
      </c>
      <c r="O809" t="s">
        <v>19</v>
      </c>
    </row>
    <row r="810" spans="1:15" x14ac:dyDescent="0.25">
      <c r="A810" t="s">
        <v>698</v>
      </c>
      <c r="B810" t="s">
        <v>15</v>
      </c>
      <c r="C810" t="s">
        <v>221</v>
      </c>
      <c r="D810" t="s">
        <v>17</v>
      </c>
      <c r="E810" t="s">
        <v>18</v>
      </c>
      <c r="F810" t="s">
        <v>19</v>
      </c>
      <c r="G810" t="s">
        <v>20</v>
      </c>
      <c r="J810" t="s">
        <v>17</v>
      </c>
      <c r="K810" t="str">
        <f>"027242868694"</f>
        <v>027242868694</v>
      </c>
      <c r="L810" t="str">
        <f>"37SONAP15M"</f>
        <v>37SONAP15M</v>
      </c>
      <c r="M810" t="s">
        <v>21</v>
      </c>
      <c r="N810" s="1">
        <v>44001.635416666664</v>
      </c>
      <c r="O810" t="s">
        <v>19</v>
      </c>
    </row>
    <row r="811" spans="1:15" x14ac:dyDescent="0.25">
      <c r="A811" t="s">
        <v>699</v>
      </c>
      <c r="B811" t="s">
        <v>15</v>
      </c>
      <c r="C811" t="s">
        <v>221</v>
      </c>
      <c r="D811" t="s">
        <v>17</v>
      </c>
      <c r="E811" t="s">
        <v>18</v>
      </c>
      <c r="F811" t="s">
        <v>19</v>
      </c>
      <c r="G811" t="s">
        <v>20</v>
      </c>
      <c r="J811" t="s">
        <v>17</v>
      </c>
      <c r="K811" t="str">
        <f>"4905524931242"</f>
        <v>4905524931242</v>
      </c>
      <c r="L811" t="str">
        <f>"41351242"</f>
        <v>41351242</v>
      </c>
      <c r="M811" t="s">
        <v>75</v>
      </c>
      <c r="N811" s="1">
        <v>43007.827777777777</v>
      </c>
      <c r="O811" t="s">
        <v>19</v>
      </c>
    </row>
    <row r="812" spans="1:15" x14ac:dyDescent="0.25">
      <c r="A812" t="s">
        <v>700</v>
      </c>
      <c r="B812" t="s">
        <v>15</v>
      </c>
      <c r="C812" t="s">
        <v>221</v>
      </c>
      <c r="D812" t="s">
        <v>17</v>
      </c>
      <c r="E812" t="s">
        <v>18</v>
      </c>
      <c r="F812" t="s">
        <v>19</v>
      </c>
      <c r="G812" t="s">
        <v>20</v>
      </c>
      <c r="H812" t="s">
        <v>8</v>
      </c>
      <c r="I812" t="s">
        <v>8</v>
      </c>
      <c r="J812" t="s">
        <v>17</v>
      </c>
      <c r="K812" t="str">
        <f>"027242867093"</f>
        <v>027242867093</v>
      </c>
      <c r="L812" t="str">
        <f>"63350001"</f>
        <v>63350001</v>
      </c>
      <c r="M812" t="s">
        <v>21</v>
      </c>
      <c r="N812" s="1">
        <v>43063.743055555555</v>
      </c>
      <c r="O812" t="s">
        <v>19</v>
      </c>
    </row>
    <row r="813" spans="1:15" x14ac:dyDescent="0.25">
      <c r="A813" t="s">
        <v>701</v>
      </c>
      <c r="B813" t="s">
        <v>15</v>
      </c>
      <c r="C813" t="s">
        <v>221</v>
      </c>
      <c r="D813" t="s">
        <v>17</v>
      </c>
      <c r="E813" t="s">
        <v>18</v>
      </c>
      <c r="F813" t="s">
        <v>19</v>
      </c>
      <c r="G813" t="s">
        <v>20</v>
      </c>
      <c r="J813" t="s">
        <v>17</v>
      </c>
      <c r="K813" t="str">
        <f>"027242868854"</f>
        <v>027242868854</v>
      </c>
      <c r="L813" t="str">
        <f>"63351010"</f>
        <v>63351010</v>
      </c>
      <c r="M813" t="s">
        <v>21</v>
      </c>
      <c r="N813" s="1">
        <v>43879.77847222222</v>
      </c>
      <c r="O813" t="s">
        <v>19</v>
      </c>
    </row>
    <row r="814" spans="1:15" x14ac:dyDescent="0.25">
      <c r="A814" t="s">
        <v>702</v>
      </c>
      <c r="B814" t="s">
        <v>15</v>
      </c>
      <c r="C814" t="s">
        <v>221</v>
      </c>
      <c r="D814" t="s">
        <v>17</v>
      </c>
      <c r="E814" t="s">
        <v>18</v>
      </c>
      <c r="F814" t="s">
        <v>19</v>
      </c>
      <c r="G814" t="s">
        <v>20</v>
      </c>
      <c r="J814" t="s">
        <v>17</v>
      </c>
      <c r="K814" t="str">
        <f>"027242869660"</f>
        <v>027242869660</v>
      </c>
      <c r="L814" t="str">
        <f>"98353100"</f>
        <v>98353100</v>
      </c>
      <c r="M814" t="s">
        <v>84</v>
      </c>
      <c r="N814" s="1">
        <v>43446.729166666664</v>
      </c>
      <c r="O814" t="s">
        <v>19</v>
      </c>
    </row>
    <row r="815" spans="1:15" x14ac:dyDescent="0.25">
      <c r="A815" t="s">
        <v>703</v>
      </c>
      <c r="B815" t="s">
        <v>15</v>
      </c>
      <c r="C815" t="s">
        <v>221</v>
      </c>
      <c r="D815" t="s">
        <v>17</v>
      </c>
      <c r="E815" t="s">
        <v>18</v>
      </c>
      <c r="F815" t="s">
        <v>19</v>
      </c>
      <c r="G815" t="s">
        <v>20</v>
      </c>
      <c r="J815" t="s">
        <v>17</v>
      </c>
      <c r="K815" t="str">
        <f>"027242869684"</f>
        <v>027242869684</v>
      </c>
      <c r="L815" t="str">
        <f>"98350310"</f>
        <v>98350310</v>
      </c>
      <c r="M815" t="s">
        <v>84</v>
      </c>
      <c r="N815" s="1">
        <v>43446.727777777778</v>
      </c>
      <c r="O815" t="s">
        <v>19</v>
      </c>
    </row>
    <row r="816" spans="1:15" x14ac:dyDescent="0.25">
      <c r="A816" t="s">
        <v>704</v>
      </c>
      <c r="B816" t="s">
        <v>15</v>
      </c>
      <c r="C816" t="s">
        <v>225</v>
      </c>
      <c r="D816" t="s">
        <v>17</v>
      </c>
      <c r="E816" t="s">
        <v>18</v>
      </c>
      <c r="F816" t="s">
        <v>19</v>
      </c>
      <c r="G816" t="s">
        <v>20</v>
      </c>
      <c r="J816" t="s">
        <v>17</v>
      </c>
      <c r="K816" t="str">
        <f>"94000007"</f>
        <v>94000007</v>
      </c>
      <c r="L816" t="str">
        <f>"94000007"</f>
        <v>94000007</v>
      </c>
      <c r="M816" t="s">
        <v>75</v>
      </c>
      <c r="N816" s="1">
        <v>42872.847222222219</v>
      </c>
      <c r="O816" t="s">
        <v>19</v>
      </c>
    </row>
    <row r="817" spans="1:15" x14ac:dyDescent="0.25">
      <c r="A817" t="s">
        <v>705</v>
      </c>
      <c r="B817" t="s">
        <v>15</v>
      </c>
      <c r="C817" t="s">
        <v>221</v>
      </c>
      <c r="D817" t="s">
        <v>17</v>
      </c>
      <c r="E817" t="s">
        <v>18</v>
      </c>
      <c r="F817" t="s">
        <v>19</v>
      </c>
      <c r="G817" t="s">
        <v>20</v>
      </c>
      <c r="J817" t="s">
        <v>17</v>
      </c>
      <c r="K817" t="str">
        <f>"6927900010431"</f>
        <v>6927900010431</v>
      </c>
      <c r="L817" t="str">
        <f>"25351570"</f>
        <v>25351570</v>
      </c>
      <c r="M817" t="s">
        <v>21</v>
      </c>
      <c r="N817" s="1">
        <v>42872.839583333334</v>
      </c>
      <c r="O817" t="s">
        <v>19</v>
      </c>
    </row>
    <row r="818" spans="1:15" x14ac:dyDescent="0.25">
      <c r="A818" t="s">
        <v>705</v>
      </c>
      <c r="B818" t="s">
        <v>15</v>
      </c>
      <c r="C818" t="s">
        <v>221</v>
      </c>
      <c r="D818" t="s">
        <v>17</v>
      </c>
      <c r="E818" t="s">
        <v>18</v>
      </c>
      <c r="F818" t="s">
        <v>19</v>
      </c>
      <c r="G818" t="s">
        <v>20</v>
      </c>
      <c r="J818" t="s">
        <v>17</v>
      </c>
      <c r="K818" t="str">
        <f>"6927900010417"</f>
        <v>6927900010417</v>
      </c>
      <c r="L818" t="str">
        <f>"25351571"</f>
        <v>25351571</v>
      </c>
      <c r="M818" t="s">
        <v>21</v>
      </c>
      <c r="N818" s="1">
        <v>42872.839583333334</v>
      </c>
      <c r="O818" t="s">
        <v>19</v>
      </c>
    </row>
    <row r="819" spans="1:15" x14ac:dyDescent="0.25">
      <c r="A819" t="s">
        <v>705</v>
      </c>
      <c r="B819" t="s">
        <v>15</v>
      </c>
      <c r="C819" t="s">
        <v>221</v>
      </c>
      <c r="D819" t="s">
        <v>17</v>
      </c>
      <c r="E819" t="s">
        <v>18</v>
      </c>
      <c r="F819" t="s">
        <v>19</v>
      </c>
      <c r="G819" t="s">
        <v>20</v>
      </c>
      <c r="J819" t="s">
        <v>17</v>
      </c>
      <c r="K819" t="str">
        <f>"6927900010424"</f>
        <v>6927900010424</v>
      </c>
      <c r="L819" t="str">
        <f>"25350424"</f>
        <v>25350424</v>
      </c>
      <c r="M819" t="s">
        <v>21</v>
      </c>
      <c r="N819" s="1">
        <v>42872.839583333334</v>
      </c>
      <c r="O819" t="s">
        <v>19</v>
      </c>
    </row>
    <row r="820" spans="1:15" x14ac:dyDescent="0.25">
      <c r="A820" t="s">
        <v>706</v>
      </c>
      <c r="B820" t="s">
        <v>15</v>
      </c>
      <c r="C820" t="s">
        <v>221</v>
      </c>
      <c r="D820" t="s">
        <v>17</v>
      </c>
      <c r="E820" t="s">
        <v>18</v>
      </c>
      <c r="F820" t="s">
        <v>19</v>
      </c>
      <c r="G820" t="s">
        <v>20</v>
      </c>
      <c r="J820" t="s">
        <v>17</v>
      </c>
      <c r="K820" t="str">
        <f>"6927900010080"</f>
        <v>6927900010080</v>
      </c>
      <c r="L820" t="str">
        <f>"25350150"</f>
        <v>25350150</v>
      </c>
      <c r="M820" t="s">
        <v>21</v>
      </c>
      <c r="N820" s="1">
        <v>43146.893055555556</v>
      </c>
      <c r="O820" t="s">
        <v>19</v>
      </c>
    </row>
    <row r="821" spans="1:15" x14ac:dyDescent="0.25">
      <c r="A821" t="s">
        <v>707</v>
      </c>
      <c r="B821" t="s">
        <v>15</v>
      </c>
      <c r="C821" t="s">
        <v>221</v>
      </c>
      <c r="D821" t="s">
        <v>17</v>
      </c>
      <c r="E821" t="s">
        <v>18</v>
      </c>
      <c r="F821" t="s">
        <v>19</v>
      </c>
      <c r="G821" t="s">
        <v>20</v>
      </c>
      <c r="J821" t="s">
        <v>17</v>
      </c>
      <c r="K821" t="str">
        <f>"6927900010073"</f>
        <v>6927900010073</v>
      </c>
      <c r="L821" t="str">
        <f>"25350175"</f>
        <v>25350175</v>
      </c>
      <c r="M821" t="s">
        <v>21</v>
      </c>
      <c r="N821" s="1">
        <v>42872.839583333334</v>
      </c>
      <c r="O821" t="s">
        <v>19</v>
      </c>
    </row>
    <row r="822" spans="1:15" x14ac:dyDescent="0.25">
      <c r="A822" t="s">
        <v>708</v>
      </c>
      <c r="B822" t="s">
        <v>15</v>
      </c>
      <c r="C822" t="s">
        <v>221</v>
      </c>
      <c r="D822" t="s">
        <v>17</v>
      </c>
      <c r="E822" t="s">
        <v>18</v>
      </c>
      <c r="F822" t="s">
        <v>19</v>
      </c>
      <c r="G822" t="s">
        <v>20</v>
      </c>
      <c r="J822" t="s">
        <v>17</v>
      </c>
      <c r="K822" t="str">
        <f>"7867090891122"</f>
        <v>7867090891122</v>
      </c>
      <c r="L822" t="str">
        <f>"40350112"</f>
        <v>40350112</v>
      </c>
      <c r="M822" t="s">
        <v>21</v>
      </c>
      <c r="N822" s="1">
        <v>43125.638194444444</v>
      </c>
      <c r="O822" t="s">
        <v>19</v>
      </c>
    </row>
    <row r="823" spans="1:15" x14ac:dyDescent="0.25">
      <c r="A823" t="s">
        <v>709</v>
      </c>
      <c r="B823" t="s">
        <v>15</v>
      </c>
      <c r="C823" t="s">
        <v>221</v>
      </c>
      <c r="D823" t="s">
        <v>17</v>
      </c>
      <c r="E823" t="s">
        <v>18</v>
      </c>
      <c r="F823" t="s">
        <v>19</v>
      </c>
      <c r="G823" t="s">
        <v>20</v>
      </c>
      <c r="J823" t="s">
        <v>17</v>
      </c>
      <c r="K823" t="str">
        <f>"6925871611008"</f>
        <v>6925871611008</v>
      </c>
      <c r="L823" t="str">
        <f>"22351100"</f>
        <v>22351100</v>
      </c>
      <c r="M823" t="s">
        <v>21</v>
      </c>
      <c r="N823" s="1">
        <v>44349.916666666664</v>
      </c>
      <c r="O823" t="s">
        <v>19</v>
      </c>
    </row>
    <row r="824" spans="1:15" x14ac:dyDescent="0.25">
      <c r="A824" t="s">
        <v>710</v>
      </c>
      <c r="B824" t="s">
        <v>15</v>
      </c>
      <c r="C824" t="s">
        <v>221</v>
      </c>
      <c r="D824" t="s">
        <v>17</v>
      </c>
      <c r="E824" t="s">
        <v>18</v>
      </c>
      <c r="F824" t="s">
        <v>19</v>
      </c>
      <c r="G824" t="s">
        <v>20</v>
      </c>
      <c r="J824" t="s">
        <v>17</v>
      </c>
      <c r="K824" t="str">
        <f>"6901443200429"</f>
        <v>6901443200429</v>
      </c>
      <c r="L824" t="str">
        <f>"92350088"</f>
        <v>92350088</v>
      </c>
      <c r="M824" t="s">
        <v>21</v>
      </c>
      <c r="N824" s="1">
        <v>43630.95</v>
      </c>
      <c r="O824" t="s">
        <v>19</v>
      </c>
    </row>
    <row r="825" spans="1:15" x14ac:dyDescent="0.25">
      <c r="A825" t="s">
        <v>711</v>
      </c>
      <c r="B825" t="s">
        <v>15</v>
      </c>
      <c r="C825" t="s">
        <v>221</v>
      </c>
      <c r="D825" t="s">
        <v>17</v>
      </c>
      <c r="E825" t="s">
        <v>18</v>
      </c>
      <c r="F825" t="s">
        <v>19</v>
      </c>
      <c r="G825" t="s">
        <v>20</v>
      </c>
      <c r="J825" t="s">
        <v>17</v>
      </c>
      <c r="K825" t="str">
        <f>"61350700"</f>
        <v>61350700</v>
      </c>
      <c r="L825" t="str">
        <f>"61350700"</f>
        <v>61350700</v>
      </c>
      <c r="M825" t="s">
        <v>21</v>
      </c>
      <c r="N825" s="1">
        <v>44253.572222222225</v>
      </c>
      <c r="O825" t="s">
        <v>19</v>
      </c>
    </row>
    <row r="826" spans="1:15" x14ac:dyDescent="0.25">
      <c r="A826" t="s">
        <v>712</v>
      </c>
      <c r="B826" t="s">
        <v>15</v>
      </c>
      <c r="C826" t="s">
        <v>221</v>
      </c>
      <c r="D826" t="s">
        <v>17</v>
      </c>
      <c r="E826" t="s">
        <v>18</v>
      </c>
      <c r="F826" t="s">
        <v>19</v>
      </c>
      <c r="G826" t="s">
        <v>20</v>
      </c>
      <c r="J826" t="s">
        <v>17</v>
      </c>
      <c r="K826" t="str">
        <f>"8017040519906"</f>
        <v>8017040519906</v>
      </c>
      <c r="L826" t="str">
        <f>"303551990"</f>
        <v>303551990</v>
      </c>
      <c r="M826" t="s">
        <v>84</v>
      </c>
      <c r="N826" s="1">
        <v>43279.70416666667</v>
      </c>
      <c r="O826" t="s">
        <v>19</v>
      </c>
    </row>
    <row r="827" spans="1:15" x14ac:dyDescent="0.25">
      <c r="A827" t="s">
        <v>713</v>
      </c>
      <c r="B827" t="s">
        <v>15</v>
      </c>
      <c r="C827" t="s">
        <v>221</v>
      </c>
      <c r="D827" t="s">
        <v>17</v>
      </c>
      <c r="E827" t="s">
        <v>18</v>
      </c>
      <c r="F827" t="s">
        <v>19</v>
      </c>
      <c r="G827" t="s">
        <v>20</v>
      </c>
      <c r="J827" t="s">
        <v>17</v>
      </c>
      <c r="K827" t="str">
        <f>"10001197"</f>
        <v>10001197</v>
      </c>
      <c r="L827" t="str">
        <f>"10001197"</f>
        <v>10001197</v>
      </c>
      <c r="M827" t="s">
        <v>21</v>
      </c>
      <c r="N827" s="1">
        <v>43666.873611111114</v>
      </c>
      <c r="O827" t="s">
        <v>19</v>
      </c>
    </row>
    <row r="828" spans="1:15" x14ac:dyDescent="0.25">
      <c r="A828" t="s">
        <v>714</v>
      </c>
      <c r="B828" t="s">
        <v>15</v>
      </c>
      <c r="C828" t="s">
        <v>221</v>
      </c>
      <c r="D828" t="s">
        <v>17</v>
      </c>
      <c r="E828" t="s">
        <v>18</v>
      </c>
      <c r="F828" t="s">
        <v>19</v>
      </c>
      <c r="G828" t="s">
        <v>20</v>
      </c>
      <c r="J828" t="s">
        <v>17</v>
      </c>
      <c r="K828" t="str">
        <f>"61350701"</f>
        <v>61350701</v>
      </c>
      <c r="L828" t="str">
        <f>"61350701"</f>
        <v>61350701</v>
      </c>
      <c r="M828" t="s">
        <v>21</v>
      </c>
      <c r="N828" s="1">
        <v>44253.575694444444</v>
      </c>
      <c r="O828" t="s">
        <v>19</v>
      </c>
    </row>
    <row r="829" spans="1:15" x14ac:dyDescent="0.25">
      <c r="A829" t="s">
        <v>715</v>
      </c>
      <c r="B829" t="s">
        <v>15</v>
      </c>
      <c r="C829" t="s">
        <v>221</v>
      </c>
      <c r="D829" t="s">
        <v>17</v>
      </c>
      <c r="E829" t="s">
        <v>18</v>
      </c>
      <c r="F829" t="s">
        <v>19</v>
      </c>
      <c r="G829" t="s">
        <v>20</v>
      </c>
      <c r="J829" t="s">
        <v>17</v>
      </c>
      <c r="K829" t="str">
        <f>"6918027003345"</f>
        <v>6918027003345</v>
      </c>
      <c r="L829" t="str">
        <f>"40350700"</f>
        <v>40350700</v>
      </c>
      <c r="M829" t="s">
        <v>21</v>
      </c>
      <c r="N829" s="1">
        <v>42941.67291666667</v>
      </c>
      <c r="O829" t="s">
        <v>19</v>
      </c>
    </row>
    <row r="830" spans="1:15" x14ac:dyDescent="0.25">
      <c r="A830" t="s">
        <v>716</v>
      </c>
      <c r="B830" t="s">
        <v>15</v>
      </c>
      <c r="C830" t="s">
        <v>221</v>
      </c>
      <c r="D830" t="s">
        <v>17</v>
      </c>
      <c r="E830" t="s">
        <v>18</v>
      </c>
      <c r="F830" t="s">
        <v>19</v>
      </c>
      <c r="G830" t="s">
        <v>20</v>
      </c>
      <c r="J830" t="s">
        <v>17</v>
      </c>
      <c r="K830" t="str">
        <f>"7858816022647"</f>
        <v>7858816022647</v>
      </c>
      <c r="L830" t="str">
        <f>"87352264"</f>
        <v>87352264</v>
      </c>
      <c r="M830" t="s">
        <v>21</v>
      </c>
      <c r="N830" s="1">
        <v>43595.805555555555</v>
      </c>
      <c r="O830" t="s">
        <v>19</v>
      </c>
    </row>
    <row r="831" spans="1:15" x14ac:dyDescent="0.25">
      <c r="A831" t="s">
        <v>716</v>
      </c>
      <c r="B831" t="s">
        <v>15</v>
      </c>
      <c r="C831" t="s">
        <v>221</v>
      </c>
      <c r="D831" t="s">
        <v>17</v>
      </c>
      <c r="E831" t="s">
        <v>18</v>
      </c>
      <c r="F831" t="s">
        <v>19</v>
      </c>
      <c r="G831" t="s">
        <v>20</v>
      </c>
      <c r="J831" t="s">
        <v>17</v>
      </c>
      <c r="K831" t="str">
        <f>"54350700"</f>
        <v>54350700</v>
      </c>
      <c r="L831" t="str">
        <f>"54350700"</f>
        <v>54350700</v>
      </c>
      <c r="M831" t="s">
        <v>21</v>
      </c>
      <c r="N831" s="1">
        <v>44210.75277777778</v>
      </c>
      <c r="O831" t="s">
        <v>19</v>
      </c>
    </row>
    <row r="832" spans="1:15" x14ac:dyDescent="0.25">
      <c r="A832" t="s">
        <v>717</v>
      </c>
      <c r="B832" t="s">
        <v>15</v>
      </c>
      <c r="C832" t="s">
        <v>221</v>
      </c>
      <c r="D832" t="s">
        <v>17</v>
      </c>
      <c r="E832" t="s">
        <v>18</v>
      </c>
      <c r="F832" t="s">
        <v>19</v>
      </c>
      <c r="G832" t="s">
        <v>20</v>
      </c>
      <c r="J832" t="s">
        <v>17</v>
      </c>
      <c r="K832" t="str">
        <f>"190198001733"</f>
        <v>190198001733</v>
      </c>
      <c r="L832" t="str">
        <f>"54031748"</f>
        <v>54031748</v>
      </c>
      <c r="M832" t="s">
        <v>21</v>
      </c>
      <c r="N832" s="1">
        <v>43201.663888888892</v>
      </c>
      <c r="O832" t="s">
        <v>19</v>
      </c>
    </row>
    <row r="833" spans="1:15" x14ac:dyDescent="0.25">
      <c r="A833" t="s">
        <v>718</v>
      </c>
      <c r="B833" t="s">
        <v>15</v>
      </c>
      <c r="C833" t="s">
        <v>225</v>
      </c>
      <c r="D833" t="s">
        <v>17</v>
      </c>
      <c r="E833" t="s">
        <v>18</v>
      </c>
      <c r="F833" t="s">
        <v>19</v>
      </c>
      <c r="G833" t="s">
        <v>20</v>
      </c>
      <c r="J833" t="s">
        <v>17</v>
      </c>
      <c r="K833" t="str">
        <f>"66000782"</f>
        <v>66000782</v>
      </c>
      <c r="L833" t="str">
        <f>"66000782"</f>
        <v>66000782</v>
      </c>
      <c r="M833" t="s">
        <v>75</v>
      </c>
      <c r="N833" s="1">
        <v>42872.839583333334</v>
      </c>
      <c r="O833" t="s">
        <v>19</v>
      </c>
    </row>
    <row r="834" spans="1:15" x14ac:dyDescent="0.25">
      <c r="A834" t="s">
        <v>719</v>
      </c>
      <c r="B834" t="s">
        <v>15</v>
      </c>
      <c r="C834" t="s">
        <v>221</v>
      </c>
      <c r="D834" t="s">
        <v>17</v>
      </c>
      <c r="E834" t="s">
        <v>18</v>
      </c>
      <c r="F834" t="s">
        <v>19</v>
      </c>
      <c r="G834" t="s">
        <v>20</v>
      </c>
      <c r="J834" t="s">
        <v>17</v>
      </c>
      <c r="K834" t="str">
        <f>"54351400"</f>
        <v>54351400</v>
      </c>
      <c r="L834" t="str">
        <f>"54351400"</f>
        <v>54351400</v>
      </c>
      <c r="M834" t="s">
        <v>21</v>
      </c>
      <c r="N834" s="1">
        <v>44210.749305555553</v>
      </c>
      <c r="O834" t="s">
        <v>19</v>
      </c>
    </row>
    <row r="835" spans="1:15" x14ac:dyDescent="0.25">
      <c r="A835" t="s">
        <v>720</v>
      </c>
      <c r="B835" t="s">
        <v>15</v>
      </c>
      <c r="C835" t="s">
        <v>221</v>
      </c>
      <c r="D835" t="s">
        <v>17</v>
      </c>
      <c r="E835" t="s">
        <v>18</v>
      </c>
      <c r="F835" t="s">
        <v>19</v>
      </c>
      <c r="G835" t="s">
        <v>20</v>
      </c>
      <c r="J835" t="s">
        <v>17</v>
      </c>
      <c r="K835" t="str">
        <f>"61351405"</f>
        <v>61351405</v>
      </c>
      <c r="L835" t="str">
        <f>"61351405"</f>
        <v>61351405</v>
      </c>
      <c r="M835" t="s">
        <v>21</v>
      </c>
      <c r="N835" s="1">
        <v>44253.564583333333</v>
      </c>
      <c r="O835" t="s">
        <v>19</v>
      </c>
    </row>
    <row r="836" spans="1:15" x14ac:dyDescent="0.25">
      <c r="A836" t="s">
        <v>721</v>
      </c>
      <c r="B836" t="s">
        <v>15</v>
      </c>
      <c r="C836" t="s">
        <v>221</v>
      </c>
      <c r="D836" t="s">
        <v>17</v>
      </c>
      <c r="E836" t="s">
        <v>18</v>
      </c>
      <c r="F836" t="s">
        <v>19</v>
      </c>
      <c r="G836" t="s">
        <v>20</v>
      </c>
      <c r="J836" t="s">
        <v>17</v>
      </c>
      <c r="K836" t="str">
        <f>"61351409"</f>
        <v>61351409</v>
      </c>
      <c r="L836" t="str">
        <f>"61351409"</f>
        <v>61351409</v>
      </c>
      <c r="M836" t="s">
        <v>21</v>
      </c>
      <c r="N836" s="1">
        <v>44253.563888888886</v>
      </c>
      <c r="O836" t="s">
        <v>19</v>
      </c>
    </row>
    <row r="837" spans="1:15" x14ac:dyDescent="0.25">
      <c r="A837" t="s">
        <v>722</v>
      </c>
      <c r="B837" t="s">
        <v>15</v>
      </c>
      <c r="C837" t="s">
        <v>225</v>
      </c>
      <c r="D837" t="s">
        <v>17</v>
      </c>
      <c r="E837" t="s">
        <v>18</v>
      </c>
      <c r="F837" t="s">
        <v>19</v>
      </c>
      <c r="G837" t="s">
        <v>20</v>
      </c>
      <c r="J837" t="s">
        <v>17</v>
      </c>
      <c r="K837" t="str">
        <f>"76033708"</f>
        <v>76033708</v>
      </c>
      <c r="L837" t="str">
        <f>"76033708"</f>
        <v>76033708</v>
      </c>
      <c r="M837" t="s">
        <v>75</v>
      </c>
      <c r="N837" s="1">
        <v>42872.847222222219</v>
      </c>
      <c r="O837" t="s">
        <v>19</v>
      </c>
    </row>
    <row r="838" spans="1:15" x14ac:dyDescent="0.25">
      <c r="A838" t="s">
        <v>723</v>
      </c>
      <c r="B838" t="s">
        <v>15</v>
      </c>
      <c r="C838" t="s">
        <v>221</v>
      </c>
      <c r="D838" t="s">
        <v>17</v>
      </c>
      <c r="E838" t="s">
        <v>18</v>
      </c>
      <c r="F838" t="s">
        <v>19</v>
      </c>
      <c r="G838" t="s">
        <v>20</v>
      </c>
      <c r="J838" t="s">
        <v>17</v>
      </c>
      <c r="K838" t="str">
        <f>"7858816041037"</f>
        <v>7858816041037</v>
      </c>
      <c r="L838" t="str">
        <f>"87354103"</f>
        <v>87354103</v>
      </c>
      <c r="M838" t="s">
        <v>21</v>
      </c>
      <c r="N838" s="1">
        <v>44371.629861111112</v>
      </c>
      <c r="O838" t="s">
        <v>19</v>
      </c>
    </row>
    <row r="839" spans="1:15" x14ac:dyDescent="0.25">
      <c r="A839" t="s">
        <v>724</v>
      </c>
      <c r="B839" t="s">
        <v>15</v>
      </c>
      <c r="C839" t="s">
        <v>221</v>
      </c>
      <c r="D839" t="s">
        <v>17</v>
      </c>
      <c r="E839" t="s">
        <v>18</v>
      </c>
      <c r="F839" t="s">
        <v>19</v>
      </c>
      <c r="G839" t="s">
        <v>20</v>
      </c>
      <c r="J839" t="s">
        <v>17</v>
      </c>
      <c r="K839" t="str">
        <f>"6999969795659"</f>
        <v>6999969795659</v>
      </c>
      <c r="L839" t="str">
        <f>"10014859"</f>
        <v>10014859</v>
      </c>
      <c r="M839" t="s">
        <v>84</v>
      </c>
      <c r="N839" s="1">
        <v>43532.852083333331</v>
      </c>
      <c r="O839" t="s">
        <v>19</v>
      </c>
    </row>
    <row r="840" spans="1:15" x14ac:dyDescent="0.25">
      <c r="A840" t="s">
        <v>725</v>
      </c>
      <c r="B840" t="s">
        <v>15</v>
      </c>
      <c r="C840" t="s">
        <v>221</v>
      </c>
      <c r="D840" t="s">
        <v>17</v>
      </c>
      <c r="E840" t="s">
        <v>18</v>
      </c>
      <c r="F840" t="s">
        <v>19</v>
      </c>
      <c r="G840" t="s">
        <v>20</v>
      </c>
      <c r="J840" t="s">
        <v>17</v>
      </c>
      <c r="K840" t="str">
        <f>"7808748508368"</f>
        <v>7808748508368</v>
      </c>
      <c r="L840" t="str">
        <f>"98030120"</f>
        <v>98030120</v>
      </c>
      <c r="M840" t="s">
        <v>75</v>
      </c>
      <c r="N840" s="1">
        <v>43201.696527777778</v>
      </c>
      <c r="O840" t="s">
        <v>19</v>
      </c>
    </row>
    <row r="841" spans="1:15" x14ac:dyDescent="0.25">
      <c r="A841" t="s">
        <v>726</v>
      </c>
      <c r="B841" t="s">
        <v>15</v>
      </c>
      <c r="C841" t="s">
        <v>221</v>
      </c>
      <c r="D841" t="s">
        <v>17</v>
      </c>
      <c r="E841" t="s">
        <v>18</v>
      </c>
      <c r="F841" t="s">
        <v>19</v>
      </c>
      <c r="G841" t="s">
        <v>20</v>
      </c>
      <c r="J841" t="s">
        <v>17</v>
      </c>
      <c r="K841" t="str">
        <f>"7808748508450"</f>
        <v>7808748508450</v>
      </c>
      <c r="L841" t="str">
        <f>"98350180"</f>
        <v>98350180</v>
      </c>
      <c r="M841" t="s">
        <v>84</v>
      </c>
      <c r="N841" s="1">
        <v>43404.648611111108</v>
      </c>
      <c r="O841" t="s">
        <v>19</v>
      </c>
    </row>
    <row r="842" spans="1:15" x14ac:dyDescent="0.25">
      <c r="A842" t="s">
        <v>727</v>
      </c>
      <c r="B842" t="s">
        <v>15</v>
      </c>
      <c r="C842" t="s">
        <v>225</v>
      </c>
      <c r="D842" t="s">
        <v>17</v>
      </c>
      <c r="E842" t="s">
        <v>18</v>
      </c>
      <c r="F842" t="s">
        <v>19</v>
      </c>
      <c r="G842" t="s">
        <v>20</v>
      </c>
      <c r="J842" t="s">
        <v>17</v>
      </c>
      <c r="K842" t="str">
        <f>"25390000"</f>
        <v>25390000</v>
      </c>
      <c r="L842" t="str">
        <f>"25390000"</f>
        <v>25390000</v>
      </c>
      <c r="M842" t="s">
        <v>75</v>
      </c>
      <c r="N842" s="1">
        <v>42872.839583333334</v>
      </c>
      <c r="O842" t="s">
        <v>19</v>
      </c>
    </row>
    <row r="843" spans="1:15" x14ac:dyDescent="0.25">
      <c r="A843" t="s">
        <v>728</v>
      </c>
      <c r="B843" t="s">
        <v>15</v>
      </c>
      <c r="C843" t="s">
        <v>225</v>
      </c>
      <c r="D843" t="s">
        <v>17</v>
      </c>
      <c r="E843" t="s">
        <v>18</v>
      </c>
      <c r="F843" t="s">
        <v>19</v>
      </c>
      <c r="G843" t="s">
        <v>20</v>
      </c>
      <c r="H843" t="s">
        <v>8</v>
      </c>
      <c r="I843" t="s">
        <v>8</v>
      </c>
      <c r="J843" t="s">
        <v>17</v>
      </c>
      <c r="K843" t="str">
        <f>"025215498909"</f>
        <v>025215498909</v>
      </c>
      <c r="L843" t="str">
        <f>"60037841"</f>
        <v>60037841</v>
      </c>
      <c r="M843" t="s">
        <v>21</v>
      </c>
      <c r="N843" s="1">
        <v>43063.754861111112</v>
      </c>
      <c r="O843" t="s">
        <v>19</v>
      </c>
    </row>
    <row r="844" spans="1:15" x14ac:dyDescent="0.25">
      <c r="A844" t="s">
        <v>729</v>
      </c>
      <c r="B844" t="s">
        <v>15</v>
      </c>
      <c r="C844" t="s">
        <v>225</v>
      </c>
      <c r="D844" t="s">
        <v>17</v>
      </c>
      <c r="E844" t="s">
        <v>18</v>
      </c>
      <c r="F844" t="s">
        <v>19</v>
      </c>
      <c r="G844" t="s">
        <v>20</v>
      </c>
      <c r="H844" t="s">
        <v>8</v>
      </c>
      <c r="I844" t="s">
        <v>8</v>
      </c>
      <c r="J844" t="s">
        <v>17</v>
      </c>
      <c r="K844" t="str">
        <f>"025215498893"</f>
        <v>025215498893</v>
      </c>
      <c r="L844" t="str">
        <f>"60037840"</f>
        <v>60037840</v>
      </c>
      <c r="M844" t="s">
        <v>21</v>
      </c>
      <c r="N844" s="1">
        <v>42872.839583333334</v>
      </c>
      <c r="O844" t="s">
        <v>19</v>
      </c>
    </row>
    <row r="845" spans="1:15" x14ac:dyDescent="0.25">
      <c r="A845" t="s">
        <v>730</v>
      </c>
      <c r="B845" t="s">
        <v>15</v>
      </c>
      <c r="C845" t="s">
        <v>225</v>
      </c>
      <c r="D845" t="s">
        <v>17</v>
      </c>
      <c r="E845" t="s">
        <v>18</v>
      </c>
      <c r="F845" t="s">
        <v>19</v>
      </c>
      <c r="G845" t="s">
        <v>20</v>
      </c>
      <c r="H845" t="s">
        <v>8</v>
      </c>
      <c r="I845" t="s">
        <v>8</v>
      </c>
      <c r="J845" t="s">
        <v>17</v>
      </c>
      <c r="K845" t="str">
        <f>"025215498886"</f>
        <v>025215498886</v>
      </c>
      <c r="L845" t="str">
        <f>"60037839"</f>
        <v>60037839</v>
      </c>
      <c r="M845" t="s">
        <v>21</v>
      </c>
      <c r="N845" s="1">
        <v>43063.756249999999</v>
      </c>
      <c r="O845" t="s">
        <v>19</v>
      </c>
    </row>
    <row r="846" spans="1:15" x14ac:dyDescent="0.25">
      <c r="A846" t="s">
        <v>730</v>
      </c>
      <c r="B846" t="s">
        <v>15</v>
      </c>
      <c r="C846" t="s">
        <v>225</v>
      </c>
      <c r="D846" t="s">
        <v>17</v>
      </c>
      <c r="E846" t="s">
        <v>18</v>
      </c>
      <c r="F846" t="s">
        <v>19</v>
      </c>
      <c r="G846" t="s">
        <v>20</v>
      </c>
      <c r="H846" t="s">
        <v>8</v>
      </c>
      <c r="I846" t="s">
        <v>8</v>
      </c>
      <c r="J846" t="s">
        <v>17</v>
      </c>
      <c r="K846" t="str">
        <f>"98030095"</f>
        <v>98030095</v>
      </c>
      <c r="L846" t="str">
        <f>"98030095"</f>
        <v>98030095</v>
      </c>
      <c r="M846" t="s">
        <v>84</v>
      </c>
      <c r="N846" s="1">
        <v>43110.892361111109</v>
      </c>
      <c r="O846" t="s">
        <v>19</v>
      </c>
    </row>
    <row r="847" spans="1:15" x14ac:dyDescent="0.25">
      <c r="A847" t="s">
        <v>730</v>
      </c>
      <c r="B847" t="s">
        <v>15</v>
      </c>
      <c r="C847" t="s">
        <v>225</v>
      </c>
      <c r="D847" t="s">
        <v>17</v>
      </c>
      <c r="E847" t="s">
        <v>18</v>
      </c>
      <c r="F847" t="s">
        <v>19</v>
      </c>
      <c r="G847" t="s">
        <v>20</v>
      </c>
      <c r="H847" t="s">
        <v>8</v>
      </c>
      <c r="I847" t="s">
        <v>8</v>
      </c>
      <c r="J847" t="s">
        <v>17</v>
      </c>
      <c r="K847" t="str">
        <f>"025215190247"</f>
        <v>025215190247</v>
      </c>
      <c r="L847" t="str">
        <f>"60035600"</f>
        <v>60035600</v>
      </c>
      <c r="M847" t="s">
        <v>84</v>
      </c>
      <c r="N847" s="1">
        <v>43521.604861111111</v>
      </c>
      <c r="O847" t="s">
        <v>19</v>
      </c>
    </row>
    <row r="848" spans="1:15" x14ac:dyDescent="0.25">
      <c r="A848" t="s">
        <v>731</v>
      </c>
      <c r="B848" t="s">
        <v>15</v>
      </c>
      <c r="C848" t="s">
        <v>225</v>
      </c>
      <c r="D848" t="s">
        <v>17</v>
      </c>
      <c r="E848" t="s">
        <v>18</v>
      </c>
      <c r="F848" t="s">
        <v>19</v>
      </c>
      <c r="G848" t="s">
        <v>20</v>
      </c>
      <c r="H848" t="s">
        <v>8</v>
      </c>
      <c r="I848" t="s">
        <v>8</v>
      </c>
      <c r="J848" t="s">
        <v>17</v>
      </c>
      <c r="K848" t="str">
        <f>"025215498916"</f>
        <v>025215498916</v>
      </c>
      <c r="L848" t="str">
        <f>"60037842"</f>
        <v>60037842</v>
      </c>
      <c r="M848" t="s">
        <v>21</v>
      </c>
      <c r="N848" s="1">
        <v>43870.681250000001</v>
      </c>
      <c r="O848" t="s">
        <v>19</v>
      </c>
    </row>
    <row r="849" spans="1:15" x14ac:dyDescent="0.25">
      <c r="A849" t="s">
        <v>732</v>
      </c>
      <c r="B849" t="s">
        <v>15</v>
      </c>
      <c r="C849" t="s">
        <v>225</v>
      </c>
      <c r="D849" t="s">
        <v>17</v>
      </c>
      <c r="E849" t="s">
        <v>18</v>
      </c>
      <c r="F849" t="s">
        <v>19</v>
      </c>
      <c r="G849" t="s">
        <v>20</v>
      </c>
      <c r="H849" t="s">
        <v>8</v>
      </c>
      <c r="I849" t="s">
        <v>8</v>
      </c>
      <c r="J849" t="s">
        <v>17</v>
      </c>
      <c r="K849" t="str">
        <f>"025215498879"</f>
        <v>025215498879</v>
      </c>
      <c r="L849" t="str">
        <f>"60037838"</f>
        <v>60037838</v>
      </c>
      <c r="M849" t="s">
        <v>21</v>
      </c>
      <c r="N849" s="1">
        <v>43110.893055555556</v>
      </c>
      <c r="O849" t="s">
        <v>19</v>
      </c>
    </row>
    <row r="850" spans="1:15" x14ac:dyDescent="0.25">
      <c r="A850" t="s">
        <v>733</v>
      </c>
      <c r="B850" t="s">
        <v>15</v>
      </c>
      <c r="C850" t="s">
        <v>225</v>
      </c>
      <c r="D850" t="s">
        <v>17</v>
      </c>
      <c r="E850" t="s">
        <v>18</v>
      </c>
      <c r="F850" t="s">
        <v>19</v>
      </c>
      <c r="G850" t="s">
        <v>20</v>
      </c>
      <c r="H850" t="s">
        <v>8</v>
      </c>
      <c r="I850" t="s">
        <v>8</v>
      </c>
      <c r="J850" t="s">
        <v>17</v>
      </c>
      <c r="K850" t="str">
        <f>"025215492891"</f>
        <v>025215492891</v>
      </c>
      <c r="L850" t="str">
        <f>"60030560"</f>
        <v>60030560</v>
      </c>
      <c r="M850" t="s">
        <v>84</v>
      </c>
      <c r="N850" s="1">
        <v>43521.606944444444</v>
      </c>
      <c r="O850" t="s">
        <v>19</v>
      </c>
    </row>
    <row r="851" spans="1:15" x14ac:dyDescent="0.25">
      <c r="A851" t="s">
        <v>734</v>
      </c>
      <c r="B851" t="s">
        <v>15</v>
      </c>
      <c r="C851" t="s">
        <v>225</v>
      </c>
      <c r="D851" t="s">
        <v>17</v>
      </c>
      <c r="E851" t="s">
        <v>18</v>
      </c>
      <c r="F851" t="s">
        <v>19</v>
      </c>
      <c r="G851" t="s">
        <v>20</v>
      </c>
      <c r="J851" t="s">
        <v>17</v>
      </c>
      <c r="K851" t="str">
        <f>"25398077"</f>
        <v>25398077</v>
      </c>
      <c r="L851" t="str">
        <f>"25398077"</f>
        <v>25398077</v>
      </c>
      <c r="M851" t="s">
        <v>75</v>
      </c>
      <c r="N851" s="1">
        <v>42872.839583333334</v>
      </c>
      <c r="O851" t="s">
        <v>19</v>
      </c>
    </row>
    <row r="852" spans="1:15" x14ac:dyDescent="0.25">
      <c r="A852" t="s">
        <v>735</v>
      </c>
      <c r="B852" t="s">
        <v>15</v>
      </c>
      <c r="C852" t="s">
        <v>225</v>
      </c>
      <c r="D852" t="s">
        <v>17</v>
      </c>
      <c r="E852" t="s">
        <v>18</v>
      </c>
      <c r="F852" t="s">
        <v>19</v>
      </c>
      <c r="G852" t="s">
        <v>20</v>
      </c>
      <c r="H852" t="s">
        <v>8</v>
      </c>
      <c r="I852" t="s">
        <v>8</v>
      </c>
      <c r="J852" t="s">
        <v>17</v>
      </c>
      <c r="K852" t="str">
        <f>"025215491214"</f>
        <v>025215491214</v>
      </c>
      <c r="L852" t="str">
        <f>"60037169"</f>
        <v>60037169</v>
      </c>
      <c r="M852" t="s">
        <v>21</v>
      </c>
      <c r="N852" s="1">
        <v>43870.676388888889</v>
      </c>
      <c r="O852" t="s">
        <v>19</v>
      </c>
    </row>
    <row r="853" spans="1:15" x14ac:dyDescent="0.25">
      <c r="A853" t="s">
        <v>736</v>
      </c>
      <c r="B853" t="s">
        <v>15</v>
      </c>
      <c r="C853" t="s">
        <v>225</v>
      </c>
      <c r="D853" t="s">
        <v>17</v>
      </c>
      <c r="E853" t="s">
        <v>18</v>
      </c>
      <c r="F853" t="s">
        <v>19</v>
      </c>
      <c r="G853" t="s">
        <v>20</v>
      </c>
      <c r="H853" t="s">
        <v>8</v>
      </c>
      <c r="I853" t="s">
        <v>8</v>
      </c>
      <c r="J853" t="s">
        <v>17</v>
      </c>
      <c r="K853" t="str">
        <f>"025215502866"</f>
        <v>025215502866</v>
      </c>
      <c r="L853" t="str">
        <f>"60037170"</f>
        <v>60037170</v>
      </c>
      <c r="M853" t="s">
        <v>21</v>
      </c>
      <c r="N853" s="1">
        <v>43870.676388888889</v>
      </c>
      <c r="O853" t="s">
        <v>19</v>
      </c>
    </row>
    <row r="854" spans="1:15" x14ac:dyDescent="0.25">
      <c r="A854" t="s">
        <v>737</v>
      </c>
      <c r="B854" t="s">
        <v>15</v>
      </c>
      <c r="C854" t="s">
        <v>225</v>
      </c>
      <c r="D854" t="s">
        <v>17</v>
      </c>
      <c r="E854" t="s">
        <v>18</v>
      </c>
      <c r="F854" t="s">
        <v>19</v>
      </c>
      <c r="G854" t="s">
        <v>20</v>
      </c>
      <c r="H854" t="s">
        <v>8</v>
      </c>
      <c r="I854" t="s">
        <v>8</v>
      </c>
      <c r="J854" t="s">
        <v>17</v>
      </c>
      <c r="K854" t="str">
        <f>"025215502873"</f>
        <v>025215502873</v>
      </c>
      <c r="L854" t="str">
        <f>"60037171"</f>
        <v>60037171</v>
      </c>
      <c r="M854" t="s">
        <v>21</v>
      </c>
      <c r="N854" s="1">
        <v>43870.677083333336</v>
      </c>
      <c r="O854" t="s">
        <v>19</v>
      </c>
    </row>
    <row r="855" spans="1:15" x14ac:dyDescent="0.25">
      <c r="A855" t="s">
        <v>738</v>
      </c>
      <c r="B855" t="s">
        <v>15</v>
      </c>
      <c r="C855" t="s">
        <v>225</v>
      </c>
      <c r="D855" t="s">
        <v>17</v>
      </c>
      <c r="E855" t="s">
        <v>18</v>
      </c>
      <c r="F855" t="s">
        <v>19</v>
      </c>
      <c r="G855" t="s">
        <v>20</v>
      </c>
      <c r="H855" t="s">
        <v>8</v>
      </c>
      <c r="I855" t="s">
        <v>8</v>
      </c>
      <c r="J855" t="s">
        <v>17</v>
      </c>
      <c r="K855" t="str">
        <f>"025215491207"</f>
        <v>025215491207</v>
      </c>
      <c r="L855" t="str">
        <f>"60037168"</f>
        <v>60037168</v>
      </c>
      <c r="M855" t="s">
        <v>21</v>
      </c>
      <c r="N855" s="1">
        <v>43870.675694444442</v>
      </c>
      <c r="O855" t="s">
        <v>19</v>
      </c>
    </row>
    <row r="856" spans="1:15" x14ac:dyDescent="0.25">
      <c r="A856" t="s">
        <v>739</v>
      </c>
      <c r="B856" t="s">
        <v>15</v>
      </c>
      <c r="C856" t="s">
        <v>225</v>
      </c>
      <c r="D856" t="s">
        <v>17</v>
      </c>
      <c r="E856" t="s">
        <v>18</v>
      </c>
      <c r="F856" t="s">
        <v>19</v>
      </c>
      <c r="G856" t="s">
        <v>20</v>
      </c>
      <c r="H856" t="s">
        <v>8</v>
      </c>
      <c r="I856" t="s">
        <v>8</v>
      </c>
      <c r="J856" t="s">
        <v>17</v>
      </c>
      <c r="K856" t="str">
        <f>"025215493584"</f>
        <v>025215493584</v>
      </c>
      <c r="L856" t="str">
        <f>"60033085"</f>
        <v>60033085</v>
      </c>
      <c r="M856" t="s">
        <v>84</v>
      </c>
      <c r="N856" s="1">
        <v>43521.607638888891</v>
      </c>
      <c r="O856" t="s">
        <v>19</v>
      </c>
    </row>
    <row r="857" spans="1:15" x14ac:dyDescent="0.25">
      <c r="A857" t="s">
        <v>740</v>
      </c>
      <c r="B857" t="s">
        <v>15</v>
      </c>
      <c r="C857" t="s">
        <v>225</v>
      </c>
      <c r="D857" t="s">
        <v>17</v>
      </c>
      <c r="E857" t="s">
        <v>18</v>
      </c>
      <c r="F857" t="s">
        <v>19</v>
      </c>
      <c r="G857" t="s">
        <v>20</v>
      </c>
      <c r="J857" t="s">
        <v>17</v>
      </c>
      <c r="K857" t="str">
        <f>"8669885018849"</f>
        <v>8669885018849</v>
      </c>
      <c r="L857" t="str">
        <f>"66030760"</f>
        <v>66030760</v>
      </c>
      <c r="M857" t="s">
        <v>75</v>
      </c>
      <c r="N857" s="1">
        <v>43033.727083333331</v>
      </c>
      <c r="O857" t="s">
        <v>19</v>
      </c>
    </row>
    <row r="858" spans="1:15" x14ac:dyDescent="0.25">
      <c r="A858" t="s">
        <v>741</v>
      </c>
      <c r="B858" t="s">
        <v>15</v>
      </c>
      <c r="C858" t="s">
        <v>225</v>
      </c>
      <c r="D858" t="s">
        <v>17</v>
      </c>
      <c r="E858" t="s">
        <v>18</v>
      </c>
      <c r="F858" t="s">
        <v>19</v>
      </c>
      <c r="G858" t="s">
        <v>20</v>
      </c>
      <c r="J858" t="s">
        <v>17</v>
      </c>
      <c r="K858" t="str">
        <f>"10001612"</f>
        <v>10001612</v>
      </c>
      <c r="L858" t="str">
        <f>"10001612"</f>
        <v>10001612</v>
      </c>
      <c r="M858" t="s">
        <v>75</v>
      </c>
      <c r="N858" s="1">
        <v>42872.839583333334</v>
      </c>
      <c r="O858" t="s">
        <v>19</v>
      </c>
    </row>
    <row r="859" spans="1:15" x14ac:dyDescent="0.25">
      <c r="A859" t="s">
        <v>742</v>
      </c>
      <c r="B859" t="s">
        <v>15</v>
      </c>
      <c r="C859" t="s">
        <v>225</v>
      </c>
      <c r="D859" t="s">
        <v>17</v>
      </c>
      <c r="E859" t="s">
        <v>18</v>
      </c>
      <c r="F859" t="s">
        <v>19</v>
      </c>
      <c r="G859" t="s">
        <v>20</v>
      </c>
      <c r="H859" t="s">
        <v>8</v>
      </c>
      <c r="I859" t="s">
        <v>8</v>
      </c>
      <c r="J859" t="s">
        <v>17</v>
      </c>
      <c r="K859" t="str">
        <f>"7168227120208"</f>
        <v>7168227120208</v>
      </c>
      <c r="L859" t="str">
        <f>"27MXX120BL"</f>
        <v>27MXX120BL</v>
      </c>
      <c r="M859" t="s">
        <v>21</v>
      </c>
      <c r="N859" s="1">
        <v>43805.740277777775</v>
      </c>
      <c r="O859" t="s">
        <v>19</v>
      </c>
    </row>
    <row r="860" spans="1:15" x14ac:dyDescent="0.25">
      <c r="A860" t="s">
        <v>743</v>
      </c>
      <c r="B860" t="s">
        <v>15</v>
      </c>
      <c r="C860" t="s">
        <v>225</v>
      </c>
      <c r="D860" t="s">
        <v>17</v>
      </c>
      <c r="E860" t="s">
        <v>18</v>
      </c>
      <c r="F860" t="s">
        <v>19</v>
      </c>
      <c r="G860" t="s">
        <v>20</v>
      </c>
      <c r="H860" t="s">
        <v>8</v>
      </c>
      <c r="I860" t="s">
        <v>8</v>
      </c>
      <c r="J860" t="s">
        <v>17</v>
      </c>
      <c r="K860" t="str">
        <f>"7168227120949"</f>
        <v>7168227120949</v>
      </c>
      <c r="L860" t="str">
        <f>"27MXX120WH"</f>
        <v>27MXX120WH</v>
      </c>
      <c r="M860" t="s">
        <v>21</v>
      </c>
      <c r="N860" s="1">
        <v>43805.738194444442</v>
      </c>
      <c r="O860" t="s">
        <v>19</v>
      </c>
    </row>
    <row r="861" spans="1:15" x14ac:dyDescent="0.25">
      <c r="A861" t="s">
        <v>744</v>
      </c>
      <c r="B861" t="s">
        <v>15</v>
      </c>
      <c r="C861" t="s">
        <v>225</v>
      </c>
      <c r="D861" t="s">
        <v>17</v>
      </c>
      <c r="E861" t="s">
        <v>18</v>
      </c>
      <c r="F861" t="s">
        <v>19</v>
      </c>
      <c r="G861" t="s">
        <v>20</v>
      </c>
      <c r="H861" t="s">
        <v>8</v>
      </c>
      <c r="I861" t="s">
        <v>8</v>
      </c>
      <c r="J861" t="s">
        <v>17</v>
      </c>
      <c r="K861" t="str">
        <f>"7168227120253"</f>
        <v>7168227120253</v>
      </c>
      <c r="L861" t="str">
        <f>"27MXX120BK"</f>
        <v>27MXX120BK</v>
      </c>
      <c r="M861" t="s">
        <v>21</v>
      </c>
      <c r="N861" s="1">
        <v>43805.828472222223</v>
      </c>
      <c r="O861" t="s">
        <v>19</v>
      </c>
    </row>
    <row r="862" spans="1:15" x14ac:dyDescent="0.25">
      <c r="A862" t="s">
        <v>745</v>
      </c>
      <c r="B862" t="s">
        <v>15</v>
      </c>
      <c r="C862" t="s">
        <v>225</v>
      </c>
      <c r="D862" t="s">
        <v>17</v>
      </c>
      <c r="E862" t="s">
        <v>18</v>
      </c>
      <c r="F862" t="s">
        <v>19</v>
      </c>
      <c r="G862" t="s">
        <v>20</v>
      </c>
      <c r="H862" t="s">
        <v>8</v>
      </c>
      <c r="I862" t="s">
        <v>8</v>
      </c>
      <c r="J862" t="s">
        <v>17</v>
      </c>
      <c r="K862" t="str">
        <f>"7168227120734"</f>
        <v>7168227120734</v>
      </c>
      <c r="L862" t="str">
        <f>"27MXX120RD"</f>
        <v>27MXX120RD</v>
      </c>
      <c r="M862" t="s">
        <v>21</v>
      </c>
      <c r="N862" s="1">
        <v>43805.740277777775</v>
      </c>
      <c r="O862" t="s">
        <v>19</v>
      </c>
    </row>
    <row r="863" spans="1:15" x14ac:dyDescent="0.25">
      <c r="A863" t="s">
        <v>746</v>
      </c>
      <c r="B863" t="s">
        <v>15</v>
      </c>
      <c r="C863" t="s">
        <v>225</v>
      </c>
      <c r="D863" t="s">
        <v>17</v>
      </c>
      <c r="E863" t="s">
        <v>18</v>
      </c>
      <c r="F863" t="s">
        <v>19</v>
      </c>
      <c r="G863" t="s">
        <v>20</v>
      </c>
      <c r="J863" t="s">
        <v>17</v>
      </c>
      <c r="K863" t="str">
        <f>"76030001"</f>
        <v>76030001</v>
      </c>
      <c r="L863" t="str">
        <f>"76030001"</f>
        <v>76030001</v>
      </c>
      <c r="M863" t="s">
        <v>75</v>
      </c>
      <c r="N863" s="1">
        <v>42872.847222222219</v>
      </c>
      <c r="O863" t="s">
        <v>19</v>
      </c>
    </row>
    <row r="864" spans="1:15" x14ac:dyDescent="0.25">
      <c r="A864" t="s">
        <v>747</v>
      </c>
      <c r="B864" t="s">
        <v>15</v>
      </c>
      <c r="C864" t="s">
        <v>221</v>
      </c>
      <c r="D864" t="s">
        <v>17</v>
      </c>
      <c r="E864" t="s">
        <v>18</v>
      </c>
      <c r="F864" t="s">
        <v>19</v>
      </c>
      <c r="G864" t="s">
        <v>20</v>
      </c>
      <c r="J864" t="s">
        <v>17</v>
      </c>
      <c r="K864" t="str">
        <f>"6931791200888"</f>
        <v>6931791200888</v>
      </c>
      <c r="L864" t="str">
        <f>"76030450"</f>
        <v>76030450</v>
      </c>
      <c r="M864" t="s">
        <v>75</v>
      </c>
      <c r="N864" s="1">
        <v>43236.855555555558</v>
      </c>
      <c r="O864" t="s">
        <v>19</v>
      </c>
    </row>
    <row r="865" spans="1:15" x14ac:dyDescent="0.25">
      <c r="A865" t="s">
        <v>748</v>
      </c>
      <c r="B865" t="s">
        <v>15</v>
      </c>
      <c r="C865" t="s">
        <v>221</v>
      </c>
      <c r="D865" t="s">
        <v>17</v>
      </c>
      <c r="E865" t="s">
        <v>18</v>
      </c>
      <c r="F865" t="s">
        <v>19</v>
      </c>
      <c r="G865" t="s">
        <v>20</v>
      </c>
      <c r="J865" t="s">
        <v>17</v>
      </c>
      <c r="K865" t="str">
        <f>"4578612782318"</f>
        <v>4578612782318</v>
      </c>
      <c r="L865" t="str">
        <f>"76352318"</f>
        <v>76352318</v>
      </c>
      <c r="M865" t="s">
        <v>75</v>
      </c>
      <c r="N865" s="1">
        <v>43097.754861111112</v>
      </c>
      <c r="O865" t="s">
        <v>19</v>
      </c>
    </row>
    <row r="866" spans="1:15" x14ac:dyDescent="0.25">
      <c r="A866" t="s">
        <v>749</v>
      </c>
      <c r="B866" t="s">
        <v>15</v>
      </c>
      <c r="C866" t="s">
        <v>30</v>
      </c>
      <c r="D866" t="s">
        <v>17</v>
      </c>
      <c r="E866" t="s">
        <v>18</v>
      </c>
      <c r="F866" t="s">
        <v>19</v>
      </c>
      <c r="G866" t="s">
        <v>20</v>
      </c>
      <c r="J866" t="s">
        <v>17</v>
      </c>
      <c r="K866" t="str">
        <f>"816479014642"</f>
        <v>816479014642</v>
      </c>
      <c r="L866" t="str">
        <f>"30350501"</f>
        <v>30350501</v>
      </c>
      <c r="M866" t="s">
        <v>84</v>
      </c>
      <c r="N866" s="1">
        <v>43350.658333333333</v>
      </c>
      <c r="O866" t="s">
        <v>19</v>
      </c>
    </row>
    <row r="867" spans="1:15" x14ac:dyDescent="0.25">
      <c r="A867" t="s">
        <v>750</v>
      </c>
      <c r="B867" t="s">
        <v>15</v>
      </c>
      <c r="C867" t="s">
        <v>221</v>
      </c>
      <c r="D867" t="s">
        <v>17</v>
      </c>
      <c r="E867" t="s">
        <v>18</v>
      </c>
      <c r="F867" t="s">
        <v>19</v>
      </c>
      <c r="G867" t="s">
        <v>20</v>
      </c>
      <c r="J867" t="s">
        <v>17</v>
      </c>
      <c r="K867" t="str">
        <f>"98009361"</f>
        <v>98009361</v>
      </c>
      <c r="L867" t="str">
        <f>"98009361"</f>
        <v>98009361</v>
      </c>
      <c r="M867" t="s">
        <v>21</v>
      </c>
      <c r="N867" s="1">
        <v>43839.695833333331</v>
      </c>
      <c r="O867" t="s">
        <v>19</v>
      </c>
    </row>
    <row r="868" spans="1:15" x14ac:dyDescent="0.25">
      <c r="A868" t="s">
        <v>751</v>
      </c>
      <c r="B868" t="s">
        <v>15</v>
      </c>
      <c r="C868" t="s">
        <v>225</v>
      </c>
      <c r="D868" t="s">
        <v>17</v>
      </c>
      <c r="E868" t="s">
        <v>18</v>
      </c>
      <c r="F868" t="s">
        <v>19</v>
      </c>
      <c r="G868" t="s">
        <v>20</v>
      </c>
      <c r="H868" t="s">
        <v>8</v>
      </c>
      <c r="I868" t="s">
        <v>8</v>
      </c>
      <c r="J868" t="s">
        <v>17</v>
      </c>
      <c r="K868" t="str">
        <f>"10002032"</f>
        <v>10002032</v>
      </c>
      <c r="L868" t="str">
        <f>"10002032"</f>
        <v>10002032</v>
      </c>
      <c r="M868" t="s">
        <v>21</v>
      </c>
      <c r="N868" s="1">
        <v>43546.625694444447</v>
      </c>
      <c r="O868" t="s">
        <v>19</v>
      </c>
    </row>
    <row r="869" spans="1:15" x14ac:dyDescent="0.25">
      <c r="A869" t="s">
        <v>752</v>
      </c>
      <c r="B869" t="s">
        <v>15</v>
      </c>
      <c r="C869" t="s">
        <v>30</v>
      </c>
      <c r="D869" t="s">
        <v>17</v>
      </c>
      <c r="E869" t="s">
        <v>18</v>
      </c>
      <c r="F869" t="s">
        <v>19</v>
      </c>
      <c r="G869" t="s">
        <v>20</v>
      </c>
      <c r="J869" t="s">
        <v>17</v>
      </c>
      <c r="K869" t="str">
        <f>"66001643"</f>
        <v>66001643</v>
      </c>
      <c r="L869" t="str">
        <f>"66001643"</f>
        <v>66001643</v>
      </c>
      <c r="M869" t="s">
        <v>75</v>
      </c>
      <c r="N869" s="1">
        <v>42872.847222222219</v>
      </c>
      <c r="O869" t="s">
        <v>19</v>
      </c>
    </row>
    <row r="870" spans="1:15" x14ac:dyDescent="0.25">
      <c r="A870" t="s">
        <v>753</v>
      </c>
      <c r="B870" t="s">
        <v>15</v>
      </c>
      <c r="C870" t="s">
        <v>221</v>
      </c>
      <c r="D870" t="s">
        <v>17</v>
      </c>
      <c r="E870" t="s">
        <v>18</v>
      </c>
      <c r="F870" t="s">
        <v>19</v>
      </c>
      <c r="G870" t="s">
        <v>20</v>
      </c>
      <c r="J870" t="s">
        <v>17</v>
      </c>
      <c r="K870" t="str">
        <f>"6930620461087"</f>
        <v>6930620461087</v>
      </c>
      <c r="L870" t="str">
        <f>"10119701"</f>
        <v>10119701</v>
      </c>
      <c r="M870" t="s">
        <v>21</v>
      </c>
      <c r="N870" s="1">
        <v>43328.675000000003</v>
      </c>
      <c r="O870" t="s">
        <v>19</v>
      </c>
    </row>
    <row r="871" spans="1:15" x14ac:dyDescent="0.25">
      <c r="A871" t="s">
        <v>754</v>
      </c>
      <c r="B871" t="s">
        <v>15</v>
      </c>
      <c r="C871" t="s">
        <v>225</v>
      </c>
      <c r="D871" t="s">
        <v>17</v>
      </c>
      <c r="E871" t="s">
        <v>18</v>
      </c>
      <c r="F871" t="s">
        <v>19</v>
      </c>
      <c r="G871" t="s">
        <v>20</v>
      </c>
      <c r="H871" t="s">
        <v>8</v>
      </c>
      <c r="I871" t="s">
        <v>8</v>
      </c>
      <c r="J871" t="s">
        <v>17</v>
      </c>
      <c r="K871" t="str">
        <f>"6806135402320"</f>
        <v>6806135402320</v>
      </c>
      <c r="L871" t="str">
        <f>"10016751"</f>
        <v>10016751</v>
      </c>
      <c r="M871" t="s">
        <v>21</v>
      </c>
      <c r="N871" s="1">
        <v>43532.850694444445</v>
      </c>
      <c r="O871" t="s">
        <v>19</v>
      </c>
    </row>
    <row r="872" spans="1:15" x14ac:dyDescent="0.25">
      <c r="A872" t="s">
        <v>755</v>
      </c>
      <c r="B872" t="s">
        <v>15</v>
      </c>
      <c r="C872" t="s">
        <v>225</v>
      </c>
      <c r="D872" t="s">
        <v>17</v>
      </c>
      <c r="E872" t="s">
        <v>18</v>
      </c>
      <c r="F872" t="s">
        <v>19</v>
      </c>
      <c r="G872" t="s">
        <v>20</v>
      </c>
      <c r="H872" t="s">
        <v>8</v>
      </c>
      <c r="I872" t="s">
        <v>8</v>
      </c>
      <c r="J872" t="s">
        <v>17</v>
      </c>
      <c r="K872" t="str">
        <f>"4710268238089"</f>
        <v>4710268238089</v>
      </c>
      <c r="L872" t="str">
        <f>"29GENHS400"</f>
        <v>29GENHS400</v>
      </c>
      <c r="M872" t="s">
        <v>21</v>
      </c>
      <c r="N872" s="1">
        <v>43994.856249999997</v>
      </c>
      <c r="O872" t="s">
        <v>19</v>
      </c>
    </row>
    <row r="873" spans="1:15" x14ac:dyDescent="0.25">
      <c r="A873" t="s">
        <v>756</v>
      </c>
      <c r="B873" t="s">
        <v>15</v>
      </c>
      <c r="C873" t="s">
        <v>64</v>
      </c>
      <c r="D873" t="s">
        <v>17</v>
      </c>
      <c r="E873" t="s">
        <v>18</v>
      </c>
      <c r="F873" t="s">
        <v>19</v>
      </c>
      <c r="G873" t="s">
        <v>20</v>
      </c>
      <c r="J873" t="s">
        <v>17</v>
      </c>
      <c r="K873" t="str">
        <f>"4710268245674"</f>
        <v>4710268245674</v>
      </c>
      <c r="L873" t="str">
        <f>"92930505"</f>
        <v>92930505</v>
      </c>
      <c r="M873" t="s">
        <v>21</v>
      </c>
      <c r="N873" s="1">
        <v>44344.685416666667</v>
      </c>
      <c r="O873" t="s">
        <v>19</v>
      </c>
    </row>
    <row r="874" spans="1:15" x14ac:dyDescent="0.25">
      <c r="A874" t="s">
        <v>757</v>
      </c>
      <c r="B874" t="s">
        <v>15</v>
      </c>
      <c r="C874" t="s">
        <v>225</v>
      </c>
      <c r="D874" t="s">
        <v>17</v>
      </c>
      <c r="E874" t="s">
        <v>18</v>
      </c>
      <c r="F874" t="s">
        <v>19</v>
      </c>
      <c r="G874" t="s">
        <v>20</v>
      </c>
      <c r="H874" t="s">
        <v>8</v>
      </c>
      <c r="I874" t="s">
        <v>8</v>
      </c>
      <c r="J874" t="s">
        <v>17</v>
      </c>
      <c r="K874" t="str">
        <f>"091163235439"</f>
        <v>091163235439</v>
      </c>
      <c r="L874" t="str">
        <f>"98030200"</f>
        <v>98030200</v>
      </c>
      <c r="M874" t="s">
        <v>21</v>
      </c>
      <c r="N874" s="1">
        <v>43313.883333333331</v>
      </c>
      <c r="O874" t="s">
        <v>19</v>
      </c>
    </row>
    <row r="875" spans="1:15" x14ac:dyDescent="0.25">
      <c r="A875" t="s">
        <v>758</v>
      </c>
      <c r="B875" t="s">
        <v>15</v>
      </c>
      <c r="C875" t="s">
        <v>221</v>
      </c>
      <c r="D875" t="s">
        <v>17</v>
      </c>
      <c r="E875" t="s">
        <v>18</v>
      </c>
      <c r="F875" t="s">
        <v>19</v>
      </c>
      <c r="G875" t="s">
        <v>20</v>
      </c>
      <c r="J875" t="s">
        <v>17</v>
      </c>
      <c r="K875" t="str">
        <f>"7858816082283"</f>
        <v>7858816082283</v>
      </c>
      <c r="L875" t="str">
        <f>"87938228"</f>
        <v>87938228</v>
      </c>
      <c r="M875" t="s">
        <v>21</v>
      </c>
      <c r="N875" s="1">
        <v>44404.73333333333</v>
      </c>
      <c r="O875" t="s">
        <v>19</v>
      </c>
    </row>
    <row r="876" spans="1:15" x14ac:dyDescent="0.25">
      <c r="A876" t="s">
        <v>759</v>
      </c>
      <c r="B876" t="s">
        <v>15</v>
      </c>
      <c r="C876" t="s">
        <v>64</v>
      </c>
      <c r="D876" t="s">
        <v>17</v>
      </c>
      <c r="E876" t="s">
        <v>18</v>
      </c>
      <c r="F876" t="s">
        <v>19</v>
      </c>
      <c r="G876" t="s">
        <v>20</v>
      </c>
      <c r="J876" t="s">
        <v>17</v>
      </c>
      <c r="K876" t="str">
        <f>"6956398302100"</f>
        <v>6956398302100</v>
      </c>
      <c r="L876" t="str">
        <f>"40930520"</f>
        <v>40930520</v>
      </c>
      <c r="M876" t="s">
        <v>21</v>
      </c>
      <c r="N876" s="1">
        <v>44271.74722222222</v>
      </c>
      <c r="O876" t="s">
        <v>19</v>
      </c>
    </row>
    <row r="877" spans="1:15" x14ac:dyDescent="0.25">
      <c r="A877" t="s">
        <v>760</v>
      </c>
      <c r="B877" t="s">
        <v>15</v>
      </c>
      <c r="C877" t="s">
        <v>225</v>
      </c>
      <c r="D877" t="s">
        <v>17</v>
      </c>
      <c r="E877" t="s">
        <v>18</v>
      </c>
      <c r="F877" t="s">
        <v>19</v>
      </c>
      <c r="G877" t="s">
        <v>20</v>
      </c>
      <c r="H877" t="s">
        <v>8</v>
      </c>
      <c r="I877" t="s">
        <v>8</v>
      </c>
      <c r="J877" t="s">
        <v>17</v>
      </c>
      <c r="K877" t="str">
        <f>"798302167513"</f>
        <v>798302167513</v>
      </c>
      <c r="L877" t="str">
        <f>"92030220"</f>
        <v>92030220</v>
      </c>
      <c r="M877" t="s">
        <v>21</v>
      </c>
      <c r="N877" s="1">
        <v>43746.87777777778</v>
      </c>
      <c r="O877" t="s">
        <v>19</v>
      </c>
    </row>
    <row r="878" spans="1:15" x14ac:dyDescent="0.25">
      <c r="A878" t="s">
        <v>761</v>
      </c>
      <c r="B878" t="s">
        <v>15</v>
      </c>
      <c r="C878" t="s">
        <v>225</v>
      </c>
      <c r="D878" t="s">
        <v>17</v>
      </c>
      <c r="E878" t="s">
        <v>18</v>
      </c>
      <c r="F878" t="s">
        <v>19</v>
      </c>
      <c r="G878" t="s">
        <v>20</v>
      </c>
      <c r="J878" t="s">
        <v>17</v>
      </c>
      <c r="K878" t="str">
        <f>"42400020"</f>
        <v>42400020</v>
      </c>
      <c r="L878" t="str">
        <f>"42400020"</f>
        <v>42400020</v>
      </c>
      <c r="M878" t="s">
        <v>75</v>
      </c>
      <c r="N878" s="1">
        <v>42872.839583333334</v>
      </c>
      <c r="O878" t="s">
        <v>19</v>
      </c>
    </row>
    <row r="879" spans="1:15" x14ac:dyDescent="0.25">
      <c r="A879" t="s">
        <v>762</v>
      </c>
      <c r="B879" t="s">
        <v>15</v>
      </c>
      <c r="C879" t="s">
        <v>225</v>
      </c>
      <c r="D879" t="s">
        <v>17</v>
      </c>
      <c r="E879" t="s">
        <v>18</v>
      </c>
      <c r="F879" t="s">
        <v>19</v>
      </c>
      <c r="G879" t="s">
        <v>20</v>
      </c>
      <c r="J879" t="s">
        <v>17</v>
      </c>
      <c r="K879" t="str">
        <f>"33030716"</f>
        <v>33030716</v>
      </c>
      <c r="L879" t="str">
        <f>"33030716"</f>
        <v>33030716</v>
      </c>
      <c r="M879" t="s">
        <v>75</v>
      </c>
      <c r="N879" s="1">
        <v>43244.718055555553</v>
      </c>
      <c r="O879" t="s">
        <v>19</v>
      </c>
    </row>
    <row r="880" spans="1:15" x14ac:dyDescent="0.25">
      <c r="A880" t="s">
        <v>763</v>
      </c>
      <c r="B880" t="s">
        <v>15</v>
      </c>
      <c r="C880" t="s">
        <v>225</v>
      </c>
      <c r="D880" t="s">
        <v>17</v>
      </c>
      <c r="E880" t="s">
        <v>18</v>
      </c>
      <c r="F880" t="s">
        <v>19</v>
      </c>
      <c r="G880" t="s">
        <v>20</v>
      </c>
      <c r="J880" t="s">
        <v>17</v>
      </c>
      <c r="K880" t="str">
        <f>"87000806"</f>
        <v>87000806</v>
      </c>
      <c r="L880" t="str">
        <f>"87000806"</f>
        <v>87000806</v>
      </c>
      <c r="M880" t="s">
        <v>75</v>
      </c>
      <c r="N880" s="1">
        <v>42872.847222222219</v>
      </c>
      <c r="O880" t="s">
        <v>19</v>
      </c>
    </row>
    <row r="881" spans="1:15" x14ac:dyDescent="0.25">
      <c r="A881" t="s">
        <v>764</v>
      </c>
      <c r="B881" t="s">
        <v>15</v>
      </c>
      <c r="C881" t="s">
        <v>225</v>
      </c>
      <c r="D881" t="s">
        <v>17</v>
      </c>
      <c r="E881" t="s">
        <v>18</v>
      </c>
      <c r="F881" t="s">
        <v>19</v>
      </c>
      <c r="G881" t="s">
        <v>20</v>
      </c>
      <c r="J881" t="s">
        <v>17</v>
      </c>
      <c r="K881" t="str">
        <f>"66031616"</f>
        <v>66031616</v>
      </c>
      <c r="L881" t="str">
        <f>"66031616"</f>
        <v>66031616</v>
      </c>
      <c r="M881" t="s">
        <v>75</v>
      </c>
      <c r="N881" s="1">
        <v>42872.847222222219</v>
      </c>
      <c r="O881" t="s">
        <v>19</v>
      </c>
    </row>
    <row r="882" spans="1:15" x14ac:dyDescent="0.25">
      <c r="A882" t="s">
        <v>765</v>
      </c>
      <c r="B882" t="s">
        <v>15</v>
      </c>
      <c r="C882" t="s">
        <v>225</v>
      </c>
      <c r="D882" t="s">
        <v>17</v>
      </c>
      <c r="E882" t="s">
        <v>18</v>
      </c>
      <c r="F882" t="s">
        <v>19</v>
      </c>
      <c r="G882" t="s">
        <v>20</v>
      </c>
      <c r="J882" t="s">
        <v>17</v>
      </c>
      <c r="K882" t="str">
        <f>"5025232789511"</f>
        <v>5025232789511</v>
      </c>
      <c r="L882" t="str">
        <f>"25033450"</f>
        <v>25033450</v>
      </c>
      <c r="M882" t="s">
        <v>75</v>
      </c>
      <c r="N882" s="1">
        <v>42872.839583333334</v>
      </c>
      <c r="O882" t="s">
        <v>19</v>
      </c>
    </row>
    <row r="883" spans="1:15" x14ac:dyDescent="0.25">
      <c r="A883" t="s">
        <v>765</v>
      </c>
      <c r="B883" t="s">
        <v>15</v>
      </c>
      <c r="C883" t="s">
        <v>225</v>
      </c>
      <c r="D883" t="s">
        <v>17</v>
      </c>
      <c r="E883" t="s">
        <v>18</v>
      </c>
      <c r="F883" t="s">
        <v>19</v>
      </c>
      <c r="G883" t="s">
        <v>20</v>
      </c>
      <c r="J883" t="s">
        <v>17</v>
      </c>
      <c r="K883" t="str">
        <f>"25469077"</f>
        <v>25469077</v>
      </c>
      <c r="L883" t="str">
        <f>"25469077"</f>
        <v>25469077</v>
      </c>
      <c r="M883" t="s">
        <v>75</v>
      </c>
      <c r="N883" s="1">
        <v>42872.839583333334</v>
      </c>
      <c r="O883" t="s">
        <v>19</v>
      </c>
    </row>
    <row r="884" spans="1:15" x14ac:dyDescent="0.25">
      <c r="A884" t="s">
        <v>766</v>
      </c>
      <c r="B884" t="s">
        <v>15</v>
      </c>
      <c r="C884" t="s">
        <v>225</v>
      </c>
      <c r="D884" t="s">
        <v>17</v>
      </c>
      <c r="E884" t="s">
        <v>18</v>
      </c>
      <c r="F884" t="s">
        <v>19</v>
      </c>
      <c r="G884" t="s">
        <v>20</v>
      </c>
      <c r="H884" t="s">
        <v>767</v>
      </c>
      <c r="J884" t="s">
        <v>17</v>
      </c>
      <c r="K884" t="str">
        <f>"98030125"</f>
        <v>98030125</v>
      </c>
      <c r="L884" t="str">
        <f>"98030125"</f>
        <v>98030125</v>
      </c>
      <c r="M884" t="s">
        <v>75</v>
      </c>
      <c r="N884" s="1">
        <v>43216.651388888888</v>
      </c>
      <c r="O884" t="s">
        <v>19</v>
      </c>
    </row>
    <row r="885" spans="1:15" x14ac:dyDescent="0.25">
      <c r="A885" t="s">
        <v>768</v>
      </c>
      <c r="B885" t="s">
        <v>15</v>
      </c>
      <c r="C885" t="s">
        <v>225</v>
      </c>
      <c r="D885" t="s">
        <v>17</v>
      </c>
      <c r="E885" t="s">
        <v>18</v>
      </c>
      <c r="F885" t="s">
        <v>19</v>
      </c>
      <c r="G885" t="s">
        <v>20</v>
      </c>
      <c r="H885" t="s">
        <v>8</v>
      </c>
      <c r="I885" t="s">
        <v>8</v>
      </c>
      <c r="J885" t="s">
        <v>17</v>
      </c>
      <c r="K885" t="str">
        <f>"98038125"</f>
        <v>98038125</v>
      </c>
      <c r="L885" t="str">
        <f>"98038125"</f>
        <v>98038125</v>
      </c>
      <c r="M885" t="s">
        <v>21</v>
      </c>
      <c r="N885" s="1">
        <v>43013.857638888891</v>
      </c>
      <c r="O885" t="s">
        <v>19</v>
      </c>
    </row>
    <row r="886" spans="1:15" x14ac:dyDescent="0.25">
      <c r="A886" t="s">
        <v>768</v>
      </c>
      <c r="B886" t="s">
        <v>15</v>
      </c>
      <c r="C886" t="s">
        <v>225</v>
      </c>
      <c r="D886" t="s">
        <v>17</v>
      </c>
      <c r="E886" t="s">
        <v>18</v>
      </c>
      <c r="F886" t="s">
        <v>19</v>
      </c>
      <c r="G886" t="s">
        <v>20</v>
      </c>
      <c r="H886" t="s">
        <v>8</v>
      </c>
      <c r="I886" t="s">
        <v>8</v>
      </c>
      <c r="J886" t="s">
        <v>17</v>
      </c>
      <c r="K886" t="str">
        <f>"885170113244"</f>
        <v>885170113244</v>
      </c>
      <c r="L886" t="str">
        <f>"25031251"</f>
        <v>25031251</v>
      </c>
      <c r="M886" t="s">
        <v>21</v>
      </c>
      <c r="N886" s="1">
        <v>43889.626388888886</v>
      </c>
      <c r="O886" t="s">
        <v>19</v>
      </c>
    </row>
    <row r="887" spans="1:15" x14ac:dyDescent="0.25">
      <c r="A887" t="s">
        <v>769</v>
      </c>
      <c r="B887" t="s">
        <v>15</v>
      </c>
      <c r="C887" t="s">
        <v>225</v>
      </c>
      <c r="D887" t="s">
        <v>17</v>
      </c>
      <c r="E887" t="s">
        <v>18</v>
      </c>
      <c r="F887" t="s">
        <v>19</v>
      </c>
      <c r="G887" t="s">
        <v>20</v>
      </c>
      <c r="J887" t="s">
        <v>17</v>
      </c>
      <c r="K887" t="str">
        <f>"25030125BLK"</f>
        <v>25030125BLK</v>
      </c>
      <c r="L887" t="str">
        <f>"25030125BLK"</f>
        <v>25030125BLK</v>
      </c>
      <c r="M887" t="s">
        <v>84</v>
      </c>
      <c r="N887" s="1">
        <v>42872.839583333334</v>
      </c>
      <c r="O887" t="s">
        <v>19</v>
      </c>
    </row>
    <row r="888" spans="1:15" x14ac:dyDescent="0.25">
      <c r="A888" t="s">
        <v>769</v>
      </c>
      <c r="B888" t="s">
        <v>15</v>
      </c>
      <c r="C888" t="s">
        <v>225</v>
      </c>
      <c r="D888" t="s">
        <v>17</v>
      </c>
      <c r="E888" t="s">
        <v>18</v>
      </c>
      <c r="F888" t="s">
        <v>19</v>
      </c>
      <c r="G888" t="s">
        <v>20</v>
      </c>
      <c r="H888" t="s">
        <v>8</v>
      </c>
      <c r="I888" t="s">
        <v>8</v>
      </c>
      <c r="J888" t="s">
        <v>17</v>
      </c>
      <c r="K888" t="str">
        <f>"98033134"</f>
        <v>98033134</v>
      </c>
      <c r="L888" t="str">
        <f>"98033134"</f>
        <v>98033134</v>
      </c>
      <c r="M888" t="s">
        <v>21</v>
      </c>
      <c r="N888" s="1">
        <v>43279.947222222225</v>
      </c>
      <c r="O888" t="s">
        <v>19</v>
      </c>
    </row>
    <row r="889" spans="1:15" x14ac:dyDescent="0.25">
      <c r="A889" t="s">
        <v>769</v>
      </c>
      <c r="B889" t="s">
        <v>15</v>
      </c>
      <c r="C889" t="s">
        <v>225</v>
      </c>
      <c r="D889" t="s">
        <v>17</v>
      </c>
      <c r="E889" t="s">
        <v>18</v>
      </c>
      <c r="F889" t="s">
        <v>19</v>
      </c>
      <c r="G889" t="s">
        <v>20</v>
      </c>
      <c r="H889" t="s">
        <v>8</v>
      </c>
      <c r="I889" t="s">
        <v>8</v>
      </c>
      <c r="J889" t="s">
        <v>17</v>
      </c>
      <c r="K889" t="str">
        <f>"885170083134"</f>
        <v>885170083134</v>
      </c>
      <c r="L889" t="str">
        <f>"25030125"</f>
        <v>25030125</v>
      </c>
      <c r="M889" t="s">
        <v>21</v>
      </c>
      <c r="N889" s="1">
        <v>43889.627083333333</v>
      </c>
      <c r="O889" t="s">
        <v>19</v>
      </c>
    </row>
    <row r="890" spans="1:15" x14ac:dyDescent="0.25">
      <c r="A890" t="s">
        <v>770</v>
      </c>
      <c r="B890" t="s">
        <v>15</v>
      </c>
      <c r="C890" t="s">
        <v>225</v>
      </c>
      <c r="D890" t="s">
        <v>17</v>
      </c>
      <c r="E890" t="s">
        <v>18</v>
      </c>
      <c r="F890" t="s">
        <v>19</v>
      </c>
      <c r="G890" t="s">
        <v>20</v>
      </c>
      <c r="H890" t="s">
        <v>8</v>
      </c>
      <c r="I890" t="s">
        <v>8</v>
      </c>
      <c r="J890" t="s">
        <v>17</v>
      </c>
      <c r="K890" t="str">
        <f>"10112232"</f>
        <v>10112232</v>
      </c>
      <c r="L890" t="str">
        <f>"10112232"</f>
        <v>10112232</v>
      </c>
      <c r="M890" t="s">
        <v>21</v>
      </c>
      <c r="N890" s="1">
        <v>44254.79791666667</v>
      </c>
      <c r="O890" t="s">
        <v>19</v>
      </c>
    </row>
    <row r="891" spans="1:15" x14ac:dyDescent="0.25">
      <c r="A891" t="s">
        <v>771</v>
      </c>
      <c r="B891" t="s">
        <v>15</v>
      </c>
      <c r="C891" t="s">
        <v>225</v>
      </c>
      <c r="D891" t="s">
        <v>17</v>
      </c>
      <c r="E891" t="s">
        <v>18</v>
      </c>
      <c r="F891" t="s">
        <v>19</v>
      </c>
      <c r="G891" t="s">
        <v>20</v>
      </c>
      <c r="H891" t="s">
        <v>8</v>
      </c>
      <c r="I891" t="s">
        <v>8</v>
      </c>
      <c r="J891" t="s">
        <v>17</v>
      </c>
      <c r="K891" t="str">
        <f>"98033282"</f>
        <v>98033282</v>
      </c>
      <c r="L891" t="str">
        <f>"98033282"</f>
        <v>98033282</v>
      </c>
      <c r="M891" t="s">
        <v>21</v>
      </c>
      <c r="N891" s="1">
        <v>43013.609027777777</v>
      </c>
      <c r="O891" t="s">
        <v>19</v>
      </c>
    </row>
    <row r="892" spans="1:15" x14ac:dyDescent="0.25">
      <c r="A892" t="s">
        <v>771</v>
      </c>
      <c r="B892" t="s">
        <v>15</v>
      </c>
      <c r="C892" t="s">
        <v>225</v>
      </c>
      <c r="D892" t="s">
        <v>17</v>
      </c>
      <c r="E892" t="s">
        <v>18</v>
      </c>
      <c r="F892" t="s">
        <v>19</v>
      </c>
      <c r="G892" t="s">
        <v>20</v>
      </c>
      <c r="H892" t="s">
        <v>8</v>
      </c>
      <c r="I892" t="s">
        <v>8</v>
      </c>
      <c r="J892" t="s">
        <v>17</v>
      </c>
      <c r="K892" t="str">
        <f>"885170113282"</f>
        <v>885170113282</v>
      </c>
      <c r="L892" t="str">
        <f>"25031252"</f>
        <v>25031252</v>
      </c>
      <c r="M892" t="s">
        <v>21</v>
      </c>
      <c r="N892" s="1">
        <v>43889.627083333333</v>
      </c>
      <c r="O892" t="s">
        <v>19</v>
      </c>
    </row>
    <row r="893" spans="1:15" x14ac:dyDescent="0.25">
      <c r="A893" t="s">
        <v>772</v>
      </c>
      <c r="B893" t="s">
        <v>15</v>
      </c>
      <c r="C893" t="s">
        <v>225</v>
      </c>
      <c r="D893" t="s">
        <v>17</v>
      </c>
      <c r="E893" t="s">
        <v>18</v>
      </c>
      <c r="F893" t="s">
        <v>19</v>
      </c>
      <c r="G893" t="s">
        <v>20</v>
      </c>
      <c r="H893" t="s">
        <v>8</v>
      </c>
      <c r="I893" t="s">
        <v>8</v>
      </c>
      <c r="J893" t="s">
        <v>17</v>
      </c>
      <c r="K893" t="str">
        <f>"98463299"</f>
        <v>98463299</v>
      </c>
      <c r="L893" t="str">
        <f>"98463299"</f>
        <v>98463299</v>
      </c>
      <c r="M893" t="s">
        <v>21</v>
      </c>
      <c r="N893" s="1">
        <v>42872.839583333334</v>
      </c>
      <c r="O893" t="s">
        <v>19</v>
      </c>
    </row>
    <row r="894" spans="1:15" x14ac:dyDescent="0.25">
      <c r="A894" t="s">
        <v>772</v>
      </c>
      <c r="B894" t="s">
        <v>15</v>
      </c>
      <c r="C894" t="s">
        <v>225</v>
      </c>
      <c r="D894" t="s">
        <v>17</v>
      </c>
      <c r="E894" t="s">
        <v>18</v>
      </c>
      <c r="F894" t="s">
        <v>19</v>
      </c>
      <c r="G894" t="s">
        <v>20</v>
      </c>
      <c r="H894" t="s">
        <v>8</v>
      </c>
      <c r="I894" t="s">
        <v>8</v>
      </c>
      <c r="J894" t="s">
        <v>17</v>
      </c>
      <c r="K894" t="str">
        <f>"885170113299"</f>
        <v>885170113299</v>
      </c>
      <c r="L894" t="str">
        <f>"25031250"</f>
        <v>25031250</v>
      </c>
      <c r="M894" t="s">
        <v>21</v>
      </c>
      <c r="N894" s="1">
        <v>43889.625694444447</v>
      </c>
      <c r="O894" t="s">
        <v>19</v>
      </c>
    </row>
    <row r="895" spans="1:15" x14ac:dyDescent="0.25">
      <c r="A895" t="s">
        <v>773</v>
      </c>
      <c r="B895" t="s">
        <v>15</v>
      </c>
      <c r="C895" t="s">
        <v>225</v>
      </c>
      <c r="D895" t="s">
        <v>17</v>
      </c>
      <c r="E895" t="s">
        <v>18</v>
      </c>
      <c r="F895" t="s">
        <v>19</v>
      </c>
      <c r="G895" t="s">
        <v>20</v>
      </c>
      <c r="J895" t="s">
        <v>17</v>
      </c>
      <c r="K895" t="str">
        <f>"25030125WH"</f>
        <v>25030125WH</v>
      </c>
      <c r="L895" t="str">
        <f>"25030125WH"</f>
        <v>25030125WH</v>
      </c>
      <c r="M895" t="s">
        <v>84</v>
      </c>
      <c r="N895" s="1">
        <v>43013.800694444442</v>
      </c>
      <c r="O895" t="s">
        <v>19</v>
      </c>
    </row>
    <row r="896" spans="1:15" x14ac:dyDescent="0.25">
      <c r="A896" t="s">
        <v>773</v>
      </c>
      <c r="B896" t="s">
        <v>15</v>
      </c>
      <c r="C896" t="s">
        <v>225</v>
      </c>
      <c r="D896" t="s">
        <v>17</v>
      </c>
      <c r="E896" t="s">
        <v>18</v>
      </c>
      <c r="F896" t="s">
        <v>19</v>
      </c>
      <c r="G896" t="s">
        <v>20</v>
      </c>
      <c r="H896" t="s">
        <v>8</v>
      </c>
      <c r="I896" t="s">
        <v>8</v>
      </c>
      <c r="J896" t="s">
        <v>17</v>
      </c>
      <c r="K896" t="str">
        <f>"885170114401"</f>
        <v>885170114401</v>
      </c>
      <c r="L896" t="str">
        <f>"25034401"</f>
        <v>25034401</v>
      </c>
      <c r="M896" t="s">
        <v>21</v>
      </c>
      <c r="N896" s="1">
        <v>43404.617361111108</v>
      </c>
      <c r="O896" t="s">
        <v>19</v>
      </c>
    </row>
    <row r="897" spans="1:15" x14ac:dyDescent="0.25">
      <c r="A897" t="s">
        <v>774</v>
      </c>
      <c r="B897" t="s">
        <v>15</v>
      </c>
      <c r="C897" t="s">
        <v>225</v>
      </c>
      <c r="D897" t="s">
        <v>17</v>
      </c>
      <c r="E897" t="s">
        <v>18</v>
      </c>
      <c r="F897" t="s">
        <v>19</v>
      </c>
      <c r="G897" t="s">
        <v>20</v>
      </c>
      <c r="J897" t="s">
        <v>17</v>
      </c>
      <c r="K897" t="str">
        <f>"5025232655762"</f>
        <v>5025232655762</v>
      </c>
      <c r="L897" t="str">
        <f>"25033440"</f>
        <v>25033440</v>
      </c>
      <c r="M897" t="s">
        <v>75</v>
      </c>
      <c r="N897" s="1">
        <v>42872.839583333334</v>
      </c>
      <c r="O897" t="s">
        <v>19</v>
      </c>
    </row>
    <row r="898" spans="1:15" x14ac:dyDescent="0.25">
      <c r="A898" t="s">
        <v>775</v>
      </c>
      <c r="B898" t="s">
        <v>15</v>
      </c>
      <c r="C898" t="s">
        <v>225</v>
      </c>
      <c r="D898" t="s">
        <v>17</v>
      </c>
      <c r="E898" t="s">
        <v>18</v>
      </c>
      <c r="F898" t="s">
        <v>19</v>
      </c>
      <c r="G898" t="s">
        <v>20</v>
      </c>
      <c r="J898" t="s">
        <v>17</v>
      </c>
      <c r="K898" t="str">
        <f>"25033434"</f>
        <v>25033434</v>
      </c>
      <c r="L898" t="str">
        <f>"25033434"</f>
        <v>25033434</v>
      </c>
      <c r="M898" t="s">
        <v>75</v>
      </c>
      <c r="N898" s="1">
        <v>42872.839583333334</v>
      </c>
      <c r="O898" t="s">
        <v>19</v>
      </c>
    </row>
    <row r="899" spans="1:15" x14ac:dyDescent="0.25">
      <c r="A899" t="s">
        <v>776</v>
      </c>
      <c r="B899" t="s">
        <v>15</v>
      </c>
      <c r="C899" t="s">
        <v>225</v>
      </c>
      <c r="D899" t="s">
        <v>17</v>
      </c>
      <c r="E899" t="s">
        <v>18</v>
      </c>
      <c r="F899" t="s">
        <v>19</v>
      </c>
      <c r="G899" t="s">
        <v>20</v>
      </c>
      <c r="J899" t="s">
        <v>17</v>
      </c>
      <c r="K899" t="str">
        <f>"25460046"</f>
        <v>25460046</v>
      </c>
      <c r="L899" t="str">
        <f>"25460046"</f>
        <v>25460046</v>
      </c>
      <c r="M899" t="s">
        <v>75</v>
      </c>
      <c r="N899" s="1">
        <v>42872.839583333334</v>
      </c>
      <c r="O899" t="s">
        <v>19</v>
      </c>
    </row>
    <row r="900" spans="1:15" x14ac:dyDescent="0.25">
      <c r="A900" t="s">
        <v>777</v>
      </c>
      <c r="B900" t="s">
        <v>15</v>
      </c>
      <c r="C900" t="s">
        <v>225</v>
      </c>
      <c r="D900" t="s">
        <v>17</v>
      </c>
      <c r="E900" t="s">
        <v>18</v>
      </c>
      <c r="F900" t="s">
        <v>19</v>
      </c>
      <c r="G900" t="s">
        <v>20</v>
      </c>
      <c r="J900" t="s">
        <v>17</v>
      </c>
      <c r="K900" t="str">
        <f>"25460021"</f>
        <v>25460021</v>
      </c>
      <c r="L900" t="str">
        <f>"25460021"</f>
        <v>25460021</v>
      </c>
      <c r="M900" t="s">
        <v>75</v>
      </c>
      <c r="N900" s="1">
        <v>42872.839583333334</v>
      </c>
      <c r="O900" t="s">
        <v>19</v>
      </c>
    </row>
    <row r="901" spans="1:15" x14ac:dyDescent="0.25">
      <c r="A901" t="s">
        <v>777</v>
      </c>
      <c r="B901" t="s">
        <v>15</v>
      </c>
      <c r="C901" t="s">
        <v>225</v>
      </c>
      <c r="D901" t="s">
        <v>17</v>
      </c>
      <c r="E901" t="s">
        <v>18</v>
      </c>
      <c r="F901" t="s">
        <v>19</v>
      </c>
      <c r="G901" t="s">
        <v>20</v>
      </c>
      <c r="J901" t="s">
        <v>17</v>
      </c>
      <c r="K901" t="str">
        <f>"66031621"</f>
        <v>66031621</v>
      </c>
      <c r="L901" t="str">
        <f>"66031621"</f>
        <v>66031621</v>
      </c>
      <c r="M901" t="s">
        <v>75</v>
      </c>
      <c r="N901" s="1">
        <v>42872.847222222219</v>
      </c>
      <c r="O901" t="s">
        <v>19</v>
      </c>
    </row>
    <row r="902" spans="1:15" x14ac:dyDescent="0.25">
      <c r="A902" t="s">
        <v>778</v>
      </c>
      <c r="B902" t="s">
        <v>15</v>
      </c>
      <c r="C902" t="s">
        <v>225</v>
      </c>
      <c r="D902" t="s">
        <v>17</v>
      </c>
      <c r="E902" t="s">
        <v>18</v>
      </c>
      <c r="F902" t="s">
        <v>19</v>
      </c>
      <c r="G902" t="s">
        <v>20</v>
      </c>
      <c r="H902" t="s">
        <v>8</v>
      </c>
      <c r="I902" t="s">
        <v>8</v>
      </c>
      <c r="J902" t="s">
        <v>17</v>
      </c>
      <c r="K902" t="str">
        <f>"5025232846696"</f>
        <v>5025232846696</v>
      </c>
      <c r="L902" t="str">
        <f>"25030100"</f>
        <v>25030100</v>
      </c>
      <c r="M902" t="s">
        <v>21</v>
      </c>
      <c r="N902" s="1">
        <v>42872.839583333334</v>
      </c>
      <c r="O902" t="s">
        <v>19</v>
      </c>
    </row>
    <row r="903" spans="1:15" x14ac:dyDescent="0.25">
      <c r="A903" t="s">
        <v>779</v>
      </c>
      <c r="B903" t="s">
        <v>15</v>
      </c>
      <c r="C903" t="s">
        <v>225</v>
      </c>
      <c r="D903" t="s">
        <v>17</v>
      </c>
      <c r="E903" t="s">
        <v>18</v>
      </c>
      <c r="F903" t="s">
        <v>19</v>
      </c>
      <c r="G903" t="s">
        <v>20</v>
      </c>
      <c r="H903" t="s">
        <v>8</v>
      </c>
      <c r="I903" t="s">
        <v>8</v>
      </c>
      <c r="J903" t="s">
        <v>17</v>
      </c>
      <c r="K903" t="str">
        <f>"5025232476329"</f>
        <v>5025232476329</v>
      </c>
      <c r="L903" t="str">
        <f>"25030161"</f>
        <v>25030161</v>
      </c>
      <c r="M903" t="s">
        <v>21</v>
      </c>
      <c r="N903" s="1">
        <v>43889.628472222219</v>
      </c>
      <c r="O903" t="s">
        <v>19</v>
      </c>
    </row>
    <row r="904" spans="1:15" x14ac:dyDescent="0.25">
      <c r="A904" t="s">
        <v>780</v>
      </c>
      <c r="B904" t="s">
        <v>15</v>
      </c>
      <c r="C904" t="s">
        <v>225</v>
      </c>
      <c r="D904" t="s">
        <v>17</v>
      </c>
      <c r="E904" t="s">
        <v>18</v>
      </c>
      <c r="F904" t="s">
        <v>19</v>
      </c>
      <c r="G904" t="s">
        <v>20</v>
      </c>
      <c r="J904" t="s">
        <v>17</v>
      </c>
      <c r="K904" t="str">
        <f>"037988259052"</f>
        <v>037988259052</v>
      </c>
      <c r="L904" t="str">
        <f>"25030021"</f>
        <v>25030021</v>
      </c>
      <c r="M904" t="s">
        <v>75</v>
      </c>
      <c r="N904" s="1">
        <v>43063.753472222219</v>
      </c>
      <c r="O904" t="s">
        <v>19</v>
      </c>
    </row>
    <row r="905" spans="1:15" x14ac:dyDescent="0.25">
      <c r="A905" t="s">
        <v>781</v>
      </c>
      <c r="B905" t="s">
        <v>15</v>
      </c>
      <c r="C905" t="s">
        <v>225</v>
      </c>
      <c r="D905" t="s">
        <v>17</v>
      </c>
      <c r="E905" t="s">
        <v>18</v>
      </c>
      <c r="F905" t="s">
        <v>19</v>
      </c>
      <c r="G905" t="s">
        <v>20</v>
      </c>
      <c r="H905" t="s">
        <v>8</v>
      </c>
      <c r="I905" t="s">
        <v>8</v>
      </c>
      <c r="J905" t="s">
        <v>17</v>
      </c>
      <c r="K905" t="str">
        <f>"27PANHV96K"</f>
        <v>27PANHV96K</v>
      </c>
      <c r="L905" t="str">
        <f>"27PANHV96K"</f>
        <v>27PANHV96K</v>
      </c>
      <c r="M905" t="s">
        <v>21</v>
      </c>
      <c r="N905" s="1">
        <v>43805.820138888892</v>
      </c>
      <c r="O905" t="s">
        <v>19</v>
      </c>
    </row>
    <row r="906" spans="1:15" x14ac:dyDescent="0.25">
      <c r="A906" t="s">
        <v>781</v>
      </c>
      <c r="B906" t="s">
        <v>15</v>
      </c>
      <c r="C906" t="s">
        <v>225</v>
      </c>
      <c r="D906" t="s">
        <v>17</v>
      </c>
      <c r="E906" t="s">
        <v>18</v>
      </c>
      <c r="F906" t="s">
        <v>19</v>
      </c>
      <c r="G906" t="s">
        <v>20</v>
      </c>
      <c r="H906" t="s">
        <v>8</v>
      </c>
      <c r="I906" t="s">
        <v>8</v>
      </c>
      <c r="J906" t="s">
        <v>17</v>
      </c>
      <c r="K906" t="str">
        <f>"885170046368"</f>
        <v>885170046368</v>
      </c>
      <c r="L906" t="str">
        <f>"25030096"</f>
        <v>25030096</v>
      </c>
      <c r="M906" t="s">
        <v>21</v>
      </c>
      <c r="N906" s="1">
        <v>43889.625694444447</v>
      </c>
      <c r="O906" t="s">
        <v>19</v>
      </c>
    </row>
    <row r="907" spans="1:15" x14ac:dyDescent="0.25">
      <c r="A907" t="s">
        <v>782</v>
      </c>
      <c r="B907" t="s">
        <v>15</v>
      </c>
      <c r="C907" t="s">
        <v>225</v>
      </c>
      <c r="D907" t="s">
        <v>17</v>
      </c>
      <c r="E907" t="s">
        <v>18</v>
      </c>
      <c r="F907" t="s">
        <v>19</v>
      </c>
      <c r="G907" t="s">
        <v>20</v>
      </c>
      <c r="H907" t="s">
        <v>8</v>
      </c>
      <c r="I907" t="s">
        <v>8</v>
      </c>
      <c r="J907" t="s">
        <v>17</v>
      </c>
      <c r="K907" t="str">
        <f>"10112210"</f>
        <v>10112210</v>
      </c>
      <c r="L907" t="str">
        <f>"10112210"</f>
        <v>10112210</v>
      </c>
      <c r="M907" t="s">
        <v>21</v>
      </c>
      <c r="N907" s="1">
        <v>43708.708333333336</v>
      </c>
      <c r="O907" t="s">
        <v>19</v>
      </c>
    </row>
    <row r="908" spans="1:15" x14ac:dyDescent="0.25">
      <c r="A908" t="s">
        <v>783</v>
      </c>
      <c r="B908" t="s">
        <v>15</v>
      </c>
      <c r="C908" t="s">
        <v>225</v>
      </c>
      <c r="D908" t="s">
        <v>17</v>
      </c>
      <c r="E908" t="s">
        <v>18</v>
      </c>
      <c r="F908" t="s">
        <v>19</v>
      </c>
      <c r="G908" t="s">
        <v>20</v>
      </c>
      <c r="H908" t="s">
        <v>8</v>
      </c>
      <c r="I908" t="s">
        <v>8</v>
      </c>
      <c r="J908" t="s">
        <v>17</v>
      </c>
      <c r="K908" t="str">
        <f>"885170083097"</f>
        <v>885170083097</v>
      </c>
      <c r="L908" t="str">
        <f>"25030041"</f>
        <v>25030041</v>
      </c>
      <c r="M908" t="s">
        <v>21</v>
      </c>
      <c r="N908" s="1">
        <v>43753.65</v>
      </c>
      <c r="O908" t="s">
        <v>19</v>
      </c>
    </row>
    <row r="909" spans="1:15" x14ac:dyDescent="0.25">
      <c r="A909" t="s">
        <v>784</v>
      </c>
      <c r="B909" t="s">
        <v>15</v>
      </c>
      <c r="C909" t="s">
        <v>225</v>
      </c>
      <c r="D909" t="s">
        <v>17</v>
      </c>
      <c r="E909" t="s">
        <v>18</v>
      </c>
      <c r="F909" t="s">
        <v>19</v>
      </c>
      <c r="G909" t="s">
        <v>20</v>
      </c>
      <c r="J909" t="s">
        <v>17</v>
      </c>
      <c r="K909" t="str">
        <f>"885170112384"</f>
        <v>885170112384</v>
      </c>
      <c r="L909" t="str">
        <f>"25032384"</f>
        <v>25032384</v>
      </c>
      <c r="M909" t="s">
        <v>21</v>
      </c>
      <c r="N909" s="1">
        <v>43350.65902777778</v>
      </c>
      <c r="O909" t="s">
        <v>19</v>
      </c>
    </row>
    <row r="910" spans="1:15" x14ac:dyDescent="0.25">
      <c r="A910" t="s">
        <v>785</v>
      </c>
      <c r="B910" t="s">
        <v>15</v>
      </c>
      <c r="C910" t="s">
        <v>225</v>
      </c>
      <c r="D910" t="s">
        <v>17</v>
      </c>
      <c r="E910" t="s">
        <v>18</v>
      </c>
      <c r="F910" t="s">
        <v>19</v>
      </c>
      <c r="G910" t="s">
        <v>20</v>
      </c>
      <c r="H910" t="s">
        <v>8</v>
      </c>
      <c r="I910" t="s">
        <v>8</v>
      </c>
      <c r="J910" t="s">
        <v>17</v>
      </c>
      <c r="K910" t="str">
        <f>"885170114760"</f>
        <v>885170114760</v>
      </c>
      <c r="L910" t="str">
        <f>"25034100"</f>
        <v>25034100</v>
      </c>
      <c r="M910" t="s">
        <v>21</v>
      </c>
      <c r="N910" s="1">
        <v>42872.839583333334</v>
      </c>
      <c r="O910" t="s">
        <v>19</v>
      </c>
    </row>
    <row r="911" spans="1:15" x14ac:dyDescent="0.25">
      <c r="A911" t="s">
        <v>786</v>
      </c>
      <c r="B911" t="s">
        <v>15</v>
      </c>
      <c r="C911" t="s">
        <v>225</v>
      </c>
      <c r="D911" t="s">
        <v>17</v>
      </c>
      <c r="E911" t="s">
        <v>18</v>
      </c>
      <c r="F911" t="s">
        <v>19</v>
      </c>
      <c r="G911" t="s">
        <v>20</v>
      </c>
      <c r="J911" t="s">
        <v>17</v>
      </c>
      <c r="K911" t="str">
        <f>"6988794451526"</f>
        <v>6988794451526</v>
      </c>
      <c r="L911" t="str">
        <f>"10007819"</f>
        <v>10007819</v>
      </c>
      <c r="M911" t="s">
        <v>84</v>
      </c>
      <c r="N911" s="1">
        <v>43454.668055555558</v>
      </c>
      <c r="O911" t="s">
        <v>19</v>
      </c>
    </row>
    <row r="912" spans="1:15" x14ac:dyDescent="0.25">
      <c r="A912" t="s">
        <v>787</v>
      </c>
      <c r="B912" t="s">
        <v>15</v>
      </c>
      <c r="C912" t="s">
        <v>225</v>
      </c>
      <c r="D912" t="s">
        <v>17</v>
      </c>
      <c r="E912" t="s">
        <v>18</v>
      </c>
      <c r="F912" t="s">
        <v>19</v>
      </c>
      <c r="G912" t="s">
        <v>20</v>
      </c>
      <c r="H912" t="s">
        <v>8</v>
      </c>
      <c r="I912" t="s">
        <v>8</v>
      </c>
      <c r="J912" t="s">
        <v>17</v>
      </c>
      <c r="K912" t="str">
        <f>"6956398302643"</f>
        <v>6956398302643</v>
      </c>
      <c r="L912" t="str">
        <f>"10003733"</f>
        <v>10003733</v>
      </c>
      <c r="M912" t="s">
        <v>21</v>
      </c>
      <c r="N912" s="1">
        <v>43826.700694444444</v>
      </c>
      <c r="O912" t="s">
        <v>19</v>
      </c>
    </row>
    <row r="913" spans="1:15" x14ac:dyDescent="0.25">
      <c r="A913" t="s">
        <v>788</v>
      </c>
      <c r="B913" t="s">
        <v>15</v>
      </c>
      <c r="C913" t="s">
        <v>225</v>
      </c>
      <c r="D913" t="s">
        <v>17</v>
      </c>
      <c r="E913" t="s">
        <v>18</v>
      </c>
      <c r="F913" t="s">
        <v>19</v>
      </c>
      <c r="G913" t="s">
        <v>20</v>
      </c>
      <c r="H913" t="s">
        <v>8</v>
      </c>
      <c r="I913" t="s">
        <v>8</v>
      </c>
      <c r="J913" t="s">
        <v>17</v>
      </c>
      <c r="K913" t="str">
        <f>"10000074"</f>
        <v>10000074</v>
      </c>
      <c r="L913" t="str">
        <f>"10000074"</f>
        <v>10000074</v>
      </c>
      <c r="M913" t="s">
        <v>21</v>
      </c>
      <c r="N913" s="1">
        <v>43612.625</v>
      </c>
      <c r="O913" t="s">
        <v>19</v>
      </c>
    </row>
    <row r="914" spans="1:15" x14ac:dyDescent="0.25">
      <c r="A914" t="s">
        <v>789</v>
      </c>
      <c r="B914" t="s">
        <v>15</v>
      </c>
      <c r="C914" t="s">
        <v>225</v>
      </c>
      <c r="D914" t="s">
        <v>17</v>
      </c>
      <c r="E914" t="s">
        <v>18</v>
      </c>
      <c r="F914" t="s">
        <v>19</v>
      </c>
      <c r="G914" t="s">
        <v>20</v>
      </c>
      <c r="H914" t="s">
        <v>8</v>
      </c>
      <c r="I914" t="s">
        <v>8</v>
      </c>
      <c r="J914" t="s">
        <v>17</v>
      </c>
      <c r="K914" t="str">
        <f>"6926898194994"</f>
        <v>6926898194994</v>
      </c>
      <c r="L914" t="str">
        <f>"10000046"</f>
        <v>10000046</v>
      </c>
      <c r="M914" t="s">
        <v>21</v>
      </c>
      <c r="N914" s="1">
        <v>43612.626388888886</v>
      </c>
      <c r="O914" t="s">
        <v>19</v>
      </c>
    </row>
    <row r="915" spans="1:15" x14ac:dyDescent="0.25">
      <c r="A915" t="s">
        <v>790</v>
      </c>
      <c r="B915" t="s">
        <v>15</v>
      </c>
      <c r="C915" t="s">
        <v>64</v>
      </c>
      <c r="D915" t="s">
        <v>17</v>
      </c>
      <c r="E915" t="s">
        <v>18</v>
      </c>
      <c r="F915" t="s">
        <v>19</v>
      </c>
      <c r="G915" t="s">
        <v>20</v>
      </c>
      <c r="J915" t="s">
        <v>17</v>
      </c>
      <c r="K915" t="str">
        <f>"7168229875502"</f>
        <v>7168229875502</v>
      </c>
      <c r="L915" t="str">
        <f>"98350550"</f>
        <v>98350550</v>
      </c>
      <c r="M915" t="s">
        <v>21</v>
      </c>
      <c r="N915" s="1">
        <v>44321.890972222223</v>
      </c>
      <c r="O915" t="s">
        <v>19</v>
      </c>
    </row>
    <row r="916" spans="1:15" x14ac:dyDescent="0.25">
      <c r="A916" t="s">
        <v>791</v>
      </c>
      <c r="B916" t="s">
        <v>15</v>
      </c>
      <c r="C916" t="s">
        <v>225</v>
      </c>
      <c r="D916" t="s">
        <v>17</v>
      </c>
      <c r="E916" t="s">
        <v>18</v>
      </c>
      <c r="F916" t="s">
        <v>19</v>
      </c>
      <c r="G916" t="s">
        <v>20</v>
      </c>
      <c r="H916" t="s">
        <v>8</v>
      </c>
      <c r="I916" t="s">
        <v>8</v>
      </c>
      <c r="J916" t="s">
        <v>17</v>
      </c>
      <c r="K916" t="str">
        <f>"67370001"</f>
        <v>67370001</v>
      </c>
      <c r="L916" t="str">
        <f>"67370001"</f>
        <v>67370001</v>
      </c>
      <c r="M916" t="s">
        <v>84</v>
      </c>
      <c r="N916" s="1">
        <v>43546.956250000003</v>
      </c>
      <c r="O916" t="s">
        <v>19</v>
      </c>
    </row>
    <row r="917" spans="1:15" x14ac:dyDescent="0.25">
      <c r="A917" t="s">
        <v>792</v>
      </c>
      <c r="B917" t="s">
        <v>15</v>
      </c>
      <c r="C917" t="s">
        <v>225</v>
      </c>
      <c r="D917" t="s">
        <v>17</v>
      </c>
      <c r="E917" t="s">
        <v>18</v>
      </c>
      <c r="F917" t="s">
        <v>19</v>
      </c>
      <c r="G917" t="s">
        <v>20</v>
      </c>
      <c r="H917" t="s">
        <v>8</v>
      </c>
      <c r="I917" t="s">
        <v>8</v>
      </c>
      <c r="J917" t="s">
        <v>17</v>
      </c>
      <c r="K917" t="str">
        <f>"690362550017"</f>
        <v>690362550017</v>
      </c>
      <c r="L917" t="str">
        <f>"10003104"</f>
        <v>10003104</v>
      </c>
      <c r="M917" t="s">
        <v>21</v>
      </c>
      <c r="N917" s="1">
        <v>43687.682638888888</v>
      </c>
      <c r="O917" t="s">
        <v>19</v>
      </c>
    </row>
    <row r="918" spans="1:15" x14ac:dyDescent="0.25">
      <c r="A918" t="s">
        <v>793</v>
      </c>
      <c r="B918" t="s">
        <v>15</v>
      </c>
      <c r="C918" t="s">
        <v>225</v>
      </c>
      <c r="D918" t="s">
        <v>17</v>
      </c>
      <c r="E918" t="s">
        <v>18</v>
      </c>
      <c r="F918" t="s">
        <v>19</v>
      </c>
      <c r="G918" t="s">
        <v>20</v>
      </c>
      <c r="J918" t="s">
        <v>17</v>
      </c>
      <c r="K918" t="str">
        <f>"6950854007776"</f>
        <v>6950854007776</v>
      </c>
      <c r="L918" t="str">
        <f>"10032229"</f>
        <v>10032229</v>
      </c>
      <c r="M918" t="s">
        <v>75</v>
      </c>
      <c r="N918" s="1">
        <v>42987.783333333333</v>
      </c>
      <c r="O918" t="s">
        <v>19</v>
      </c>
    </row>
    <row r="919" spans="1:15" x14ac:dyDescent="0.25">
      <c r="A919" t="s">
        <v>794</v>
      </c>
      <c r="B919" t="s">
        <v>15</v>
      </c>
      <c r="C919" t="s">
        <v>225</v>
      </c>
      <c r="D919" t="s">
        <v>17</v>
      </c>
      <c r="E919" t="s">
        <v>18</v>
      </c>
      <c r="F919" t="s">
        <v>19</v>
      </c>
      <c r="G919" t="s">
        <v>20</v>
      </c>
      <c r="H919" t="s">
        <v>8</v>
      </c>
      <c r="I919" t="s">
        <v>8</v>
      </c>
      <c r="J919" t="s">
        <v>17</v>
      </c>
      <c r="K919" t="str">
        <f>"7297927252558"</f>
        <v>7297927252558</v>
      </c>
      <c r="L919" t="str">
        <f>"10100770"</f>
        <v>10100770</v>
      </c>
      <c r="M919" t="s">
        <v>21</v>
      </c>
      <c r="N919" s="1">
        <v>43666.88958333333</v>
      </c>
      <c r="O919" t="s">
        <v>19</v>
      </c>
    </row>
    <row r="920" spans="1:15" x14ac:dyDescent="0.25">
      <c r="A920" t="s">
        <v>795</v>
      </c>
      <c r="B920" t="s">
        <v>15</v>
      </c>
      <c r="C920" t="s">
        <v>225</v>
      </c>
      <c r="D920" t="s">
        <v>17</v>
      </c>
      <c r="E920" t="s">
        <v>18</v>
      </c>
      <c r="F920" t="s">
        <v>19</v>
      </c>
      <c r="G920" t="s">
        <v>20</v>
      </c>
      <c r="H920" t="s">
        <v>8</v>
      </c>
      <c r="I920" t="s">
        <v>8</v>
      </c>
      <c r="J920" t="s">
        <v>17</v>
      </c>
      <c r="K920" t="str">
        <f>"4267675421851"</f>
        <v>4267675421851</v>
      </c>
      <c r="L920" t="str">
        <f>"10100748"</f>
        <v>10100748</v>
      </c>
      <c r="M920" t="s">
        <v>21</v>
      </c>
      <c r="N920" s="1">
        <v>43666.888194444444</v>
      </c>
      <c r="O920" t="s">
        <v>19</v>
      </c>
    </row>
    <row r="921" spans="1:15" x14ac:dyDescent="0.25">
      <c r="A921" t="s">
        <v>796</v>
      </c>
      <c r="B921" t="s">
        <v>15</v>
      </c>
      <c r="C921" t="s">
        <v>225</v>
      </c>
      <c r="D921" t="s">
        <v>17</v>
      </c>
      <c r="E921" t="s">
        <v>18</v>
      </c>
      <c r="F921" t="s">
        <v>19</v>
      </c>
      <c r="G921" t="s">
        <v>20</v>
      </c>
      <c r="H921" t="s">
        <v>8</v>
      </c>
      <c r="I921" t="s">
        <v>8</v>
      </c>
      <c r="J921" t="s">
        <v>17</v>
      </c>
      <c r="K921" t="str">
        <f>"8613542981427"</f>
        <v>8613542981427</v>
      </c>
      <c r="L921" t="str">
        <f>"10100561"</f>
        <v>10100561</v>
      </c>
      <c r="M921" t="s">
        <v>21</v>
      </c>
      <c r="N921" s="1">
        <v>43708.756944444445</v>
      </c>
      <c r="O921" t="s">
        <v>19</v>
      </c>
    </row>
    <row r="922" spans="1:15" x14ac:dyDescent="0.25">
      <c r="A922" t="s">
        <v>797</v>
      </c>
      <c r="B922" t="s">
        <v>15</v>
      </c>
      <c r="C922" t="s">
        <v>30</v>
      </c>
      <c r="D922" t="s">
        <v>17</v>
      </c>
      <c r="E922" t="s">
        <v>18</v>
      </c>
      <c r="F922" t="s">
        <v>19</v>
      </c>
      <c r="G922" t="s">
        <v>20</v>
      </c>
      <c r="J922" t="s">
        <v>17</v>
      </c>
      <c r="K922" t="str">
        <f>"7168222785921"</f>
        <v>7168222785921</v>
      </c>
      <c r="L922" t="str">
        <f>"27PLCTLW2B"</f>
        <v>27PLCTLW2B</v>
      </c>
      <c r="M922" t="s">
        <v>21</v>
      </c>
      <c r="N922" s="1">
        <v>43805.825694444444</v>
      </c>
      <c r="O922" t="s">
        <v>19</v>
      </c>
    </row>
    <row r="923" spans="1:15" x14ac:dyDescent="0.25">
      <c r="A923" t="s">
        <v>798</v>
      </c>
      <c r="B923" t="s">
        <v>15</v>
      </c>
      <c r="C923" t="s">
        <v>225</v>
      </c>
      <c r="D923" t="s">
        <v>17</v>
      </c>
      <c r="E923" t="s">
        <v>18</v>
      </c>
      <c r="F923" t="s">
        <v>19</v>
      </c>
      <c r="G923" t="s">
        <v>20</v>
      </c>
      <c r="J923" t="s">
        <v>17</v>
      </c>
      <c r="K923" t="str">
        <f>"25454100"</f>
        <v>25454100</v>
      </c>
      <c r="L923" t="str">
        <f>"25454100"</f>
        <v>25454100</v>
      </c>
      <c r="M923" t="s">
        <v>75</v>
      </c>
      <c r="N923" s="1">
        <v>42872.839583333334</v>
      </c>
      <c r="O923" t="s">
        <v>19</v>
      </c>
    </row>
    <row r="924" spans="1:15" x14ac:dyDescent="0.25">
      <c r="A924" t="s">
        <v>799</v>
      </c>
      <c r="B924" t="s">
        <v>15</v>
      </c>
      <c r="C924" t="s">
        <v>225</v>
      </c>
      <c r="D924" t="s">
        <v>17</v>
      </c>
      <c r="E924" t="s">
        <v>18</v>
      </c>
      <c r="F924" t="s">
        <v>19</v>
      </c>
      <c r="G924" t="s">
        <v>20</v>
      </c>
      <c r="J924" t="s">
        <v>17</v>
      </c>
      <c r="K924" t="str">
        <f>"25454200"</f>
        <v>25454200</v>
      </c>
      <c r="L924" t="str">
        <f>"25454200"</f>
        <v>25454200</v>
      </c>
      <c r="M924" t="s">
        <v>75</v>
      </c>
      <c r="N924" s="1">
        <v>42872.839583333334</v>
      </c>
      <c r="O924" t="s">
        <v>19</v>
      </c>
    </row>
    <row r="925" spans="1:15" x14ac:dyDescent="0.25">
      <c r="A925" t="s">
        <v>800</v>
      </c>
      <c r="B925" t="s">
        <v>15</v>
      </c>
      <c r="C925" t="s">
        <v>225</v>
      </c>
      <c r="D925" t="s">
        <v>17</v>
      </c>
      <c r="E925" t="s">
        <v>18</v>
      </c>
      <c r="F925" t="s">
        <v>19</v>
      </c>
      <c r="G925" t="s">
        <v>20</v>
      </c>
      <c r="J925" t="s">
        <v>17</v>
      </c>
      <c r="K925" t="str">
        <f>"66273590"</f>
        <v>66273590</v>
      </c>
      <c r="L925" t="str">
        <f>"66273590"</f>
        <v>66273590</v>
      </c>
      <c r="M925" t="s">
        <v>75</v>
      </c>
      <c r="N925" s="1">
        <v>42872.847222222219</v>
      </c>
      <c r="O925" t="s">
        <v>19</v>
      </c>
    </row>
    <row r="926" spans="1:15" x14ac:dyDescent="0.25">
      <c r="A926" t="s">
        <v>801</v>
      </c>
      <c r="B926" t="s">
        <v>15</v>
      </c>
      <c r="C926" t="s">
        <v>225</v>
      </c>
      <c r="D926" t="s">
        <v>17</v>
      </c>
      <c r="E926" t="s">
        <v>18</v>
      </c>
      <c r="F926" t="s">
        <v>19</v>
      </c>
      <c r="G926" t="s">
        <v>20</v>
      </c>
      <c r="J926" t="s">
        <v>17</v>
      </c>
      <c r="K926" t="str">
        <f>"25451360"</f>
        <v>25451360</v>
      </c>
      <c r="L926" t="str">
        <f>"25451360"</f>
        <v>25451360</v>
      </c>
      <c r="M926" t="s">
        <v>75</v>
      </c>
      <c r="N926" s="1">
        <v>42872.839583333334</v>
      </c>
      <c r="O926" t="s">
        <v>19</v>
      </c>
    </row>
    <row r="927" spans="1:15" x14ac:dyDescent="0.25">
      <c r="A927" t="s">
        <v>802</v>
      </c>
      <c r="B927" t="s">
        <v>15</v>
      </c>
      <c r="C927" t="s">
        <v>225</v>
      </c>
      <c r="D927" t="s">
        <v>17</v>
      </c>
      <c r="E927" t="s">
        <v>18</v>
      </c>
      <c r="F927" t="s">
        <v>19</v>
      </c>
      <c r="G927" t="s">
        <v>20</v>
      </c>
      <c r="J927" t="s">
        <v>17</v>
      </c>
      <c r="K927" t="str">
        <f>"609585223066"</f>
        <v>609585223066</v>
      </c>
      <c r="L927" t="str">
        <f>"25033590BK"</f>
        <v>25033590BK</v>
      </c>
      <c r="M927" t="s">
        <v>75</v>
      </c>
      <c r="N927" s="1">
        <v>43014.720138888886</v>
      </c>
      <c r="O927" t="s">
        <v>19</v>
      </c>
    </row>
    <row r="928" spans="1:15" x14ac:dyDescent="0.25">
      <c r="A928" t="s">
        <v>803</v>
      </c>
      <c r="B928" t="s">
        <v>15</v>
      </c>
      <c r="C928" t="s">
        <v>225</v>
      </c>
      <c r="D928" t="s">
        <v>17</v>
      </c>
      <c r="E928" t="s">
        <v>18</v>
      </c>
      <c r="F928" t="s">
        <v>19</v>
      </c>
      <c r="G928" t="s">
        <v>20</v>
      </c>
      <c r="J928" t="s">
        <v>17</v>
      </c>
      <c r="K928" t="str">
        <f>"609585223059"</f>
        <v>609585223059</v>
      </c>
      <c r="L928" t="str">
        <f>"25033590BL"</f>
        <v>25033590BL</v>
      </c>
      <c r="M928" t="s">
        <v>75</v>
      </c>
      <c r="N928" s="1">
        <v>43014.652777777781</v>
      </c>
      <c r="O928" t="s">
        <v>19</v>
      </c>
    </row>
    <row r="929" spans="1:15" x14ac:dyDescent="0.25">
      <c r="A929" t="s">
        <v>803</v>
      </c>
      <c r="B929" t="s">
        <v>15</v>
      </c>
      <c r="C929" t="s">
        <v>225</v>
      </c>
      <c r="D929" t="s">
        <v>17</v>
      </c>
      <c r="E929" t="s">
        <v>18</v>
      </c>
      <c r="F929" t="s">
        <v>19</v>
      </c>
      <c r="G929" t="s">
        <v>20</v>
      </c>
      <c r="J929" t="s">
        <v>17</v>
      </c>
      <c r="K929" t="str">
        <f>"1507305250562"</f>
        <v>1507305250562</v>
      </c>
      <c r="L929" t="str">
        <f>"1507305250562"</f>
        <v>1507305250562</v>
      </c>
      <c r="N929" s="1">
        <v>42872.839583333334</v>
      </c>
      <c r="O929" t="s">
        <v>33</v>
      </c>
    </row>
    <row r="930" spans="1:15" x14ac:dyDescent="0.25">
      <c r="A930" t="s">
        <v>803</v>
      </c>
      <c r="B930" t="s">
        <v>15</v>
      </c>
      <c r="C930" t="s">
        <v>225</v>
      </c>
      <c r="D930" t="s">
        <v>17</v>
      </c>
      <c r="E930" t="s">
        <v>18</v>
      </c>
      <c r="F930" t="s">
        <v>19</v>
      </c>
      <c r="G930" t="s">
        <v>20</v>
      </c>
      <c r="J930" t="s">
        <v>17</v>
      </c>
      <c r="K930" t="str">
        <f>"1507305269718"</f>
        <v>1507305269718</v>
      </c>
      <c r="L930" t="str">
        <f>"1507305269718"</f>
        <v>1507305269718</v>
      </c>
      <c r="N930" s="1">
        <v>43014.654861111114</v>
      </c>
      <c r="O930" t="s">
        <v>33</v>
      </c>
    </row>
    <row r="931" spans="1:15" x14ac:dyDescent="0.25">
      <c r="A931" t="s">
        <v>804</v>
      </c>
      <c r="B931" t="s">
        <v>15</v>
      </c>
      <c r="C931" t="s">
        <v>225</v>
      </c>
      <c r="D931" t="s">
        <v>17</v>
      </c>
      <c r="E931" t="s">
        <v>18</v>
      </c>
      <c r="F931" t="s">
        <v>19</v>
      </c>
      <c r="G931" t="s">
        <v>20</v>
      </c>
      <c r="J931" t="s">
        <v>17</v>
      </c>
      <c r="K931" t="str">
        <f>"609585223073"</f>
        <v>609585223073</v>
      </c>
      <c r="L931" t="str">
        <f>"25033590PK"</f>
        <v>25033590PK</v>
      </c>
      <c r="M931" t="s">
        <v>75</v>
      </c>
      <c r="N931" s="1">
        <v>43014.723611111112</v>
      </c>
      <c r="O931" t="s">
        <v>19</v>
      </c>
    </row>
    <row r="932" spans="1:15" x14ac:dyDescent="0.25">
      <c r="A932" t="s">
        <v>805</v>
      </c>
      <c r="B932" t="s">
        <v>15</v>
      </c>
      <c r="C932" t="s">
        <v>225</v>
      </c>
      <c r="D932" t="s">
        <v>17</v>
      </c>
      <c r="E932" t="s">
        <v>18</v>
      </c>
      <c r="F932" t="s">
        <v>19</v>
      </c>
      <c r="G932" t="s">
        <v>20</v>
      </c>
      <c r="J932" t="s">
        <v>17</v>
      </c>
      <c r="K932" t="str">
        <f>"609585223028"</f>
        <v>609585223028</v>
      </c>
      <c r="L932" t="str">
        <f>"25033590PP"</f>
        <v>25033590PP</v>
      </c>
      <c r="M932" t="s">
        <v>75</v>
      </c>
      <c r="N932" s="1">
        <v>43014.722222222219</v>
      </c>
      <c r="O932" t="s">
        <v>19</v>
      </c>
    </row>
    <row r="933" spans="1:15" x14ac:dyDescent="0.25">
      <c r="A933" t="s">
        <v>806</v>
      </c>
      <c r="B933" t="s">
        <v>15</v>
      </c>
      <c r="C933" t="s">
        <v>225</v>
      </c>
      <c r="D933" t="s">
        <v>17</v>
      </c>
      <c r="E933" t="s">
        <v>18</v>
      </c>
      <c r="F933" t="s">
        <v>19</v>
      </c>
      <c r="G933" t="s">
        <v>20</v>
      </c>
      <c r="J933" t="s">
        <v>17</v>
      </c>
      <c r="K933" t="str">
        <f>"609585223042"</f>
        <v>609585223042</v>
      </c>
      <c r="L933" t="str">
        <f>"25033590WT"</f>
        <v>25033590WT</v>
      </c>
      <c r="M933" t="s">
        <v>75</v>
      </c>
      <c r="N933" s="1">
        <v>43014.734027777777</v>
      </c>
      <c r="O933" t="s">
        <v>19</v>
      </c>
    </row>
    <row r="934" spans="1:15" x14ac:dyDescent="0.25">
      <c r="A934" t="s">
        <v>807</v>
      </c>
      <c r="B934" t="s">
        <v>15</v>
      </c>
      <c r="C934" t="s">
        <v>225</v>
      </c>
      <c r="D934" t="s">
        <v>17</v>
      </c>
      <c r="E934" t="s">
        <v>18</v>
      </c>
      <c r="F934" t="s">
        <v>19</v>
      </c>
      <c r="G934" t="s">
        <v>20</v>
      </c>
      <c r="J934" t="s">
        <v>17</v>
      </c>
      <c r="K934" t="str">
        <f>"25457000"</f>
        <v>25457000</v>
      </c>
      <c r="L934" t="str">
        <f>"25457000"</f>
        <v>25457000</v>
      </c>
      <c r="M934" t="s">
        <v>75</v>
      </c>
      <c r="N934" s="1">
        <v>42872.839583333334</v>
      </c>
      <c r="O934" t="s">
        <v>19</v>
      </c>
    </row>
    <row r="935" spans="1:15" x14ac:dyDescent="0.25">
      <c r="A935" t="s">
        <v>808</v>
      </c>
      <c r="B935" t="s">
        <v>15</v>
      </c>
      <c r="C935" t="s">
        <v>225</v>
      </c>
      <c r="D935" t="s">
        <v>17</v>
      </c>
      <c r="E935" t="s">
        <v>18</v>
      </c>
      <c r="F935" t="s">
        <v>19</v>
      </c>
      <c r="G935" t="s">
        <v>20</v>
      </c>
      <c r="J935" t="s">
        <v>17</v>
      </c>
      <c r="K935" t="str">
        <f>"25453595"</f>
        <v>25453595</v>
      </c>
      <c r="L935" t="str">
        <f>"25453595"</f>
        <v>25453595</v>
      </c>
      <c r="M935" t="s">
        <v>75</v>
      </c>
      <c r="N935" s="1">
        <v>42872.839583333334</v>
      </c>
      <c r="O935" t="s">
        <v>19</v>
      </c>
    </row>
    <row r="936" spans="1:15" x14ac:dyDescent="0.25">
      <c r="A936" t="s">
        <v>809</v>
      </c>
      <c r="B936" t="s">
        <v>15</v>
      </c>
      <c r="C936" t="s">
        <v>225</v>
      </c>
      <c r="D936" t="s">
        <v>17</v>
      </c>
      <c r="E936" t="s">
        <v>18</v>
      </c>
      <c r="F936" t="s">
        <v>19</v>
      </c>
      <c r="G936" t="s">
        <v>20</v>
      </c>
      <c r="J936" t="s">
        <v>17</v>
      </c>
      <c r="K936" t="str">
        <f>"889446003208"</f>
        <v>889446003208</v>
      </c>
      <c r="L936" t="str">
        <f>"25031900"</f>
        <v>25031900</v>
      </c>
      <c r="M936" t="s">
        <v>75</v>
      </c>
      <c r="N936" s="1">
        <v>42872.839583333334</v>
      </c>
      <c r="O936" t="s">
        <v>19</v>
      </c>
    </row>
    <row r="937" spans="1:15" x14ac:dyDescent="0.25">
      <c r="A937" t="s">
        <v>810</v>
      </c>
      <c r="B937" t="s">
        <v>15</v>
      </c>
      <c r="C937" t="s">
        <v>225</v>
      </c>
      <c r="D937" t="s">
        <v>17</v>
      </c>
      <c r="E937" t="s">
        <v>18</v>
      </c>
      <c r="F937" t="s">
        <v>19</v>
      </c>
      <c r="G937" t="s">
        <v>20</v>
      </c>
      <c r="J937" t="s">
        <v>17</v>
      </c>
      <c r="K937" t="str">
        <f>"25454700"</f>
        <v>25454700</v>
      </c>
      <c r="L937" t="str">
        <f>"25454700"</f>
        <v>25454700</v>
      </c>
      <c r="M937" t="s">
        <v>75</v>
      </c>
      <c r="N937" s="1">
        <v>42872.839583333334</v>
      </c>
      <c r="O937" t="s">
        <v>19</v>
      </c>
    </row>
    <row r="938" spans="1:15" x14ac:dyDescent="0.25">
      <c r="A938" t="s">
        <v>811</v>
      </c>
      <c r="B938" t="s">
        <v>15</v>
      </c>
      <c r="C938" t="s">
        <v>225</v>
      </c>
      <c r="D938" t="s">
        <v>17</v>
      </c>
      <c r="E938" t="s">
        <v>18</v>
      </c>
      <c r="F938" t="s">
        <v>19</v>
      </c>
      <c r="G938" t="s">
        <v>20</v>
      </c>
      <c r="J938" t="s">
        <v>17</v>
      </c>
      <c r="K938" t="str">
        <f>"609585247758"</f>
        <v>609585247758</v>
      </c>
      <c r="L938" t="str">
        <f>"25038100"</f>
        <v>25038100</v>
      </c>
      <c r="M938" t="s">
        <v>75</v>
      </c>
      <c r="N938" s="1">
        <v>42872.839583333334</v>
      </c>
      <c r="O938" t="s">
        <v>19</v>
      </c>
    </row>
    <row r="939" spans="1:15" x14ac:dyDescent="0.25">
      <c r="A939" t="s">
        <v>812</v>
      </c>
      <c r="B939" t="s">
        <v>15</v>
      </c>
      <c r="C939" t="s">
        <v>225</v>
      </c>
      <c r="D939" t="s">
        <v>17</v>
      </c>
      <c r="E939" t="s">
        <v>18</v>
      </c>
      <c r="F939" t="s">
        <v>19</v>
      </c>
      <c r="G939" t="s">
        <v>20</v>
      </c>
      <c r="J939" t="s">
        <v>17</v>
      </c>
      <c r="K939" t="str">
        <f>"25452000"</f>
        <v>25452000</v>
      </c>
      <c r="L939" t="str">
        <f>"25452000"</f>
        <v>25452000</v>
      </c>
      <c r="M939" t="s">
        <v>75</v>
      </c>
      <c r="N939" s="1">
        <v>42872.839583333334</v>
      </c>
      <c r="O939" t="s">
        <v>19</v>
      </c>
    </row>
    <row r="940" spans="1:15" x14ac:dyDescent="0.25">
      <c r="A940" t="s">
        <v>813</v>
      </c>
      <c r="B940" t="s">
        <v>15</v>
      </c>
      <c r="C940" t="s">
        <v>225</v>
      </c>
      <c r="D940" t="s">
        <v>17</v>
      </c>
      <c r="E940" t="s">
        <v>18</v>
      </c>
      <c r="F940" t="s">
        <v>19</v>
      </c>
      <c r="G940" t="s">
        <v>20</v>
      </c>
      <c r="J940" t="s">
        <v>17</v>
      </c>
      <c r="K940" t="str">
        <f>"609585237520"</f>
        <v>609585237520</v>
      </c>
      <c r="L940" t="str">
        <f>"25031000BK"</f>
        <v>25031000BK</v>
      </c>
      <c r="M940" t="s">
        <v>75</v>
      </c>
      <c r="N940" s="1">
        <v>43063.736111111109</v>
      </c>
      <c r="O940" t="s">
        <v>19</v>
      </c>
    </row>
    <row r="941" spans="1:15" x14ac:dyDescent="0.25">
      <c r="A941" t="s">
        <v>814</v>
      </c>
      <c r="B941" t="s">
        <v>15</v>
      </c>
      <c r="C941" t="s">
        <v>225</v>
      </c>
      <c r="D941" t="s">
        <v>17</v>
      </c>
      <c r="E941" t="s">
        <v>18</v>
      </c>
      <c r="F941" t="s">
        <v>19</v>
      </c>
      <c r="G941" t="s">
        <v>20</v>
      </c>
      <c r="J941" t="s">
        <v>17</v>
      </c>
      <c r="K941" t="str">
        <f>"609585237544"</f>
        <v>609585237544</v>
      </c>
      <c r="L941" t="str">
        <f>"25031000PK"</f>
        <v>25031000PK</v>
      </c>
      <c r="M941" t="s">
        <v>75</v>
      </c>
      <c r="N941" s="1">
        <v>43063.737500000003</v>
      </c>
      <c r="O941" t="s">
        <v>19</v>
      </c>
    </row>
    <row r="942" spans="1:15" x14ac:dyDescent="0.25">
      <c r="A942" t="s">
        <v>815</v>
      </c>
      <c r="B942" t="s">
        <v>15</v>
      </c>
      <c r="C942" t="s">
        <v>225</v>
      </c>
      <c r="D942" t="s">
        <v>17</v>
      </c>
      <c r="E942" t="s">
        <v>18</v>
      </c>
      <c r="F942" t="s">
        <v>19</v>
      </c>
      <c r="G942" t="s">
        <v>20</v>
      </c>
      <c r="H942" t="s">
        <v>8</v>
      </c>
      <c r="I942" t="s">
        <v>8</v>
      </c>
      <c r="J942" t="s">
        <v>17</v>
      </c>
      <c r="K942" t="str">
        <f>"885170173330"</f>
        <v>885170173330</v>
      </c>
      <c r="L942" t="str">
        <f>"25030034"</f>
        <v>25030034</v>
      </c>
      <c r="M942" t="s">
        <v>21</v>
      </c>
      <c r="N942" s="1">
        <v>42872.839583333334</v>
      </c>
      <c r="O942" t="s">
        <v>19</v>
      </c>
    </row>
    <row r="943" spans="1:15" x14ac:dyDescent="0.25">
      <c r="A943" t="s">
        <v>816</v>
      </c>
      <c r="B943" t="s">
        <v>15</v>
      </c>
      <c r="C943" t="s">
        <v>221</v>
      </c>
      <c r="D943" t="s">
        <v>17</v>
      </c>
      <c r="E943" t="s">
        <v>18</v>
      </c>
      <c r="F943" t="s">
        <v>19</v>
      </c>
      <c r="G943" t="s">
        <v>20</v>
      </c>
      <c r="J943" t="s">
        <v>17</v>
      </c>
      <c r="K943" t="str">
        <f>"6925970700054"</f>
        <v>6925970700054</v>
      </c>
      <c r="L943" t="str">
        <f>"98350330"</f>
        <v>98350330</v>
      </c>
      <c r="M943" t="s">
        <v>84</v>
      </c>
      <c r="N943" s="1">
        <v>43404.652083333334</v>
      </c>
      <c r="O943" t="s">
        <v>19</v>
      </c>
    </row>
    <row r="944" spans="1:15" x14ac:dyDescent="0.25">
      <c r="A944" t="s">
        <v>817</v>
      </c>
      <c r="B944" t="s">
        <v>15</v>
      </c>
      <c r="C944" t="s">
        <v>221</v>
      </c>
      <c r="D944" t="s">
        <v>17</v>
      </c>
      <c r="E944" t="s">
        <v>18</v>
      </c>
      <c r="F944" t="s">
        <v>19</v>
      </c>
      <c r="G944" t="s">
        <v>20</v>
      </c>
      <c r="J944" t="s">
        <v>17</v>
      </c>
      <c r="K944" t="str">
        <f>"6925970700283"</f>
        <v>6925970700283</v>
      </c>
      <c r="L944" t="str">
        <f>"98353300"</f>
        <v>98353300</v>
      </c>
      <c r="M944" t="s">
        <v>84</v>
      </c>
      <c r="N944" s="1">
        <v>43404.651388888888</v>
      </c>
      <c r="O944" t="s">
        <v>19</v>
      </c>
    </row>
    <row r="945" spans="1:15" x14ac:dyDescent="0.25">
      <c r="A945" t="s">
        <v>818</v>
      </c>
      <c r="B945" t="s">
        <v>15</v>
      </c>
      <c r="C945" t="s">
        <v>225</v>
      </c>
      <c r="D945" t="s">
        <v>17</v>
      </c>
      <c r="E945" t="s">
        <v>18</v>
      </c>
      <c r="F945" t="s">
        <v>19</v>
      </c>
      <c r="G945" t="s">
        <v>20</v>
      </c>
      <c r="J945" t="s">
        <v>17</v>
      </c>
      <c r="K945" t="str">
        <f>"66272005"</f>
        <v>66272005</v>
      </c>
      <c r="L945" t="str">
        <f>"66272005"</f>
        <v>66272005</v>
      </c>
      <c r="M945" t="s">
        <v>75</v>
      </c>
      <c r="N945" s="1">
        <v>42872.847222222219</v>
      </c>
      <c r="O945" t="s">
        <v>19</v>
      </c>
    </row>
    <row r="946" spans="1:15" x14ac:dyDescent="0.25">
      <c r="A946" t="s">
        <v>819</v>
      </c>
      <c r="B946" t="s">
        <v>15</v>
      </c>
      <c r="C946" t="s">
        <v>225</v>
      </c>
      <c r="D946" t="s">
        <v>17</v>
      </c>
      <c r="E946" t="s">
        <v>18</v>
      </c>
      <c r="F946" t="s">
        <v>19</v>
      </c>
      <c r="G946" t="s">
        <v>20</v>
      </c>
      <c r="J946" t="s">
        <v>17</v>
      </c>
      <c r="K946" t="str">
        <f>"6925970709118"</f>
        <v>6925970709118</v>
      </c>
      <c r="L946" t="str">
        <f>"25033700RD"</f>
        <v>25033700RD</v>
      </c>
      <c r="M946" t="s">
        <v>75</v>
      </c>
      <c r="N946" s="1">
        <v>43014.777777777781</v>
      </c>
      <c r="O946" t="s">
        <v>19</v>
      </c>
    </row>
    <row r="947" spans="1:15" x14ac:dyDescent="0.25">
      <c r="A947" t="s">
        <v>820</v>
      </c>
      <c r="B947" t="s">
        <v>15</v>
      </c>
      <c r="C947" t="s">
        <v>225</v>
      </c>
      <c r="D947" t="s">
        <v>17</v>
      </c>
      <c r="E947" t="s">
        <v>18</v>
      </c>
      <c r="F947" t="s">
        <v>19</v>
      </c>
      <c r="G947" t="s">
        <v>20</v>
      </c>
      <c r="J947" t="s">
        <v>17</v>
      </c>
      <c r="K947" t="str">
        <f>"609585241787"</f>
        <v>609585241787</v>
      </c>
      <c r="L947" t="str">
        <f>"25033900BL"</f>
        <v>25033900BL</v>
      </c>
      <c r="M947" t="s">
        <v>75</v>
      </c>
      <c r="N947" s="1">
        <v>42872.839583333334</v>
      </c>
      <c r="O947" t="s">
        <v>19</v>
      </c>
    </row>
    <row r="948" spans="1:15" x14ac:dyDescent="0.25">
      <c r="A948" t="s">
        <v>821</v>
      </c>
      <c r="B948" t="s">
        <v>15</v>
      </c>
      <c r="C948" t="s">
        <v>225</v>
      </c>
      <c r="D948" t="s">
        <v>17</v>
      </c>
      <c r="E948" t="s">
        <v>18</v>
      </c>
      <c r="F948" t="s">
        <v>19</v>
      </c>
      <c r="G948" t="s">
        <v>20</v>
      </c>
      <c r="J948" t="s">
        <v>17</v>
      </c>
      <c r="K948" t="str">
        <f>"609585242432"</f>
        <v>609585242432</v>
      </c>
      <c r="L948" t="str">
        <f>"25033900GR"</f>
        <v>25033900GR</v>
      </c>
      <c r="M948" t="s">
        <v>75</v>
      </c>
      <c r="N948" s="1">
        <v>43014.925000000003</v>
      </c>
      <c r="O948" t="s">
        <v>19</v>
      </c>
    </row>
    <row r="949" spans="1:15" x14ac:dyDescent="0.25">
      <c r="A949" t="s">
        <v>822</v>
      </c>
      <c r="B949" t="s">
        <v>15</v>
      </c>
      <c r="C949" t="s">
        <v>225</v>
      </c>
      <c r="D949" t="s">
        <v>17</v>
      </c>
      <c r="E949" t="s">
        <v>18</v>
      </c>
      <c r="F949" t="s">
        <v>19</v>
      </c>
      <c r="G949" t="s">
        <v>20</v>
      </c>
      <c r="J949" t="s">
        <v>17</v>
      </c>
      <c r="K949" t="str">
        <f>"609585242456"</f>
        <v>609585242456</v>
      </c>
      <c r="L949" t="str">
        <f>"25033900GY"</f>
        <v>25033900GY</v>
      </c>
      <c r="M949" t="s">
        <v>75</v>
      </c>
      <c r="N949" s="1">
        <v>43014.924305555556</v>
      </c>
      <c r="O949" t="s">
        <v>19</v>
      </c>
    </row>
    <row r="950" spans="1:15" x14ac:dyDescent="0.25">
      <c r="A950" t="s">
        <v>823</v>
      </c>
      <c r="B950" t="s">
        <v>15</v>
      </c>
      <c r="C950" t="s">
        <v>225</v>
      </c>
      <c r="D950" t="s">
        <v>17</v>
      </c>
      <c r="E950" t="s">
        <v>18</v>
      </c>
      <c r="F950" t="s">
        <v>19</v>
      </c>
      <c r="G950" t="s">
        <v>20</v>
      </c>
      <c r="H950" t="s">
        <v>8</v>
      </c>
      <c r="I950" t="s">
        <v>8</v>
      </c>
      <c r="J950" t="s">
        <v>17</v>
      </c>
      <c r="K950" t="str">
        <f>"8712581336028"</f>
        <v>8712581336028</v>
      </c>
      <c r="L950" t="str">
        <f>"98451350"</f>
        <v>98451350</v>
      </c>
      <c r="M950" t="s">
        <v>21</v>
      </c>
      <c r="N950" s="1">
        <v>42872.839583333334</v>
      </c>
      <c r="O950" t="s">
        <v>19</v>
      </c>
    </row>
    <row r="951" spans="1:15" x14ac:dyDescent="0.25">
      <c r="A951" t="s">
        <v>823</v>
      </c>
      <c r="B951" t="s">
        <v>15</v>
      </c>
      <c r="C951" t="s">
        <v>225</v>
      </c>
      <c r="D951" t="s">
        <v>17</v>
      </c>
      <c r="E951" t="s">
        <v>18</v>
      </c>
      <c r="F951" t="s">
        <v>19</v>
      </c>
      <c r="G951" t="s">
        <v>20</v>
      </c>
      <c r="H951" t="s">
        <v>8</v>
      </c>
      <c r="I951" t="s">
        <v>8</v>
      </c>
      <c r="J951" t="s">
        <v>17</v>
      </c>
      <c r="K951" t="str">
        <f>"27PHL1350N"</f>
        <v>27PHL1350N</v>
      </c>
      <c r="L951" t="str">
        <f>"27PHL1350N"</f>
        <v>27PHL1350N</v>
      </c>
      <c r="M951" t="s">
        <v>21</v>
      </c>
      <c r="N951" s="1">
        <v>44001.647916666669</v>
      </c>
      <c r="O951" t="s">
        <v>19</v>
      </c>
    </row>
    <row r="952" spans="1:15" x14ac:dyDescent="0.25">
      <c r="A952" t="s">
        <v>824</v>
      </c>
      <c r="B952" t="s">
        <v>15</v>
      </c>
      <c r="C952" t="s">
        <v>225</v>
      </c>
      <c r="D952" t="s">
        <v>17</v>
      </c>
      <c r="E952" t="s">
        <v>18</v>
      </c>
      <c r="F952" t="s">
        <v>19</v>
      </c>
      <c r="G952" t="s">
        <v>20</v>
      </c>
      <c r="J952" t="s">
        <v>17</v>
      </c>
      <c r="K952" t="str">
        <f>"6925970701969"</f>
        <v>6925970701969</v>
      </c>
      <c r="L952" t="str">
        <f>"98033010"</f>
        <v>98033010</v>
      </c>
      <c r="M952" t="s">
        <v>75</v>
      </c>
      <c r="N952" s="1">
        <v>43201.701388888891</v>
      </c>
      <c r="O952" t="s">
        <v>19</v>
      </c>
    </row>
    <row r="953" spans="1:15" x14ac:dyDescent="0.25">
      <c r="A953" t="s">
        <v>825</v>
      </c>
      <c r="B953" t="s">
        <v>15</v>
      </c>
      <c r="C953" t="s">
        <v>225</v>
      </c>
      <c r="D953" t="s">
        <v>17</v>
      </c>
      <c r="E953" t="s">
        <v>18</v>
      </c>
      <c r="F953" t="s">
        <v>19</v>
      </c>
      <c r="G953" t="s">
        <v>20</v>
      </c>
      <c r="J953" t="s">
        <v>17</v>
      </c>
      <c r="K953" t="str">
        <f>"6923410732207"</f>
        <v>6923410732207</v>
      </c>
      <c r="L953" t="str">
        <f>"98033030"</f>
        <v>98033030</v>
      </c>
      <c r="M953" t="s">
        <v>75</v>
      </c>
      <c r="N953" s="1">
        <v>43201.751388888886</v>
      </c>
      <c r="O953" t="s">
        <v>19</v>
      </c>
    </row>
    <row r="954" spans="1:15" x14ac:dyDescent="0.25">
      <c r="A954" t="s">
        <v>826</v>
      </c>
      <c r="B954" t="s">
        <v>15</v>
      </c>
      <c r="C954" t="s">
        <v>225</v>
      </c>
      <c r="D954" t="s">
        <v>17</v>
      </c>
      <c r="E954" t="s">
        <v>18</v>
      </c>
      <c r="F954" t="s">
        <v>19</v>
      </c>
      <c r="G954" t="s">
        <v>20</v>
      </c>
      <c r="J954" t="s">
        <v>17</v>
      </c>
      <c r="K954" t="str">
        <f>"6925970701976"</f>
        <v>6925970701976</v>
      </c>
      <c r="L954" t="str">
        <f>"98033020"</f>
        <v>98033020</v>
      </c>
      <c r="M954" t="s">
        <v>75</v>
      </c>
      <c r="N954" s="1">
        <v>43201.750694444447</v>
      </c>
      <c r="O954" t="s">
        <v>19</v>
      </c>
    </row>
    <row r="955" spans="1:15" x14ac:dyDescent="0.25">
      <c r="A955" t="s">
        <v>827</v>
      </c>
      <c r="B955" t="s">
        <v>15</v>
      </c>
      <c r="C955" t="s">
        <v>225</v>
      </c>
      <c r="D955" t="s">
        <v>17</v>
      </c>
      <c r="E955" t="s">
        <v>18</v>
      </c>
      <c r="F955" t="s">
        <v>19</v>
      </c>
      <c r="G955" t="s">
        <v>20</v>
      </c>
      <c r="H955" t="s">
        <v>8</v>
      </c>
      <c r="I955" t="s">
        <v>8</v>
      </c>
      <c r="J955" t="s">
        <v>17</v>
      </c>
      <c r="K955" t="str">
        <f>"6951613991374"</f>
        <v>6951613991374</v>
      </c>
      <c r="L955" t="str">
        <f>"98033550"</f>
        <v>98033550</v>
      </c>
      <c r="M955" t="s">
        <v>21</v>
      </c>
      <c r="N955" s="1">
        <v>43147.688888888886</v>
      </c>
      <c r="O955" t="s">
        <v>19</v>
      </c>
    </row>
    <row r="956" spans="1:15" x14ac:dyDescent="0.25">
      <c r="A956" t="s">
        <v>828</v>
      </c>
      <c r="B956" t="s">
        <v>15</v>
      </c>
      <c r="C956" t="s">
        <v>225</v>
      </c>
      <c r="D956" t="s">
        <v>17</v>
      </c>
      <c r="E956" t="s">
        <v>18</v>
      </c>
      <c r="F956" t="s">
        <v>19</v>
      </c>
      <c r="G956" t="s">
        <v>20</v>
      </c>
      <c r="H956" t="s">
        <v>8</v>
      </c>
      <c r="I956" t="s">
        <v>8</v>
      </c>
      <c r="J956" t="s">
        <v>17</v>
      </c>
      <c r="K956" t="str">
        <f>"6951613991398"</f>
        <v>6951613991398</v>
      </c>
      <c r="L956" t="str">
        <f>"25033500"</f>
        <v>25033500</v>
      </c>
      <c r="M956" t="s">
        <v>21</v>
      </c>
      <c r="N956" s="1">
        <v>42872.839583333334</v>
      </c>
      <c r="O956" t="s">
        <v>19</v>
      </c>
    </row>
    <row r="957" spans="1:15" x14ac:dyDescent="0.25">
      <c r="A957" t="s">
        <v>829</v>
      </c>
      <c r="B957" t="s">
        <v>15</v>
      </c>
      <c r="C957" t="s">
        <v>225</v>
      </c>
      <c r="D957" t="s">
        <v>17</v>
      </c>
      <c r="E957" t="s">
        <v>18</v>
      </c>
      <c r="F957" t="s">
        <v>19</v>
      </c>
      <c r="G957" t="s">
        <v>20</v>
      </c>
      <c r="H957" t="s">
        <v>8</v>
      </c>
      <c r="I957" t="s">
        <v>8</v>
      </c>
      <c r="J957" t="s">
        <v>17</v>
      </c>
      <c r="K957" t="str">
        <f>"6951613991381"</f>
        <v>6951613991381</v>
      </c>
      <c r="L957" t="str">
        <f>"25031381"</f>
        <v>25031381</v>
      </c>
      <c r="M957" t="s">
        <v>21</v>
      </c>
      <c r="N957" s="1">
        <v>42872.839583333334</v>
      </c>
      <c r="O957" t="s">
        <v>19</v>
      </c>
    </row>
    <row r="958" spans="1:15" x14ac:dyDescent="0.25">
      <c r="A958" t="s">
        <v>830</v>
      </c>
      <c r="B958" t="s">
        <v>15</v>
      </c>
      <c r="C958" t="s">
        <v>225</v>
      </c>
      <c r="D958" t="s">
        <v>17</v>
      </c>
      <c r="E958" t="s">
        <v>18</v>
      </c>
      <c r="F958" t="s">
        <v>19</v>
      </c>
      <c r="G958" t="s">
        <v>20</v>
      </c>
      <c r="J958" t="s">
        <v>17</v>
      </c>
      <c r="K958" t="str">
        <f>"6923410713695"</f>
        <v>6923410713695</v>
      </c>
      <c r="L958" t="str">
        <f>"98033590"</f>
        <v>98033590</v>
      </c>
      <c r="M958" t="s">
        <v>75</v>
      </c>
      <c r="N958" s="1">
        <v>43201.70208333333</v>
      </c>
      <c r="O958" t="s">
        <v>19</v>
      </c>
    </row>
    <row r="959" spans="1:15" x14ac:dyDescent="0.25">
      <c r="A959" t="s">
        <v>831</v>
      </c>
      <c r="B959" t="s">
        <v>15</v>
      </c>
      <c r="C959" t="s">
        <v>225</v>
      </c>
      <c r="D959" t="s">
        <v>17</v>
      </c>
      <c r="E959" t="s">
        <v>18</v>
      </c>
      <c r="F959" t="s">
        <v>19</v>
      </c>
      <c r="G959" t="s">
        <v>20</v>
      </c>
      <c r="J959" t="s">
        <v>17</v>
      </c>
      <c r="K959" t="str">
        <f>"6923410713718"</f>
        <v>6923410713718</v>
      </c>
      <c r="L959" t="str">
        <f>"98033591"</f>
        <v>98033591</v>
      </c>
      <c r="M959" t="s">
        <v>75</v>
      </c>
      <c r="N959" s="1">
        <v>43201.755555555559</v>
      </c>
      <c r="O959" t="s">
        <v>19</v>
      </c>
    </row>
    <row r="960" spans="1:15" x14ac:dyDescent="0.25">
      <c r="A960" t="s">
        <v>832</v>
      </c>
      <c r="B960" t="s">
        <v>15</v>
      </c>
      <c r="C960" t="s">
        <v>225</v>
      </c>
      <c r="D960" t="s">
        <v>17</v>
      </c>
      <c r="E960" t="s">
        <v>18</v>
      </c>
      <c r="F960" t="s">
        <v>19</v>
      </c>
      <c r="G960" t="s">
        <v>20</v>
      </c>
      <c r="J960" t="s">
        <v>17</v>
      </c>
      <c r="K960" t="str">
        <f>"6923410713749"</f>
        <v>6923410713749</v>
      </c>
      <c r="L960" t="str">
        <f>"98033592"</f>
        <v>98033592</v>
      </c>
      <c r="M960" t="s">
        <v>75</v>
      </c>
      <c r="N960" s="1">
        <v>43014.717361111114</v>
      </c>
      <c r="O960" t="s">
        <v>19</v>
      </c>
    </row>
    <row r="961" spans="1:15" x14ac:dyDescent="0.25">
      <c r="A961" t="s">
        <v>833</v>
      </c>
      <c r="B961" t="s">
        <v>15</v>
      </c>
      <c r="C961" t="s">
        <v>225</v>
      </c>
      <c r="D961" t="s">
        <v>17</v>
      </c>
      <c r="E961" t="s">
        <v>18</v>
      </c>
      <c r="F961" t="s">
        <v>19</v>
      </c>
      <c r="G961" t="s">
        <v>20</v>
      </c>
      <c r="J961" t="s">
        <v>17</v>
      </c>
      <c r="K961" t="str">
        <f>"6925970709132"</f>
        <v>6925970709132</v>
      </c>
      <c r="L961" t="str">
        <f>"98033703"</f>
        <v>98033703</v>
      </c>
      <c r="M961" t="s">
        <v>84</v>
      </c>
      <c r="N961" s="1">
        <v>43014.774305555555</v>
      </c>
      <c r="O961" t="s">
        <v>19</v>
      </c>
    </row>
    <row r="962" spans="1:15" x14ac:dyDescent="0.25">
      <c r="A962" t="s">
        <v>833</v>
      </c>
      <c r="B962" t="s">
        <v>15</v>
      </c>
      <c r="C962" t="s">
        <v>225</v>
      </c>
      <c r="D962" t="s">
        <v>17</v>
      </c>
      <c r="E962" t="s">
        <v>18</v>
      </c>
      <c r="F962" t="s">
        <v>19</v>
      </c>
      <c r="G962" t="s">
        <v>20</v>
      </c>
      <c r="J962" t="s">
        <v>17</v>
      </c>
      <c r="K962" t="str">
        <f>"6925970709125"</f>
        <v>6925970709125</v>
      </c>
      <c r="L962" t="str">
        <f>"98039125"</f>
        <v>98039125</v>
      </c>
      <c r="M962" t="s">
        <v>84</v>
      </c>
      <c r="N962" s="1">
        <v>43369.704861111109</v>
      </c>
      <c r="O962" t="s">
        <v>19</v>
      </c>
    </row>
    <row r="963" spans="1:15" x14ac:dyDescent="0.25">
      <c r="A963" t="s">
        <v>834</v>
      </c>
      <c r="B963" t="s">
        <v>15</v>
      </c>
      <c r="C963" t="s">
        <v>225</v>
      </c>
      <c r="D963" t="s">
        <v>17</v>
      </c>
      <c r="E963" t="s">
        <v>18</v>
      </c>
      <c r="F963" t="s">
        <v>19</v>
      </c>
      <c r="G963" t="s">
        <v>20</v>
      </c>
      <c r="J963" t="s">
        <v>17</v>
      </c>
      <c r="K963" t="str">
        <f>"6925970709095"</f>
        <v>6925970709095</v>
      </c>
      <c r="L963" t="str">
        <f>"98033701"</f>
        <v>98033701</v>
      </c>
      <c r="M963" t="s">
        <v>75</v>
      </c>
      <c r="N963" s="1">
        <v>43201.761805555558</v>
      </c>
      <c r="O963" t="s">
        <v>19</v>
      </c>
    </row>
    <row r="964" spans="1:15" x14ac:dyDescent="0.25">
      <c r="A964" t="s">
        <v>835</v>
      </c>
      <c r="B964" t="s">
        <v>15</v>
      </c>
      <c r="C964" t="s">
        <v>225</v>
      </c>
      <c r="D964" t="s">
        <v>17</v>
      </c>
      <c r="E964" t="s">
        <v>18</v>
      </c>
      <c r="F964" t="s">
        <v>19</v>
      </c>
      <c r="G964" t="s">
        <v>20</v>
      </c>
      <c r="J964" t="s">
        <v>17</v>
      </c>
      <c r="K964" t="str">
        <f>"25033700BK"</f>
        <v>25033700BK</v>
      </c>
      <c r="L964" t="str">
        <f>"25033700BK"</f>
        <v>25033700BK</v>
      </c>
      <c r="M964" t="s">
        <v>75</v>
      </c>
      <c r="N964" s="1">
        <v>42985.82708333333</v>
      </c>
      <c r="O964" t="s">
        <v>19</v>
      </c>
    </row>
    <row r="965" spans="1:15" x14ac:dyDescent="0.25">
      <c r="A965" t="s">
        <v>835</v>
      </c>
      <c r="B965" t="s">
        <v>15</v>
      </c>
      <c r="C965" t="s">
        <v>225</v>
      </c>
      <c r="D965" t="s">
        <v>17</v>
      </c>
      <c r="E965" t="s">
        <v>18</v>
      </c>
      <c r="F965" t="s">
        <v>19</v>
      </c>
      <c r="G965" t="s">
        <v>20</v>
      </c>
      <c r="J965" t="s">
        <v>17</v>
      </c>
      <c r="K965" t="str">
        <f>"6925970709088"</f>
        <v>6925970709088</v>
      </c>
      <c r="L965" t="str">
        <f>"98033700"</f>
        <v>98033700</v>
      </c>
      <c r="M965" t="s">
        <v>75</v>
      </c>
      <c r="N965" s="1">
        <v>43201.702777777777</v>
      </c>
      <c r="O965" t="s">
        <v>19</v>
      </c>
    </row>
    <row r="966" spans="1:15" x14ac:dyDescent="0.25">
      <c r="A966" t="s">
        <v>836</v>
      </c>
      <c r="B966" t="s">
        <v>15</v>
      </c>
      <c r="C966" t="s">
        <v>225</v>
      </c>
      <c r="D966" t="s">
        <v>17</v>
      </c>
      <c r="E966" t="s">
        <v>18</v>
      </c>
      <c r="F966" t="s">
        <v>19</v>
      </c>
      <c r="G966" t="s">
        <v>20</v>
      </c>
      <c r="J966" t="s">
        <v>17</v>
      </c>
      <c r="K966" t="str">
        <f>"6925970709101"</f>
        <v>6925970709101</v>
      </c>
      <c r="L966" t="str">
        <f>"98033702"</f>
        <v>98033702</v>
      </c>
      <c r="M966" t="s">
        <v>84</v>
      </c>
      <c r="N966" s="1">
        <v>43313.961111111108</v>
      </c>
      <c r="O966" t="s">
        <v>19</v>
      </c>
    </row>
    <row r="967" spans="1:15" x14ac:dyDescent="0.25">
      <c r="A967" t="s">
        <v>837</v>
      </c>
      <c r="B967" t="s">
        <v>15</v>
      </c>
      <c r="C967" t="s">
        <v>225</v>
      </c>
      <c r="D967" t="s">
        <v>17</v>
      </c>
      <c r="E967" t="s">
        <v>18</v>
      </c>
      <c r="F967" t="s">
        <v>19</v>
      </c>
      <c r="G967" t="s">
        <v>20</v>
      </c>
      <c r="H967" t="s">
        <v>8</v>
      </c>
      <c r="I967" t="s">
        <v>8</v>
      </c>
      <c r="J967" t="s">
        <v>17</v>
      </c>
      <c r="K967" t="str">
        <f>"6925970709439"</f>
        <v>6925970709439</v>
      </c>
      <c r="L967" t="str">
        <f>"98033705"</f>
        <v>98033705</v>
      </c>
      <c r="M967" t="s">
        <v>21</v>
      </c>
      <c r="N967" s="1">
        <v>43853.92291666667</v>
      </c>
      <c r="O967" t="s">
        <v>19</v>
      </c>
    </row>
    <row r="968" spans="1:15" x14ac:dyDescent="0.25">
      <c r="A968" t="s">
        <v>838</v>
      </c>
      <c r="B968" t="s">
        <v>15</v>
      </c>
      <c r="C968" t="s">
        <v>225</v>
      </c>
      <c r="D968" t="s">
        <v>17</v>
      </c>
      <c r="E968" t="s">
        <v>18</v>
      </c>
      <c r="F968" t="s">
        <v>19</v>
      </c>
      <c r="G968" t="s">
        <v>20</v>
      </c>
      <c r="J968" t="s">
        <v>17</v>
      </c>
      <c r="K968" t="str">
        <f>"609585241794"</f>
        <v>609585241794</v>
      </c>
      <c r="L968" t="str">
        <f>"25033900RD"</f>
        <v>25033900RD</v>
      </c>
      <c r="M968" t="s">
        <v>75</v>
      </c>
      <c r="N968" s="1">
        <v>43014.921527777777</v>
      </c>
      <c r="O968" t="s">
        <v>19</v>
      </c>
    </row>
    <row r="969" spans="1:15" x14ac:dyDescent="0.25">
      <c r="A969" t="s">
        <v>838</v>
      </c>
      <c r="B969" t="s">
        <v>15</v>
      </c>
      <c r="C969" t="s">
        <v>225</v>
      </c>
      <c r="D969" t="s">
        <v>17</v>
      </c>
      <c r="E969" t="s">
        <v>18</v>
      </c>
      <c r="F969" t="s">
        <v>19</v>
      </c>
      <c r="G969" t="s">
        <v>20</v>
      </c>
      <c r="J969" t="s">
        <v>17</v>
      </c>
      <c r="K969" t="str">
        <f>"609585241824"</f>
        <v>609585241824</v>
      </c>
      <c r="L969" t="str">
        <f>"25033900WH"</f>
        <v>25033900WH</v>
      </c>
      <c r="M969" t="s">
        <v>75</v>
      </c>
      <c r="N969" s="1">
        <v>43014.921527777777</v>
      </c>
      <c r="O969" t="s">
        <v>19</v>
      </c>
    </row>
    <row r="970" spans="1:15" x14ac:dyDescent="0.25">
      <c r="A970" t="s">
        <v>839</v>
      </c>
      <c r="B970" t="s">
        <v>15</v>
      </c>
      <c r="C970" t="s">
        <v>225</v>
      </c>
      <c r="D970" t="s">
        <v>17</v>
      </c>
      <c r="E970" t="s">
        <v>18</v>
      </c>
      <c r="F970" t="s">
        <v>19</v>
      </c>
      <c r="G970" t="s">
        <v>20</v>
      </c>
      <c r="H970" t="s">
        <v>8</v>
      </c>
      <c r="I970" t="s">
        <v>8</v>
      </c>
      <c r="J970" t="s">
        <v>17</v>
      </c>
      <c r="K970" t="str">
        <f>"4895185623658"</f>
        <v>4895185623658</v>
      </c>
      <c r="L970" t="str">
        <f>"27PHL5000N"</f>
        <v>27PHL5000N</v>
      </c>
      <c r="M970" t="s">
        <v>21</v>
      </c>
      <c r="N970" s="1">
        <v>44001.652777777781</v>
      </c>
      <c r="O970" t="s">
        <v>19</v>
      </c>
    </row>
    <row r="971" spans="1:15" x14ac:dyDescent="0.25">
      <c r="A971" t="s">
        <v>840</v>
      </c>
      <c r="B971" t="s">
        <v>15</v>
      </c>
      <c r="C971" t="s">
        <v>225</v>
      </c>
      <c r="D971" t="s">
        <v>17</v>
      </c>
      <c r="E971" t="s">
        <v>18</v>
      </c>
      <c r="F971" t="s">
        <v>19</v>
      </c>
      <c r="G971" t="s">
        <v>20</v>
      </c>
      <c r="J971" t="s">
        <v>17</v>
      </c>
      <c r="K971" t="str">
        <f>"609585242425"</f>
        <v>609585242425</v>
      </c>
      <c r="L971" t="str">
        <f>"25033900PP"</f>
        <v>25033900PP</v>
      </c>
      <c r="M971" t="s">
        <v>75</v>
      </c>
      <c r="N971" s="1">
        <v>43146.729861111111</v>
      </c>
      <c r="O971" t="s">
        <v>19</v>
      </c>
    </row>
    <row r="972" spans="1:15" x14ac:dyDescent="0.25">
      <c r="A972" t="s">
        <v>841</v>
      </c>
      <c r="B972" t="s">
        <v>15</v>
      </c>
      <c r="C972" t="s">
        <v>225</v>
      </c>
      <c r="D972" t="s">
        <v>17</v>
      </c>
      <c r="E972" t="s">
        <v>18</v>
      </c>
      <c r="F972" t="s">
        <v>19</v>
      </c>
      <c r="G972" t="s">
        <v>20</v>
      </c>
      <c r="H972" t="s">
        <v>8</v>
      </c>
      <c r="I972" t="s">
        <v>8</v>
      </c>
      <c r="J972" t="s">
        <v>17</v>
      </c>
      <c r="K972" t="str">
        <f>"609585231559"</f>
        <v>609585231559</v>
      </c>
      <c r="L972" t="str">
        <f>"98033000"</f>
        <v>98033000</v>
      </c>
      <c r="M972" t="s">
        <v>21</v>
      </c>
      <c r="N972" s="1">
        <v>43706.642361111109</v>
      </c>
      <c r="O972" t="s">
        <v>19</v>
      </c>
    </row>
    <row r="973" spans="1:15" x14ac:dyDescent="0.25">
      <c r="A973" t="s">
        <v>842</v>
      </c>
      <c r="B973" t="s">
        <v>15</v>
      </c>
      <c r="C973" t="s">
        <v>225</v>
      </c>
      <c r="D973" t="s">
        <v>17</v>
      </c>
      <c r="E973" t="s">
        <v>18</v>
      </c>
      <c r="F973" t="s">
        <v>19</v>
      </c>
      <c r="G973" t="s">
        <v>20</v>
      </c>
      <c r="H973" t="s">
        <v>8</v>
      </c>
      <c r="I973" t="s">
        <v>8</v>
      </c>
      <c r="J973" t="s">
        <v>17</v>
      </c>
      <c r="K973" t="str">
        <f>"609585228993"</f>
        <v>609585228993</v>
      </c>
      <c r="L973" t="str">
        <f>"10001747"</f>
        <v>10001747</v>
      </c>
      <c r="M973" t="s">
        <v>21</v>
      </c>
      <c r="N973" s="1">
        <v>43546.618750000001</v>
      </c>
      <c r="O973" t="s">
        <v>19</v>
      </c>
    </row>
    <row r="974" spans="1:15" x14ac:dyDescent="0.25">
      <c r="A974" t="s">
        <v>843</v>
      </c>
      <c r="B974" t="s">
        <v>15</v>
      </c>
      <c r="C974" t="s">
        <v>225</v>
      </c>
      <c r="D974" t="s">
        <v>17</v>
      </c>
      <c r="E974" t="s">
        <v>18</v>
      </c>
      <c r="F974" t="s">
        <v>19</v>
      </c>
      <c r="G974" t="s">
        <v>20</v>
      </c>
      <c r="H974" t="s">
        <v>8</v>
      </c>
      <c r="I974" t="s">
        <v>8</v>
      </c>
      <c r="J974" t="s">
        <v>17</v>
      </c>
      <c r="K974" t="str">
        <f>"889446007664"</f>
        <v>889446007664</v>
      </c>
      <c r="L974" t="str">
        <f>"10112177"</f>
        <v>10112177</v>
      </c>
      <c r="M974" t="s">
        <v>21</v>
      </c>
      <c r="N974" s="1">
        <v>43708.769444444442</v>
      </c>
      <c r="O974" t="s">
        <v>19</v>
      </c>
    </row>
    <row r="975" spans="1:15" x14ac:dyDescent="0.25">
      <c r="A975" t="s">
        <v>844</v>
      </c>
      <c r="B975" t="s">
        <v>15</v>
      </c>
      <c r="C975" t="s">
        <v>225</v>
      </c>
      <c r="D975" t="s">
        <v>17</v>
      </c>
      <c r="E975" t="s">
        <v>18</v>
      </c>
      <c r="F975" t="s">
        <v>19</v>
      </c>
      <c r="G975" t="s">
        <v>20</v>
      </c>
      <c r="H975" t="s">
        <v>8</v>
      </c>
      <c r="I975" t="s">
        <v>8</v>
      </c>
      <c r="J975" t="s">
        <v>17</v>
      </c>
      <c r="K975" t="str">
        <f>"889446007190"</f>
        <v>889446007190</v>
      </c>
      <c r="L975" t="str">
        <f>"98075000"</f>
        <v>98075000</v>
      </c>
      <c r="M975" t="s">
        <v>21</v>
      </c>
      <c r="N975" s="1">
        <v>43706.640972222223</v>
      </c>
      <c r="O975" t="s">
        <v>19</v>
      </c>
    </row>
    <row r="976" spans="1:15" x14ac:dyDescent="0.25">
      <c r="A976" t="s">
        <v>845</v>
      </c>
      <c r="B976" t="s">
        <v>15</v>
      </c>
      <c r="C976" t="s">
        <v>225</v>
      </c>
      <c r="D976" t="s">
        <v>17</v>
      </c>
      <c r="E976" t="s">
        <v>18</v>
      </c>
      <c r="F976" t="s">
        <v>19</v>
      </c>
      <c r="G976" t="s">
        <v>20</v>
      </c>
      <c r="J976" t="s">
        <v>17</v>
      </c>
      <c r="K976" t="str">
        <f>"889446004717"</f>
        <v>889446004717</v>
      </c>
      <c r="L976" t="str">
        <f>"98021250"</f>
        <v>98021250</v>
      </c>
      <c r="M976" t="s">
        <v>84</v>
      </c>
      <c r="N976" s="1">
        <v>43495.741666666669</v>
      </c>
      <c r="O976" t="s">
        <v>19</v>
      </c>
    </row>
    <row r="977" spans="1:15" x14ac:dyDescent="0.25">
      <c r="A977" t="s">
        <v>846</v>
      </c>
      <c r="B977" t="s">
        <v>15</v>
      </c>
      <c r="C977" t="s">
        <v>225</v>
      </c>
      <c r="D977" t="s">
        <v>17</v>
      </c>
      <c r="E977" t="s">
        <v>18</v>
      </c>
      <c r="F977" t="s">
        <v>19</v>
      </c>
      <c r="G977" t="s">
        <v>20</v>
      </c>
      <c r="H977" t="s">
        <v>8</v>
      </c>
      <c r="I977" t="s">
        <v>8</v>
      </c>
      <c r="J977" t="s">
        <v>17</v>
      </c>
      <c r="K977" t="str">
        <f>"609585228481"</f>
        <v>609585228481</v>
      </c>
      <c r="L977" t="str">
        <f>"25034200"</f>
        <v>25034200</v>
      </c>
      <c r="M977" t="s">
        <v>21</v>
      </c>
      <c r="N977" s="1">
        <v>42872.839583333334</v>
      </c>
      <c r="O977" t="s">
        <v>19</v>
      </c>
    </row>
    <row r="978" spans="1:15" x14ac:dyDescent="0.25">
      <c r="A978" t="s">
        <v>847</v>
      </c>
      <c r="B978" t="s">
        <v>15</v>
      </c>
      <c r="C978" t="s">
        <v>225</v>
      </c>
      <c r="D978" t="s">
        <v>17</v>
      </c>
      <c r="E978" t="s">
        <v>18</v>
      </c>
      <c r="F978" t="s">
        <v>19</v>
      </c>
      <c r="G978" t="s">
        <v>20</v>
      </c>
      <c r="J978" t="s">
        <v>17</v>
      </c>
      <c r="K978" t="str">
        <f>"8712581523503"</f>
        <v>8712581523503</v>
      </c>
      <c r="L978" t="str">
        <f>"98038100"</f>
        <v>98038100</v>
      </c>
      <c r="M978" t="s">
        <v>75</v>
      </c>
      <c r="N978" s="1">
        <v>43201.7</v>
      </c>
      <c r="O978" t="s">
        <v>19</v>
      </c>
    </row>
    <row r="979" spans="1:15" x14ac:dyDescent="0.25">
      <c r="A979" t="s">
        <v>848</v>
      </c>
      <c r="B979" t="s">
        <v>15</v>
      </c>
      <c r="C979" t="s">
        <v>225</v>
      </c>
      <c r="D979" t="s">
        <v>17</v>
      </c>
      <c r="E979" t="s">
        <v>18</v>
      </c>
      <c r="F979" t="s">
        <v>19</v>
      </c>
      <c r="G979" t="s">
        <v>20</v>
      </c>
      <c r="H979" t="s">
        <v>8</v>
      </c>
      <c r="I979" t="s">
        <v>8</v>
      </c>
      <c r="J979" t="s">
        <v>17</v>
      </c>
      <c r="K979" t="str">
        <f>"840063200364"</f>
        <v>840063200364</v>
      </c>
      <c r="L979" t="str">
        <f>"98030100"</f>
        <v>98030100</v>
      </c>
      <c r="M979" t="s">
        <v>21</v>
      </c>
      <c r="N979" s="1">
        <v>43451.793055555558</v>
      </c>
      <c r="O979" t="s">
        <v>19</v>
      </c>
    </row>
    <row r="980" spans="1:15" x14ac:dyDescent="0.25">
      <c r="A980" t="s">
        <v>849</v>
      </c>
      <c r="B980" t="s">
        <v>15</v>
      </c>
      <c r="C980" t="s">
        <v>225</v>
      </c>
      <c r="D980" t="s">
        <v>17</v>
      </c>
      <c r="E980" t="s">
        <v>18</v>
      </c>
      <c r="F980" t="s">
        <v>19</v>
      </c>
      <c r="G980" t="s">
        <v>20</v>
      </c>
      <c r="J980" t="s">
        <v>17</v>
      </c>
      <c r="K980" t="str">
        <f>"66275300"</f>
        <v>66275300</v>
      </c>
      <c r="L980" t="str">
        <f>"66275300"</f>
        <v>66275300</v>
      </c>
      <c r="M980" t="s">
        <v>75</v>
      </c>
      <c r="N980" s="1">
        <v>42872.847222222219</v>
      </c>
      <c r="O980" t="s">
        <v>19</v>
      </c>
    </row>
    <row r="981" spans="1:15" x14ac:dyDescent="0.25">
      <c r="A981" t="s">
        <v>850</v>
      </c>
      <c r="B981" t="s">
        <v>15</v>
      </c>
      <c r="C981" t="s">
        <v>225</v>
      </c>
      <c r="D981" t="s">
        <v>17</v>
      </c>
      <c r="E981" t="s">
        <v>18</v>
      </c>
      <c r="F981" t="s">
        <v>19</v>
      </c>
      <c r="G981" t="s">
        <v>20</v>
      </c>
      <c r="H981" t="s">
        <v>8</v>
      </c>
      <c r="I981" t="s">
        <v>8</v>
      </c>
      <c r="J981" t="s">
        <v>17</v>
      </c>
      <c r="K981" t="str">
        <f>"814633020812"</f>
        <v>814633020812</v>
      </c>
      <c r="L981" t="str">
        <f>"27PNR0E3BL"</f>
        <v>27PNR0E3BL</v>
      </c>
      <c r="M981" t="s">
        <v>21</v>
      </c>
      <c r="N981" s="1">
        <v>44001.63958333333</v>
      </c>
      <c r="O981" t="s">
        <v>19</v>
      </c>
    </row>
    <row r="982" spans="1:15" x14ac:dyDescent="0.25">
      <c r="A982" t="s">
        <v>851</v>
      </c>
      <c r="B982" t="s">
        <v>15</v>
      </c>
      <c r="C982" t="s">
        <v>225</v>
      </c>
      <c r="D982" t="s">
        <v>17</v>
      </c>
      <c r="E982" t="s">
        <v>18</v>
      </c>
      <c r="F982" t="s">
        <v>19</v>
      </c>
      <c r="G982" t="s">
        <v>20</v>
      </c>
      <c r="J982" t="s">
        <v>17</v>
      </c>
      <c r="K982" t="str">
        <f>"8120201700881"</f>
        <v>8120201700881</v>
      </c>
      <c r="L982" t="str">
        <f>"10030088"</f>
        <v>10030088</v>
      </c>
      <c r="M982" t="s">
        <v>75</v>
      </c>
      <c r="N982" s="1">
        <v>43175.95</v>
      </c>
      <c r="O982" t="s">
        <v>19</v>
      </c>
    </row>
    <row r="983" spans="1:15" x14ac:dyDescent="0.25">
      <c r="A983" t="s">
        <v>852</v>
      </c>
      <c r="B983" t="s">
        <v>15</v>
      </c>
      <c r="C983" t="s">
        <v>225</v>
      </c>
      <c r="D983" t="s">
        <v>17</v>
      </c>
      <c r="E983" t="s">
        <v>18</v>
      </c>
      <c r="F983" t="s">
        <v>19</v>
      </c>
      <c r="G983" t="s">
        <v>20</v>
      </c>
      <c r="H983" t="s">
        <v>8</v>
      </c>
      <c r="I983" t="s">
        <v>8</v>
      </c>
      <c r="J983" t="s">
        <v>17</v>
      </c>
      <c r="K983" t="str">
        <f>"7394291016813"</f>
        <v>7394291016813</v>
      </c>
      <c r="L983" t="str">
        <f>"1594408692658"</f>
        <v>1594408692658</v>
      </c>
      <c r="M983" t="s">
        <v>21</v>
      </c>
      <c r="N983" s="1">
        <v>43805.811111111114</v>
      </c>
      <c r="O983" t="s">
        <v>19</v>
      </c>
    </row>
    <row r="984" spans="1:15" x14ac:dyDescent="0.25">
      <c r="A984" t="s">
        <v>853</v>
      </c>
      <c r="B984" t="s">
        <v>15</v>
      </c>
      <c r="C984" t="s">
        <v>225</v>
      </c>
      <c r="D984" t="s">
        <v>17</v>
      </c>
      <c r="E984" t="s">
        <v>18</v>
      </c>
      <c r="F984" t="s">
        <v>19</v>
      </c>
      <c r="G984" t="s">
        <v>20</v>
      </c>
      <c r="J984" t="s">
        <v>17</v>
      </c>
      <c r="K984" t="str">
        <f>"25580010"</f>
        <v>25580010</v>
      </c>
      <c r="L984" t="str">
        <f>"25580010"</f>
        <v>25580010</v>
      </c>
      <c r="M984" t="s">
        <v>75</v>
      </c>
      <c r="N984" s="1">
        <v>42872.839583333334</v>
      </c>
      <c r="O984" t="s">
        <v>19</v>
      </c>
    </row>
    <row r="985" spans="1:15" x14ac:dyDescent="0.25">
      <c r="A985" t="s">
        <v>854</v>
      </c>
      <c r="B985" t="s">
        <v>15</v>
      </c>
      <c r="C985" t="s">
        <v>225</v>
      </c>
      <c r="D985" t="s">
        <v>17</v>
      </c>
      <c r="E985" t="s">
        <v>18</v>
      </c>
      <c r="F985" t="s">
        <v>19</v>
      </c>
      <c r="G985" t="s">
        <v>20</v>
      </c>
      <c r="J985" t="s">
        <v>17</v>
      </c>
      <c r="K985" t="str">
        <f>"66003711"</f>
        <v>66003711</v>
      </c>
      <c r="L985" t="str">
        <f>"66003711"</f>
        <v>66003711</v>
      </c>
      <c r="M985" t="s">
        <v>75</v>
      </c>
      <c r="N985" s="1">
        <v>42872.847222222219</v>
      </c>
      <c r="O985" t="s">
        <v>19</v>
      </c>
    </row>
    <row r="986" spans="1:15" x14ac:dyDescent="0.25">
      <c r="A986" t="s">
        <v>855</v>
      </c>
      <c r="B986" t="s">
        <v>15</v>
      </c>
      <c r="C986" t="s">
        <v>225</v>
      </c>
      <c r="D986" t="s">
        <v>17</v>
      </c>
      <c r="E986" t="s">
        <v>18</v>
      </c>
      <c r="F986" t="s">
        <v>19</v>
      </c>
      <c r="G986" t="s">
        <v>20</v>
      </c>
      <c r="J986" t="s">
        <v>17</v>
      </c>
      <c r="K986" t="str">
        <f>"66378015"</f>
        <v>66378015</v>
      </c>
      <c r="L986" t="str">
        <f>"66378015"</f>
        <v>66378015</v>
      </c>
      <c r="M986" t="s">
        <v>75</v>
      </c>
      <c r="N986" s="1">
        <v>42872.847222222219</v>
      </c>
      <c r="O986" t="s">
        <v>19</v>
      </c>
    </row>
    <row r="987" spans="1:15" x14ac:dyDescent="0.25">
      <c r="A987" t="s">
        <v>856</v>
      </c>
      <c r="B987" t="s">
        <v>15</v>
      </c>
      <c r="C987" t="s">
        <v>225</v>
      </c>
      <c r="D987" t="s">
        <v>17</v>
      </c>
      <c r="E987" t="s">
        <v>18</v>
      </c>
      <c r="F987" t="s">
        <v>19</v>
      </c>
      <c r="G987" t="s">
        <v>20</v>
      </c>
      <c r="J987" t="s">
        <v>17</v>
      </c>
      <c r="K987" t="str">
        <f>"027242861022"</f>
        <v>027242861022</v>
      </c>
      <c r="L987" t="str">
        <f>"25031500"</f>
        <v>25031500</v>
      </c>
      <c r="M987" t="s">
        <v>75</v>
      </c>
      <c r="N987" s="1">
        <v>42872.839583333334</v>
      </c>
      <c r="O987" t="s">
        <v>19</v>
      </c>
    </row>
    <row r="988" spans="1:15" x14ac:dyDescent="0.25">
      <c r="A988" t="s">
        <v>857</v>
      </c>
      <c r="B988" t="s">
        <v>15</v>
      </c>
      <c r="C988" t="s">
        <v>225</v>
      </c>
      <c r="D988" t="s">
        <v>17</v>
      </c>
      <c r="E988" t="s">
        <v>18</v>
      </c>
      <c r="F988" t="s">
        <v>19</v>
      </c>
      <c r="G988" t="s">
        <v>20</v>
      </c>
      <c r="J988" t="s">
        <v>17</v>
      </c>
      <c r="K988" t="str">
        <f>"25580009"</f>
        <v>25580009</v>
      </c>
      <c r="L988" t="str">
        <f>"25580009"</f>
        <v>25580009</v>
      </c>
      <c r="M988" t="s">
        <v>75</v>
      </c>
      <c r="N988" s="1">
        <v>42872.839583333334</v>
      </c>
      <c r="O988" t="s">
        <v>19</v>
      </c>
    </row>
    <row r="989" spans="1:15" x14ac:dyDescent="0.25">
      <c r="A989" t="s">
        <v>858</v>
      </c>
      <c r="B989" t="s">
        <v>15</v>
      </c>
      <c r="C989" t="s">
        <v>225</v>
      </c>
      <c r="D989" t="s">
        <v>17</v>
      </c>
      <c r="E989" t="s">
        <v>18</v>
      </c>
      <c r="F989" t="s">
        <v>19</v>
      </c>
      <c r="G989" t="s">
        <v>20</v>
      </c>
      <c r="H989" t="s">
        <v>8</v>
      </c>
      <c r="I989" t="s">
        <v>8</v>
      </c>
      <c r="J989" t="s">
        <v>17</v>
      </c>
      <c r="K989" t="str">
        <f>"027242815131"</f>
        <v>027242815131</v>
      </c>
      <c r="L989" t="str">
        <f>"98030099"</f>
        <v>98030099</v>
      </c>
      <c r="M989" t="s">
        <v>21</v>
      </c>
      <c r="N989" s="1">
        <v>43805.892361111109</v>
      </c>
      <c r="O989" t="s">
        <v>19</v>
      </c>
    </row>
    <row r="990" spans="1:15" x14ac:dyDescent="0.25">
      <c r="A990" t="s">
        <v>859</v>
      </c>
      <c r="B990" t="s">
        <v>15</v>
      </c>
      <c r="C990" t="s">
        <v>225</v>
      </c>
      <c r="D990" t="s">
        <v>17</v>
      </c>
      <c r="E990" t="s">
        <v>18</v>
      </c>
      <c r="F990" t="s">
        <v>19</v>
      </c>
      <c r="G990" t="s">
        <v>20</v>
      </c>
      <c r="H990" t="s">
        <v>8</v>
      </c>
      <c r="I990" t="s">
        <v>8</v>
      </c>
      <c r="J990" t="s">
        <v>17</v>
      </c>
      <c r="K990" t="str">
        <f>"027242813984"</f>
        <v>027242813984</v>
      </c>
      <c r="L990" t="str">
        <f>"98033984"</f>
        <v>98033984</v>
      </c>
      <c r="M990" t="s">
        <v>21</v>
      </c>
      <c r="N990" s="1">
        <v>43014.912499999999</v>
      </c>
      <c r="O990" t="s">
        <v>19</v>
      </c>
    </row>
    <row r="991" spans="1:15" x14ac:dyDescent="0.25">
      <c r="A991" t="s">
        <v>859</v>
      </c>
      <c r="B991" t="s">
        <v>15</v>
      </c>
      <c r="C991" t="s">
        <v>225</v>
      </c>
      <c r="D991" t="s">
        <v>17</v>
      </c>
      <c r="E991" t="s">
        <v>18</v>
      </c>
      <c r="F991" t="s">
        <v>19</v>
      </c>
      <c r="G991" t="s">
        <v>20</v>
      </c>
      <c r="H991" t="s">
        <v>8</v>
      </c>
      <c r="I991" t="s">
        <v>8</v>
      </c>
      <c r="J991" t="s">
        <v>17</v>
      </c>
      <c r="K991" t="str">
        <f>"37SONMDR9N"</f>
        <v>37SONMDR9N</v>
      </c>
      <c r="L991" t="str">
        <f>"37SONMDR9N"</f>
        <v>37SONMDR9N</v>
      </c>
      <c r="M991" t="s">
        <v>21</v>
      </c>
      <c r="N991" s="1">
        <v>43805.890972222223</v>
      </c>
      <c r="O991" t="s">
        <v>19</v>
      </c>
    </row>
    <row r="992" spans="1:15" x14ac:dyDescent="0.25">
      <c r="A992" t="s">
        <v>860</v>
      </c>
      <c r="B992" t="s">
        <v>15</v>
      </c>
      <c r="C992" t="s">
        <v>225</v>
      </c>
      <c r="D992" t="s">
        <v>17</v>
      </c>
      <c r="E992" t="s">
        <v>18</v>
      </c>
      <c r="F992" t="s">
        <v>19</v>
      </c>
      <c r="G992" t="s">
        <v>20</v>
      </c>
      <c r="H992" t="s">
        <v>8</v>
      </c>
      <c r="I992" t="s">
        <v>8</v>
      </c>
      <c r="J992" t="s">
        <v>17</v>
      </c>
      <c r="K992" t="str">
        <f>"027242815100"</f>
        <v>027242815100</v>
      </c>
      <c r="L992" t="str">
        <f>"37SONMDR9B"</f>
        <v>37SONMDR9B</v>
      </c>
      <c r="M992" t="s">
        <v>21</v>
      </c>
      <c r="N992" s="1">
        <v>43805.895138888889</v>
      </c>
      <c r="O992" t="s">
        <v>19</v>
      </c>
    </row>
    <row r="993" spans="1:15" x14ac:dyDescent="0.25">
      <c r="A993" t="s">
        <v>861</v>
      </c>
      <c r="B993" t="s">
        <v>15</v>
      </c>
      <c r="C993" t="s">
        <v>225</v>
      </c>
      <c r="D993" t="s">
        <v>17</v>
      </c>
      <c r="E993" t="s">
        <v>18</v>
      </c>
      <c r="F993" t="s">
        <v>19</v>
      </c>
      <c r="G993" t="s">
        <v>20</v>
      </c>
      <c r="H993" t="s">
        <v>8</v>
      </c>
      <c r="I993" t="s">
        <v>8</v>
      </c>
      <c r="J993" t="s">
        <v>17</v>
      </c>
      <c r="K993" t="str">
        <f>"027242815117"</f>
        <v>027242815117</v>
      </c>
      <c r="L993" t="str">
        <f>"98035117"</f>
        <v>98035117</v>
      </c>
      <c r="M993" t="s">
        <v>21</v>
      </c>
      <c r="N993" s="1">
        <v>43014.911111111112</v>
      </c>
      <c r="O993" t="s">
        <v>19</v>
      </c>
    </row>
    <row r="994" spans="1:15" x14ac:dyDescent="0.25">
      <c r="A994" t="s">
        <v>861</v>
      </c>
      <c r="B994" t="s">
        <v>15</v>
      </c>
      <c r="C994" t="s">
        <v>225</v>
      </c>
      <c r="D994" t="s">
        <v>17</v>
      </c>
      <c r="E994" t="s">
        <v>18</v>
      </c>
      <c r="F994" t="s">
        <v>19</v>
      </c>
      <c r="G994" t="s">
        <v>20</v>
      </c>
      <c r="H994" t="s">
        <v>8</v>
      </c>
      <c r="I994" t="s">
        <v>8</v>
      </c>
      <c r="J994" t="s">
        <v>17</v>
      </c>
      <c r="K994" t="str">
        <f>"37SONMDR9G"</f>
        <v>37SONMDR9G</v>
      </c>
      <c r="L994" t="str">
        <f>"37SONMDR9G"</f>
        <v>37SONMDR9G</v>
      </c>
      <c r="M994" t="s">
        <v>21</v>
      </c>
      <c r="N994" s="1">
        <v>44001.631249999999</v>
      </c>
      <c r="O994" t="s">
        <v>19</v>
      </c>
    </row>
    <row r="995" spans="1:15" x14ac:dyDescent="0.25">
      <c r="A995" t="s">
        <v>862</v>
      </c>
      <c r="B995" t="s">
        <v>15</v>
      </c>
      <c r="C995" t="s">
        <v>225</v>
      </c>
      <c r="D995" t="s">
        <v>17</v>
      </c>
      <c r="E995" t="s">
        <v>18</v>
      </c>
      <c r="F995" t="s">
        <v>19</v>
      </c>
      <c r="G995" t="s">
        <v>20</v>
      </c>
      <c r="H995" t="s">
        <v>8</v>
      </c>
      <c r="I995" t="s">
        <v>8</v>
      </c>
      <c r="J995" t="s">
        <v>17</v>
      </c>
      <c r="K995" t="str">
        <f>"98035131"</f>
        <v>98035131</v>
      </c>
      <c r="L995" t="str">
        <f>"98035131"</f>
        <v>98035131</v>
      </c>
      <c r="M995" t="s">
        <v>21</v>
      </c>
      <c r="N995" s="1">
        <v>43014.90902777778</v>
      </c>
      <c r="O995" t="s">
        <v>19</v>
      </c>
    </row>
    <row r="996" spans="1:15" x14ac:dyDescent="0.25">
      <c r="A996" t="s">
        <v>863</v>
      </c>
      <c r="B996" t="s">
        <v>15</v>
      </c>
      <c r="C996" t="s">
        <v>225</v>
      </c>
      <c r="D996" t="s">
        <v>17</v>
      </c>
      <c r="E996" t="s">
        <v>18</v>
      </c>
      <c r="F996" t="s">
        <v>19</v>
      </c>
      <c r="G996" t="s">
        <v>20</v>
      </c>
      <c r="J996" t="s">
        <v>17</v>
      </c>
      <c r="K996" t="str">
        <f>"027242815124"</f>
        <v>027242815124</v>
      </c>
      <c r="L996" t="str">
        <f>"98035124"</f>
        <v>98035124</v>
      </c>
      <c r="M996" t="s">
        <v>84</v>
      </c>
      <c r="N996" s="1">
        <v>43014.902777777781</v>
      </c>
      <c r="O996" t="s">
        <v>19</v>
      </c>
    </row>
    <row r="997" spans="1:15" x14ac:dyDescent="0.25">
      <c r="A997" t="s">
        <v>863</v>
      </c>
      <c r="B997" t="s">
        <v>15</v>
      </c>
      <c r="C997" t="s">
        <v>225</v>
      </c>
      <c r="D997" t="s">
        <v>17</v>
      </c>
      <c r="E997" t="s">
        <v>18</v>
      </c>
      <c r="F997" t="s">
        <v>19</v>
      </c>
      <c r="G997" t="s">
        <v>20</v>
      </c>
      <c r="H997" t="s">
        <v>8</v>
      </c>
      <c r="I997" t="s">
        <v>8</v>
      </c>
      <c r="J997" t="s">
        <v>17</v>
      </c>
      <c r="K997" t="str">
        <f>"98035100"</f>
        <v>98035100</v>
      </c>
      <c r="L997" t="str">
        <f>"98035100"</f>
        <v>98035100</v>
      </c>
      <c r="M997" t="s">
        <v>21</v>
      </c>
      <c r="N997" s="1">
        <v>42872.839583333334</v>
      </c>
      <c r="O997" t="s">
        <v>19</v>
      </c>
    </row>
    <row r="998" spans="1:15" x14ac:dyDescent="0.25">
      <c r="A998" t="s">
        <v>864</v>
      </c>
      <c r="B998" t="s">
        <v>15</v>
      </c>
      <c r="C998" t="s">
        <v>225</v>
      </c>
      <c r="D998" t="s">
        <v>17</v>
      </c>
      <c r="E998" t="s">
        <v>18</v>
      </c>
      <c r="F998" t="s">
        <v>19</v>
      </c>
      <c r="G998" t="s">
        <v>20</v>
      </c>
      <c r="H998" t="s">
        <v>8</v>
      </c>
      <c r="I998" t="s">
        <v>8</v>
      </c>
      <c r="J998" t="s">
        <v>17</v>
      </c>
      <c r="K998" t="str">
        <f>"37SONMDR9P"</f>
        <v>37SONMDR9P</v>
      </c>
      <c r="L998" t="str">
        <f>"37SONMDR9P"</f>
        <v>37SONMDR9P</v>
      </c>
      <c r="M998" t="s">
        <v>21</v>
      </c>
      <c r="N998" s="1">
        <v>43805.893750000003</v>
      </c>
      <c r="O998" t="s">
        <v>19</v>
      </c>
    </row>
    <row r="999" spans="1:15" x14ac:dyDescent="0.25">
      <c r="A999" t="s">
        <v>865</v>
      </c>
      <c r="B999" t="s">
        <v>15</v>
      </c>
      <c r="C999" t="s">
        <v>225</v>
      </c>
      <c r="D999" t="s">
        <v>17</v>
      </c>
      <c r="E999" t="s">
        <v>18</v>
      </c>
      <c r="F999" t="s">
        <v>19</v>
      </c>
      <c r="G999" t="s">
        <v>20</v>
      </c>
      <c r="H999" t="s">
        <v>8</v>
      </c>
      <c r="I999" t="s">
        <v>8</v>
      </c>
      <c r="J999" t="s">
        <v>17</v>
      </c>
      <c r="K999" t="str">
        <f>"98038656"</f>
        <v>98038656</v>
      </c>
      <c r="L999" t="str">
        <f>"98038656"</f>
        <v>98038656</v>
      </c>
      <c r="M999" t="s">
        <v>21</v>
      </c>
      <c r="N999" s="1">
        <v>43013.613194444442</v>
      </c>
      <c r="O999" t="s">
        <v>19</v>
      </c>
    </row>
    <row r="1000" spans="1:15" x14ac:dyDescent="0.25">
      <c r="A1000" t="s">
        <v>865</v>
      </c>
      <c r="B1000" t="s">
        <v>15</v>
      </c>
      <c r="C1000" t="s">
        <v>225</v>
      </c>
      <c r="D1000" t="s">
        <v>17</v>
      </c>
      <c r="E1000" t="s">
        <v>18</v>
      </c>
      <c r="F1000" t="s">
        <v>19</v>
      </c>
      <c r="G1000" t="s">
        <v>20</v>
      </c>
      <c r="H1000" t="s">
        <v>8</v>
      </c>
      <c r="I1000" t="s">
        <v>8</v>
      </c>
      <c r="J1000" t="s">
        <v>17</v>
      </c>
      <c r="K1000" t="str">
        <f>"027242868656"</f>
        <v>027242868656</v>
      </c>
      <c r="L1000" t="str">
        <f>"25028656"</f>
        <v>25028656</v>
      </c>
      <c r="M1000" t="s">
        <v>21</v>
      </c>
      <c r="N1000" s="1">
        <v>44001.632638888892</v>
      </c>
      <c r="O1000" t="s">
        <v>19</v>
      </c>
    </row>
    <row r="1001" spans="1:15" x14ac:dyDescent="0.25">
      <c r="A1001" t="s">
        <v>866</v>
      </c>
      <c r="B1001" t="s">
        <v>15</v>
      </c>
      <c r="C1001" t="s">
        <v>225</v>
      </c>
      <c r="D1001" t="s">
        <v>17</v>
      </c>
      <c r="E1001" t="s">
        <v>18</v>
      </c>
      <c r="F1001" t="s">
        <v>19</v>
      </c>
      <c r="G1001" t="s">
        <v>20</v>
      </c>
      <c r="H1001" t="s">
        <v>8</v>
      </c>
      <c r="I1001" t="s">
        <v>8</v>
      </c>
      <c r="J1001" t="s">
        <v>17</v>
      </c>
      <c r="K1001" t="str">
        <f>"98030115"</f>
        <v>98030115</v>
      </c>
      <c r="L1001" t="str">
        <f>"98030115"</f>
        <v>98030115</v>
      </c>
      <c r="M1001" t="s">
        <v>21</v>
      </c>
      <c r="N1001" s="1">
        <v>42872.839583333334</v>
      </c>
      <c r="O1001" t="s">
        <v>19</v>
      </c>
    </row>
    <row r="1002" spans="1:15" x14ac:dyDescent="0.25">
      <c r="A1002" t="s">
        <v>866</v>
      </c>
      <c r="B1002" t="s">
        <v>15</v>
      </c>
      <c r="C1002" t="s">
        <v>225</v>
      </c>
      <c r="D1002" t="s">
        <v>17</v>
      </c>
      <c r="E1002" t="s">
        <v>18</v>
      </c>
      <c r="F1002" t="s">
        <v>19</v>
      </c>
      <c r="G1002" t="s">
        <v>20</v>
      </c>
      <c r="H1002" t="s">
        <v>8</v>
      </c>
      <c r="I1002" t="s">
        <v>8</v>
      </c>
      <c r="J1002" t="s">
        <v>17</v>
      </c>
      <c r="K1002" t="str">
        <f>"027242867277"</f>
        <v>027242867277</v>
      </c>
      <c r="L1002" t="str">
        <f>"37SONMD15N"</f>
        <v>37SONMD15N</v>
      </c>
      <c r="M1002" t="s">
        <v>21</v>
      </c>
      <c r="N1002" s="1">
        <v>43805.897222222222</v>
      </c>
      <c r="O1002" t="s">
        <v>19</v>
      </c>
    </row>
    <row r="1003" spans="1:15" x14ac:dyDescent="0.25">
      <c r="A1003" t="s">
        <v>867</v>
      </c>
      <c r="B1003" t="s">
        <v>15</v>
      </c>
      <c r="C1003" t="s">
        <v>225</v>
      </c>
      <c r="D1003" t="s">
        <v>17</v>
      </c>
      <c r="E1003" t="s">
        <v>18</v>
      </c>
      <c r="F1003" t="s">
        <v>19</v>
      </c>
      <c r="G1003" t="s">
        <v>20</v>
      </c>
      <c r="H1003" t="s">
        <v>8</v>
      </c>
      <c r="I1003" t="s">
        <v>8</v>
      </c>
      <c r="J1003" t="s">
        <v>17</v>
      </c>
      <c r="K1003" t="str">
        <f>"98031015"</f>
        <v>98031015</v>
      </c>
      <c r="L1003" t="str">
        <f>"98031015"</f>
        <v>98031015</v>
      </c>
      <c r="M1003" t="s">
        <v>21</v>
      </c>
      <c r="N1003" s="1">
        <v>43014.600694444445</v>
      </c>
      <c r="O1003" t="s">
        <v>19</v>
      </c>
    </row>
    <row r="1004" spans="1:15" x14ac:dyDescent="0.25">
      <c r="A1004" t="s">
        <v>867</v>
      </c>
      <c r="B1004" t="s">
        <v>15</v>
      </c>
      <c r="C1004" t="s">
        <v>225</v>
      </c>
      <c r="D1004" t="s">
        <v>17</v>
      </c>
      <c r="E1004" t="s">
        <v>18</v>
      </c>
      <c r="F1004" t="s">
        <v>19</v>
      </c>
      <c r="G1004" t="s">
        <v>20</v>
      </c>
      <c r="H1004" t="s">
        <v>8</v>
      </c>
      <c r="I1004" t="s">
        <v>8</v>
      </c>
      <c r="J1004" t="s">
        <v>17</v>
      </c>
      <c r="K1004" t="str">
        <f>"027242868649"</f>
        <v>027242868649</v>
      </c>
      <c r="L1004" t="str">
        <f>"98028649"</f>
        <v>98028649</v>
      </c>
      <c r="M1004" t="s">
        <v>21</v>
      </c>
      <c r="N1004" s="1">
        <v>43805.900694444441</v>
      </c>
      <c r="O1004" t="s">
        <v>19</v>
      </c>
    </row>
    <row r="1005" spans="1:15" x14ac:dyDescent="0.25">
      <c r="A1005" t="s">
        <v>868</v>
      </c>
      <c r="B1005" t="s">
        <v>15</v>
      </c>
      <c r="C1005" t="s">
        <v>225</v>
      </c>
      <c r="D1005" t="s">
        <v>17</v>
      </c>
      <c r="E1005" t="s">
        <v>18</v>
      </c>
      <c r="F1005" t="s">
        <v>19</v>
      </c>
      <c r="G1005" t="s">
        <v>20</v>
      </c>
      <c r="J1005" t="s">
        <v>17</v>
      </c>
      <c r="K1005" t="str">
        <f>"027242868663"</f>
        <v>027242868663</v>
      </c>
      <c r="L1005" t="str">
        <f>"98034534"</f>
        <v>98034534</v>
      </c>
      <c r="M1005" t="s">
        <v>84</v>
      </c>
      <c r="N1005" s="1">
        <v>43013.613888888889</v>
      </c>
      <c r="O1005" t="s">
        <v>19</v>
      </c>
    </row>
    <row r="1006" spans="1:15" x14ac:dyDescent="0.25">
      <c r="A1006" t="s">
        <v>869</v>
      </c>
      <c r="B1006" t="s">
        <v>15</v>
      </c>
      <c r="C1006" t="s">
        <v>225</v>
      </c>
      <c r="D1006" t="s">
        <v>17</v>
      </c>
      <c r="E1006" t="s">
        <v>18</v>
      </c>
      <c r="F1006" t="s">
        <v>19</v>
      </c>
      <c r="G1006" t="s">
        <v>20</v>
      </c>
      <c r="J1006" t="s">
        <v>17</v>
      </c>
      <c r="K1006" t="str">
        <f>"25030015WH"</f>
        <v>25030015WH</v>
      </c>
      <c r="L1006" t="str">
        <f>"25030015WH"</f>
        <v>25030015WH</v>
      </c>
      <c r="M1006" t="s">
        <v>84</v>
      </c>
      <c r="N1006" s="1">
        <v>43014.602083333331</v>
      </c>
      <c r="O1006" t="s">
        <v>19</v>
      </c>
    </row>
    <row r="1007" spans="1:15" x14ac:dyDescent="0.25">
      <c r="A1007" t="s">
        <v>869</v>
      </c>
      <c r="B1007" t="s">
        <v>15</v>
      </c>
      <c r="C1007" t="s">
        <v>225</v>
      </c>
      <c r="D1007" t="s">
        <v>17</v>
      </c>
      <c r="E1007" t="s">
        <v>18</v>
      </c>
      <c r="F1007" t="s">
        <v>19</v>
      </c>
      <c r="G1007" t="s">
        <v>20</v>
      </c>
      <c r="J1007" t="s">
        <v>17</v>
      </c>
      <c r="K1007" t="str">
        <f>"P92474531H"</f>
        <v>P92474531H</v>
      </c>
      <c r="L1007" t="str">
        <f>"98030015"</f>
        <v>98030015</v>
      </c>
      <c r="M1007" t="s">
        <v>84</v>
      </c>
      <c r="N1007" s="1">
        <v>43279.931944444441</v>
      </c>
      <c r="O1007" t="s">
        <v>19</v>
      </c>
    </row>
    <row r="1008" spans="1:15" x14ac:dyDescent="0.25">
      <c r="A1008" t="s">
        <v>869</v>
      </c>
      <c r="B1008" t="s">
        <v>15</v>
      </c>
      <c r="C1008" t="s">
        <v>225</v>
      </c>
      <c r="D1008" t="s">
        <v>17</v>
      </c>
      <c r="E1008" t="s">
        <v>18</v>
      </c>
      <c r="F1008" t="s">
        <v>19</v>
      </c>
      <c r="G1008" t="s">
        <v>20</v>
      </c>
      <c r="H1008" t="s">
        <v>8</v>
      </c>
      <c r="I1008" t="s">
        <v>8</v>
      </c>
      <c r="J1008" t="s">
        <v>17</v>
      </c>
      <c r="K1008" t="str">
        <f>"25030150"</f>
        <v>25030150</v>
      </c>
      <c r="L1008" t="str">
        <f>"25030150"</f>
        <v>25030150</v>
      </c>
      <c r="M1008" t="s">
        <v>21</v>
      </c>
      <c r="N1008" s="1">
        <v>43369.709027777775</v>
      </c>
      <c r="O1008" t="s">
        <v>19</v>
      </c>
    </row>
    <row r="1009" spans="1:15" x14ac:dyDescent="0.25">
      <c r="A1009" t="s">
        <v>869</v>
      </c>
      <c r="B1009" t="s">
        <v>15</v>
      </c>
      <c r="C1009" t="s">
        <v>225</v>
      </c>
      <c r="D1009" t="s">
        <v>17</v>
      </c>
      <c r="E1009" t="s">
        <v>18</v>
      </c>
      <c r="F1009" t="s">
        <v>19</v>
      </c>
      <c r="G1009" t="s">
        <v>20</v>
      </c>
      <c r="H1009" t="s">
        <v>8</v>
      </c>
      <c r="I1009" t="s">
        <v>8</v>
      </c>
      <c r="J1009" t="s">
        <v>17</v>
      </c>
      <c r="K1009" t="str">
        <f>"027242868625"</f>
        <v>027242868625</v>
      </c>
      <c r="L1009" t="str">
        <f>"37SONMD15B"</f>
        <v>37SONMD15B</v>
      </c>
      <c r="M1009" t="s">
        <v>21</v>
      </c>
      <c r="N1009" s="1">
        <v>43805.897916666669</v>
      </c>
      <c r="O1009" t="s">
        <v>19</v>
      </c>
    </row>
    <row r="1010" spans="1:15" x14ac:dyDescent="0.25">
      <c r="A1010" t="s">
        <v>870</v>
      </c>
      <c r="B1010" t="s">
        <v>15</v>
      </c>
      <c r="C1010" t="s">
        <v>225</v>
      </c>
      <c r="D1010" t="s">
        <v>17</v>
      </c>
      <c r="E1010" t="s">
        <v>18</v>
      </c>
      <c r="F1010" t="s">
        <v>19</v>
      </c>
      <c r="G1010" t="s">
        <v>20</v>
      </c>
      <c r="H1010" t="s">
        <v>8</v>
      </c>
      <c r="I1010" t="s">
        <v>8</v>
      </c>
      <c r="J1010" t="s">
        <v>17</v>
      </c>
      <c r="K1010" t="str">
        <f>"027242867086"</f>
        <v>027242867086</v>
      </c>
      <c r="L1010" t="str">
        <f>"1594408768918"</f>
        <v>1594408768918</v>
      </c>
      <c r="M1010" t="s">
        <v>21</v>
      </c>
      <c r="N1010" s="1">
        <v>44001.638194444444</v>
      </c>
      <c r="O1010" t="s">
        <v>19</v>
      </c>
    </row>
    <row r="1011" spans="1:15" x14ac:dyDescent="0.25">
      <c r="A1011" t="s">
        <v>871</v>
      </c>
      <c r="B1011" t="s">
        <v>15</v>
      </c>
      <c r="C1011" t="s">
        <v>225</v>
      </c>
      <c r="D1011" t="s">
        <v>17</v>
      </c>
      <c r="E1011" t="s">
        <v>18</v>
      </c>
      <c r="F1011" t="s">
        <v>19</v>
      </c>
      <c r="G1011" t="s">
        <v>20</v>
      </c>
      <c r="H1011" t="s">
        <v>8</v>
      </c>
      <c r="I1011" t="s">
        <v>8</v>
      </c>
      <c r="J1011" t="s">
        <v>17</v>
      </c>
      <c r="K1011" t="str">
        <f>"25030110WH"</f>
        <v>25030110WH</v>
      </c>
      <c r="L1011" t="str">
        <f>"25030110WH"</f>
        <v>25030110WH</v>
      </c>
      <c r="M1011" t="s">
        <v>21</v>
      </c>
      <c r="N1011" s="1">
        <v>43110.902777777781</v>
      </c>
      <c r="O1011" t="s">
        <v>19</v>
      </c>
    </row>
    <row r="1012" spans="1:15" x14ac:dyDescent="0.25">
      <c r="A1012" t="s">
        <v>871</v>
      </c>
      <c r="B1012" t="s">
        <v>15</v>
      </c>
      <c r="C1012" t="s">
        <v>225</v>
      </c>
      <c r="D1012" t="s">
        <v>17</v>
      </c>
      <c r="E1012" t="s">
        <v>18</v>
      </c>
      <c r="F1012" t="s">
        <v>19</v>
      </c>
      <c r="G1012" t="s">
        <v>20</v>
      </c>
      <c r="H1012" t="s">
        <v>8</v>
      </c>
      <c r="I1012" t="s">
        <v>8</v>
      </c>
      <c r="J1012" t="s">
        <v>17</v>
      </c>
      <c r="K1012" t="str">
        <f>"027242868823"</f>
        <v>027242868823</v>
      </c>
      <c r="L1012" t="str">
        <f>"98008823"</f>
        <v>98008823</v>
      </c>
      <c r="M1012" t="s">
        <v>21</v>
      </c>
      <c r="N1012" s="1">
        <v>43839.700694444444</v>
      </c>
      <c r="O1012" t="s">
        <v>19</v>
      </c>
    </row>
    <row r="1013" spans="1:15" x14ac:dyDescent="0.25">
      <c r="A1013" t="s">
        <v>872</v>
      </c>
      <c r="B1013" t="s">
        <v>15</v>
      </c>
      <c r="C1013" t="s">
        <v>225</v>
      </c>
      <c r="D1013" t="s">
        <v>17</v>
      </c>
      <c r="E1013" t="s">
        <v>18</v>
      </c>
      <c r="F1013" t="s">
        <v>19</v>
      </c>
      <c r="G1013" t="s">
        <v>20</v>
      </c>
      <c r="J1013" t="s">
        <v>17</v>
      </c>
      <c r="K1013" t="str">
        <f>"65030110"</f>
        <v>65030110</v>
      </c>
      <c r="L1013" t="str">
        <f>"65030110"</f>
        <v>65030110</v>
      </c>
      <c r="M1013" t="s">
        <v>75</v>
      </c>
      <c r="N1013" s="1">
        <v>43186.926388888889</v>
      </c>
      <c r="O1013" t="s">
        <v>19</v>
      </c>
    </row>
    <row r="1014" spans="1:15" x14ac:dyDescent="0.25">
      <c r="A1014" t="s">
        <v>873</v>
      </c>
      <c r="B1014" t="s">
        <v>15</v>
      </c>
      <c r="C1014" t="s">
        <v>225</v>
      </c>
      <c r="D1014" t="s">
        <v>17</v>
      </c>
      <c r="E1014" t="s">
        <v>18</v>
      </c>
      <c r="F1014" t="s">
        <v>19</v>
      </c>
      <c r="G1014" t="s">
        <v>20</v>
      </c>
      <c r="J1014" t="s">
        <v>17</v>
      </c>
      <c r="K1014" t="str">
        <f>"66371515"</f>
        <v>66371515</v>
      </c>
      <c r="L1014" t="str">
        <f>"66371515"</f>
        <v>66371515</v>
      </c>
      <c r="M1014" t="s">
        <v>75</v>
      </c>
      <c r="N1014" s="1">
        <v>42872.847222222219</v>
      </c>
      <c r="O1014" t="s">
        <v>19</v>
      </c>
    </row>
    <row r="1015" spans="1:15" x14ac:dyDescent="0.25">
      <c r="A1015" t="s">
        <v>874</v>
      </c>
      <c r="B1015" t="s">
        <v>15</v>
      </c>
      <c r="C1015" t="s">
        <v>225</v>
      </c>
      <c r="D1015" t="s">
        <v>17</v>
      </c>
      <c r="E1015" t="s">
        <v>18</v>
      </c>
      <c r="F1015" t="s">
        <v>19</v>
      </c>
      <c r="G1015" t="s">
        <v>20</v>
      </c>
      <c r="J1015" t="s">
        <v>17</v>
      </c>
      <c r="K1015" t="str">
        <f>"25587077"</f>
        <v>25587077</v>
      </c>
      <c r="L1015" t="str">
        <f>"25587077"</f>
        <v>25587077</v>
      </c>
      <c r="M1015" t="s">
        <v>75</v>
      </c>
      <c r="N1015" s="1">
        <v>42872.839583333334</v>
      </c>
      <c r="O1015" t="s">
        <v>19</v>
      </c>
    </row>
    <row r="1016" spans="1:15" x14ac:dyDescent="0.25">
      <c r="A1016" t="s">
        <v>875</v>
      </c>
      <c r="B1016" t="s">
        <v>15</v>
      </c>
      <c r="C1016" t="s">
        <v>225</v>
      </c>
      <c r="D1016" t="s">
        <v>17</v>
      </c>
      <c r="E1016" t="s">
        <v>18</v>
      </c>
      <c r="F1016" t="s">
        <v>19</v>
      </c>
      <c r="G1016" t="s">
        <v>20</v>
      </c>
      <c r="J1016" t="s">
        <v>17</v>
      </c>
      <c r="K1016" t="str">
        <f>"25580110"</f>
        <v>25580110</v>
      </c>
      <c r="L1016" t="str">
        <f>"25580110"</f>
        <v>25580110</v>
      </c>
      <c r="M1016" t="s">
        <v>75</v>
      </c>
      <c r="N1016" s="1">
        <v>42872.839583333334</v>
      </c>
      <c r="O1016" t="s">
        <v>19</v>
      </c>
    </row>
    <row r="1017" spans="1:15" x14ac:dyDescent="0.25">
      <c r="A1017" t="s">
        <v>876</v>
      </c>
      <c r="B1017" t="s">
        <v>15</v>
      </c>
      <c r="C1017" t="s">
        <v>30</v>
      </c>
      <c r="D1017" t="s">
        <v>17</v>
      </c>
      <c r="E1017" t="s">
        <v>18</v>
      </c>
      <c r="F1017" t="s">
        <v>19</v>
      </c>
      <c r="G1017" t="s">
        <v>20</v>
      </c>
      <c r="J1017" t="s">
        <v>17</v>
      </c>
      <c r="K1017" t="str">
        <f>"34740019"</f>
        <v>34740019</v>
      </c>
      <c r="L1017" t="str">
        <f>"34740019"</f>
        <v>34740019</v>
      </c>
      <c r="M1017" t="s">
        <v>75</v>
      </c>
      <c r="N1017" s="1">
        <v>43083.915972222225</v>
      </c>
      <c r="O1017" t="s">
        <v>19</v>
      </c>
    </row>
    <row r="1018" spans="1:15" x14ac:dyDescent="0.25">
      <c r="A1018" t="s">
        <v>877</v>
      </c>
      <c r="B1018" t="s">
        <v>15</v>
      </c>
      <c r="C1018" t="s">
        <v>225</v>
      </c>
      <c r="D1018" t="s">
        <v>17</v>
      </c>
      <c r="E1018" t="s">
        <v>18</v>
      </c>
      <c r="F1018" t="s">
        <v>19</v>
      </c>
      <c r="G1018" t="s">
        <v>20</v>
      </c>
      <c r="J1018" t="s">
        <v>17</v>
      </c>
      <c r="K1018" t="str">
        <f>"81030808"</f>
        <v>81030808</v>
      </c>
      <c r="L1018" t="str">
        <f>"81030808"</f>
        <v>81030808</v>
      </c>
      <c r="M1018" t="s">
        <v>75</v>
      </c>
      <c r="N1018" s="1">
        <v>42872.847222222219</v>
      </c>
      <c r="O1018" t="s">
        <v>19</v>
      </c>
    </row>
    <row r="1019" spans="1:15" x14ac:dyDescent="0.25">
      <c r="A1019" t="s">
        <v>878</v>
      </c>
      <c r="B1019" t="s">
        <v>15</v>
      </c>
      <c r="C1019" t="s">
        <v>225</v>
      </c>
      <c r="D1019" t="s">
        <v>17</v>
      </c>
      <c r="E1019" t="s">
        <v>18</v>
      </c>
      <c r="F1019" t="s">
        <v>19</v>
      </c>
      <c r="G1019" t="s">
        <v>20</v>
      </c>
      <c r="J1019" t="s">
        <v>17</v>
      </c>
      <c r="K1019" t="str">
        <f>"66002721"</f>
        <v>66002721</v>
      </c>
      <c r="L1019" t="str">
        <f>"66002721"</f>
        <v>66002721</v>
      </c>
      <c r="M1019" t="s">
        <v>75</v>
      </c>
      <c r="N1019" s="1">
        <v>42872.847222222219</v>
      </c>
      <c r="O1019" t="s">
        <v>19</v>
      </c>
    </row>
    <row r="1020" spans="1:15" x14ac:dyDescent="0.25">
      <c r="A1020" t="s">
        <v>879</v>
      </c>
      <c r="B1020" t="s">
        <v>15</v>
      </c>
      <c r="C1020" t="s">
        <v>225</v>
      </c>
      <c r="D1020" t="s">
        <v>17</v>
      </c>
      <c r="E1020" t="s">
        <v>18</v>
      </c>
      <c r="F1020" t="s">
        <v>19</v>
      </c>
      <c r="G1020" t="s">
        <v>20</v>
      </c>
      <c r="J1020" t="s">
        <v>17</v>
      </c>
      <c r="K1020" t="str">
        <f>"87001515"</f>
        <v>87001515</v>
      </c>
      <c r="L1020" t="str">
        <f>"87001515"</f>
        <v>87001515</v>
      </c>
      <c r="M1020" t="s">
        <v>75</v>
      </c>
      <c r="N1020" s="1">
        <v>42872.847222222219</v>
      </c>
      <c r="O1020" t="s">
        <v>19</v>
      </c>
    </row>
    <row r="1021" spans="1:15" x14ac:dyDescent="0.25">
      <c r="A1021" t="s">
        <v>880</v>
      </c>
      <c r="B1021" t="s">
        <v>15</v>
      </c>
      <c r="C1021" t="s">
        <v>225</v>
      </c>
      <c r="D1021" t="s">
        <v>17</v>
      </c>
      <c r="E1021" t="s">
        <v>18</v>
      </c>
      <c r="F1021" t="s">
        <v>19</v>
      </c>
      <c r="G1021" t="s">
        <v>20</v>
      </c>
      <c r="J1021" t="s">
        <v>17</v>
      </c>
      <c r="K1021" t="str">
        <f>"87001510"</f>
        <v>87001510</v>
      </c>
      <c r="L1021" t="str">
        <f>"87001510"</f>
        <v>87001510</v>
      </c>
      <c r="M1021" t="s">
        <v>75</v>
      </c>
      <c r="N1021" s="1">
        <v>42872.847222222219</v>
      </c>
      <c r="O1021" t="s">
        <v>19</v>
      </c>
    </row>
    <row r="1022" spans="1:15" x14ac:dyDescent="0.25">
      <c r="A1022" t="s">
        <v>881</v>
      </c>
      <c r="B1022" t="s">
        <v>15</v>
      </c>
      <c r="C1022" t="s">
        <v>225</v>
      </c>
      <c r="D1022" t="s">
        <v>17</v>
      </c>
      <c r="E1022" t="s">
        <v>18</v>
      </c>
      <c r="F1022" t="s">
        <v>19</v>
      </c>
      <c r="G1022" t="s">
        <v>20</v>
      </c>
      <c r="H1022" t="s">
        <v>8</v>
      </c>
      <c r="I1022" t="s">
        <v>8</v>
      </c>
      <c r="J1022" t="s">
        <v>17</v>
      </c>
      <c r="K1022" t="str">
        <f>"6927900010264"</f>
        <v>6927900010264</v>
      </c>
      <c r="L1022" t="str">
        <f>"25031460"</f>
        <v>25031460</v>
      </c>
      <c r="M1022" t="s">
        <v>21</v>
      </c>
      <c r="N1022" s="1">
        <v>43110.905555555553</v>
      </c>
      <c r="O1022" t="s">
        <v>19</v>
      </c>
    </row>
    <row r="1023" spans="1:15" x14ac:dyDescent="0.25">
      <c r="A1023" t="s">
        <v>882</v>
      </c>
      <c r="B1023" t="s">
        <v>15</v>
      </c>
      <c r="C1023" t="s">
        <v>225</v>
      </c>
      <c r="D1023" t="s">
        <v>17</v>
      </c>
      <c r="E1023" t="s">
        <v>18</v>
      </c>
      <c r="F1023" t="s">
        <v>19</v>
      </c>
      <c r="G1023" t="s">
        <v>20</v>
      </c>
      <c r="H1023" t="s">
        <v>8</v>
      </c>
      <c r="I1023" t="s">
        <v>8</v>
      </c>
      <c r="J1023" t="s">
        <v>17</v>
      </c>
      <c r="K1023" t="str">
        <f>"6927900010240"</f>
        <v>6927900010240</v>
      </c>
      <c r="L1023" t="str">
        <f>"25031466"</f>
        <v>25031466</v>
      </c>
      <c r="M1023" t="s">
        <v>21</v>
      </c>
      <c r="N1023" s="1">
        <v>42872.839583333334</v>
      </c>
      <c r="O1023" t="s">
        <v>19</v>
      </c>
    </row>
    <row r="1024" spans="1:15" x14ac:dyDescent="0.25">
      <c r="A1024" t="s">
        <v>883</v>
      </c>
      <c r="B1024" t="s">
        <v>15</v>
      </c>
      <c r="C1024" t="s">
        <v>225</v>
      </c>
      <c r="D1024" t="s">
        <v>17</v>
      </c>
      <c r="E1024" t="s">
        <v>18</v>
      </c>
      <c r="F1024" t="s">
        <v>19</v>
      </c>
      <c r="G1024" t="s">
        <v>20</v>
      </c>
      <c r="H1024" t="s">
        <v>8</v>
      </c>
      <c r="I1024" t="s">
        <v>8</v>
      </c>
      <c r="J1024" t="s">
        <v>17</v>
      </c>
      <c r="K1024" t="str">
        <f>"6927900010257"</f>
        <v>6927900010257</v>
      </c>
      <c r="L1024" t="str">
        <f>"25031464"</f>
        <v>25031464</v>
      </c>
      <c r="M1024" t="s">
        <v>21</v>
      </c>
      <c r="N1024" s="1">
        <v>42872.839583333334</v>
      </c>
      <c r="O1024" t="s">
        <v>19</v>
      </c>
    </row>
    <row r="1025" spans="1:15" x14ac:dyDescent="0.25">
      <c r="A1025" t="s">
        <v>884</v>
      </c>
      <c r="B1025" t="s">
        <v>15</v>
      </c>
      <c r="C1025" t="s">
        <v>225</v>
      </c>
      <c r="D1025" t="s">
        <v>17</v>
      </c>
      <c r="E1025" t="s">
        <v>18</v>
      </c>
      <c r="F1025" t="s">
        <v>19</v>
      </c>
      <c r="G1025" t="s">
        <v>20</v>
      </c>
      <c r="H1025" t="s">
        <v>8</v>
      </c>
      <c r="I1025" t="s">
        <v>8</v>
      </c>
      <c r="J1025" t="s">
        <v>17</v>
      </c>
      <c r="K1025" t="str">
        <f>"6927900010271"</f>
        <v>6927900010271</v>
      </c>
      <c r="L1025" t="str">
        <f>"25031461"</f>
        <v>25031461</v>
      </c>
      <c r="M1025" t="s">
        <v>21</v>
      </c>
      <c r="N1025" s="1">
        <v>42872.839583333334</v>
      </c>
      <c r="O1025" t="s">
        <v>19</v>
      </c>
    </row>
    <row r="1026" spans="1:15" x14ac:dyDescent="0.25">
      <c r="A1026" t="s">
        <v>885</v>
      </c>
      <c r="B1026" t="s">
        <v>15</v>
      </c>
      <c r="C1026" t="s">
        <v>225</v>
      </c>
      <c r="D1026" t="s">
        <v>17</v>
      </c>
      <c r="E1026" t="s">
        <v>18</v>
      </c>
      <c r="F1026" t="s">
        <v>19</v>
      </c>
      <c r="G1026" t="s">
        <v>20</v>
      </c>
      <c r="J1026" t="s">
        <v>17</v>
      </c>
      <c r="K1026" t="str">
        <f>"6927900010035"</f>
        <v>6927900010035</v>
      </c>
      <c r="L1026" t="str">
        <f>"25030170"</f>
        <v>25030170</v>
      </c>
      <c r="M1026" t="s">
        <v>21</v>
      </c>
      <c r="N1026" s="1">
        <v>42872.839583333334</v>
      </c>
      <c r="O1026" t="s">
        <v>19</v>
      </c>
    </row>
    <row r="1027" spans="1:15" x14ac:dyDescent="0.25">
      <c r="A1027" t="s">
        <v>886</v>
      </c>
      <c r="B1027" t="s">
        <v>15</v>
      </c>
      <c r="C1027" t="s">
        <v>225</v>
      </c>
      <c r="D1027" t="s">
        <v>17</v>
      </c>
      <c r="E1027" t="s">
        <v>18</v>
      </c>
      <c r="F1027" t="s">
        <v>19</v>
      </c>
      <c r="G1027" t="s">
        <v>20</v>
      </c>
      <c r="H1027" t="s">
        <v>8</v>
      </c>
      <c r="I1027" t="s">
        <v>8</v>
      </c>
      <c r="J1027" t="s">
        <v>17</v>
      </c>
      <c r="K1027" t="str">
        <f>"6927900010028"</f>
        <v>6927900010028</v>
      </c>
      <c r="L1027" t="str">
        <f>"25031700"</f>
        <v>25031700</v>
      </c>
      <c r="M1027" t="s">
        <v>21</v>
      </c>
      <c r="N1027" s="1">
        <v>42872.839583333334</v>
      </c>
      <c r="O1027" t="s">
        <v>19</v>
      </c>
    </row>
    <row r="1028" spans="1:15" x14ac:dyDescent="0.25">
      <c r="A1028" t="s">
        <v>887</v>
      </c>
      <c r="B1028" t="s">
        <v>15</v>
      </c>
      <c r="C1028" t="s">
        <v>225</v>
      </c>
      <c r="D1028" t="s">
        <v>17</v>
      </c>
      <c r="E1028" t="s">
        <v>18</v>
      </c>
      <c r="F1028" t="s">
        <v>19</v>
      </c>
      <c r="G1028" t="s">
        <v>20</v>
      </c>
      <c r="J1028" t="s">
        <v>17</v>
      </c>
      <c r="K1028" t="str">
        <f>"6927900010059"</f>
        <v>6927900010059</v>
      </c>
      <c r="L1028" t="str">
        <f>"25030017"</f>
        <v>25030017</v>
      </c>
      <c r="M1028" t="s">
        <v>21</v>
      </c>
      <c r="N1028" s="1">
        <v>42872.847222222219</v>
      </c>
      <c r="O1028" t="s">
        <v>19</v>
      </c>
    </row>
    <row r="1029" spans="1:15" x14ac:dyDescent="0.25">
      <c r="A1029" t="s">
        <v>888</v>
      </c>
      <c r="B1029" t="s">
        <v>15</v>
      </c>
      <c r="C1029" t="s">
        <v>30</v>
      </c>
      <c r="D1029" t="s">
        <v>17</v>
      </c>
      <c r="E1029" t="s">
        <v>18</v>
      </c>
      <c r="F1029" t="s">
        <v>19</v>
      </c>
      <c r="G1029" t="s">
        <v>20</v>
      </c>
      <c r="J1029" t="s">
        <v>17</v>
      </c>
      <c r="K1029" t="str">
        <f>"11001558"</f>
        <v>11001558</v>
      </c>
      <c r="L1029" t="str">
        <f>"11001558"</f>
        <v>11001558</v>
      </c>
      <c r="M1029" t="s">
        <v>75</v>
      </c>
      <c r="N1029" s="1">
        <v>42872.839583333334</v>
      </c>
      <c r="O1029" t="s">
        <v>19</v>
      </c>
    </row>
    <row r="1030" spans="1:15" x14ac:dyDescent="0.25">
      <c r="A1030" t="s">
        <v>889</v>
      </c>
      <c r="B1030" t="s">
        <v>15</v>
      </c>
      <c r="C1030" t="s">
        <v>225</v>
      </c>
      <c r="D1030" t="s">
        <v>17</v>
      </c>
      <c r="E1030" t="s">
        <v>18</v>
      </c>
      <c r="F1030" t="s">
        <v>19</v>
      </c>
      <c r="G1030" t="s">
        <v>20</v>
      </c>
      <c r="J1030" t="s">
        <v>17</v>
      </c>
      <c r="K1030" t="str">
        <f>"6925871621038"</f>
        <v>6925871621038</v>
      </c>
      <c r="L1030" t="str">
        <f>"22032103"</f>
        <v>22032103</v>
      </c>
      <c r="M1030" t="s">
        <v>75</v>
      </c>
      <c r="N1030" s="1">
        <v>43013.581944444442</v>
      </c>
      <c r="O1030" t="s">
        <v>19</v>
      </c>
    </row>
    <row r="1031" spans="1:15" x14ac:dyDescent="0.25">
      <c r="A1031" t="s">
        <v>890</v>
      </c>
      <c r="B1031" t="s">
        <v>15</v>
      </c>
      <c r="C1031" t="s">
        <v>225</v>
      </c>
      <c r="D1031" t="s">
        <v>17</v>
      </c>
      <c r="E1031" t="s">
        <v>18</v>
      </c>
      <c r="F1031" t="s">
        <v>19</v>
      </c>
      <c r="G1031" t="s">
        <v>20</v>
      </c>
      <c r="H1031" t="s">
        <v>8</v>
      </c>
      <c r="I1031" t="s">
        <v>8</v>
      </c>
      <c r="J1031" t="s">
        <v>17</v>
      </c>
      <c r="K1031" t="str">
        <f>"7858816068928"</f>
        <v>7858816068928</v>
      </c>
      <c r="L1031" t="str">
        <f>"87036892"</f>
        <v>87036892</v>
      </c>
      <c r="M1031" t="s">
        <v>21</v>
      </c>
      <c r="N1031" s="1">
        <v>43889.870138888888</v>
      </c>
      <c r="O1031" t="s">
        <v>19</v>
      </c>
    </row>
    <row r="1032" spans="1:15" x14ac:dyDescent="0.25">
      <c r="A1032" t="s">
        <v>891</v>
      </c>
      <c r="B1032" t="s">
        <v>15</v>
      </c>
      <c r="C1032" t="s">
        <v>225</v>
      </c>
      <c r="D1032" t="s">
        <v>17</v>
      </c>
      <c r="E1032" t="s">
        <v>18</v>
      </c>
      <c r="F1032" t="s">
        <v>19</v>
      </c>
      <c r="G1032" t="s">
        <v>20</v>
      </c>
      <c r="J1032" t="s">
        <v>17</v>
      </c>
      <c r="K1032" t="str">
        <f>"6950854008889"</f>
        <v>6950854008889</v>
      </c>
      <c r="L1032" t="str">
        <f>"10002700"</f>
        <v>10002700</v>
      </c>
      <c r="M1032" t="s">
        <v>75</v>
      </c>
      <c r="N1032" s="1">
        <v>43244.82708333333</v>
      </c>
      <c r="O1032" t="s">
        <v>19</v>
      </c>
    </row>
    <row r="1033" spans="1:15" x14ac:dyDescent="0.25">
      <c r="A1033" t="s">
        <v>892</v>
      </c>
      <c r="B1033" t="s">
        <v>15</v>
      </c>
      <c r="C1033" t="s">
        <v>30</v>
      </c>
      <c r="D1033" t="s">
        <v>17</v>
      </c>
      <c r="E1033" t="s">
        <v>18</v>
      </c>
      <c r="F1033" t="s">
        <v>19</v>
      </c>
      <c r="G1033" t="s">
        <v>20</v>
      </c>
      <c r="J1033" t="s">
        <v>17</v>
      </c>
      <c r="K1033" t="str">
        <f>"79740010"</f>
        <v>79740010</v>
      </c>
      <c r="L1033" t="str">
        <f>"79740010"</f>
        <v>79740010</v>
      </c>
      <c r="M1033" t="s">
        <v>75</v>
      </c>
      <c r="N1033" s="1">
        <v>42872.847222222219</v>
      </c>
      <c r="O1033" t="s">
        <v>19</v>
      </c>
    </row>
    <row r="1034" spans="1:15" x14ac:dyDescent="0.25">
      <c r="A1034" t="s">
        <v>893</v>
      </c>
      <c r="B1034" t="s">
        <v>15</v>
      </c>
      <c r="C1034" t="s">
        <v>225</v>
      </c>
      <c r="D1034" t="s">
        <v>17</v>
      </c>
      <c r="E1034" t="s">
        <v>18</v>
      </c>
      <c r="F1034" t="s">
        <v>19</v>
      </c>
      <c r="G1034" t="s">
        <v>20</v>
      </c>
      <c r="J1034" t="s">
        <v>17</v>
      </c>
      <c r="K1034" t="str">
        <f>"7796941037061"</f>
        <v>7796941037061</v>
      </c>
      <c r="L1034" t="str">
        <f>"42130009"</f>
        <v>42130009</v>
      </c>
      <c r="M1034" t="s">
        <v>75</v>
      </c>
      <c r="N1034" s="1">
        <v>42872.839583333334</v>
      </c>
      <c r="O1034" t="s">
        <v>19</v>
      </c>
    </row>
    <row r="1035" spans="1:15" x14ac:dyDescent="0.25">
      <c r="A1035" t="s">
        <v>894</v>
      </c>
      <c r="B1035" t="s">
        <v>15</v>
      </c>
      <c r="C1035" t="s">
        <v>35</v>
      </c>
      <c r="D1035" t="s">
        <v>17</v>
      </c>
      <c r="E1035" t="s">
        <v>18</v>
      </c>
      <c r="F1035" t="s">
        <v>33</v>
      </c>
      <c r="G1035" t="s">
        <v>20</v>
      </c>
      <c r="J1035" t="s">
        <v>17</v>
      </c>
      <c r="K1035" t="str">
        <f>"1541454586"</f>
        <v>1541454586</v>
      </c>
      <c r="L1035" t="str">
        <f>"1541454586"</f>
        <v>1541454586</v>
      </c>
      <c r="M1035" t="s">
        <v>21</v>
      </c>
      <c r="N1035" s="1">
        <v>42872.839583333334</v>
      </c>
      <c r="O1035" t="s">
        <v>33</v>
      </c>
    </row>
    <row r="1036" spans="1:15" x14ac:dyDescent="0.25">
      <c r="A1036" t="s">
        <v>895</v>
      </c>
      <c r="B1036" t="s">
        <v>15</v>
      </c>
      <c r="C1036" t="s">
        <v>35</v>
      </c>
      <c r="D1036" t="s">
        <v>17</v>
      </c>
      <c r="E1036" t="s">
        <v>18</v>
      </c>
      <c r="F1036" t="s">
        <v>33</v>
      </c>
      <c r="G1036" t="s">
        <v>20</v>
      </c>
      <c r="J1036" t="s">
        <v>17</v>
      </c>
      <c r="K1036" t="str">
        <f>"110760707"</f>
        <v>110760707</v>
      </c>
      <c r="L1036" t="str">
        <f>"110760707"</f>
        <v>110760707</v>
      </c>
      <c r="M1036" t="s">
        <v>21</v>
      </c>
      <c r="N1036" s="1">
        <v>42872.847222222219</v>
      </c>
      <c r="O1036" t="s">
        <v>33</v>
      </c>
    </row>
    <row r="1037" spans="1:15" x14ac:dyDescent="0.25">
      <c r="A1037" t="s">
        <v>896</v>
      </c>
      <c r="B1037" t="s">
        <v>15</v>
      </c>
      <c r="C1037" t="s">
        <v>35</v>
      </c>
      <c r="D1037" t="s">
        <v>17</v>
      </c>
      <c r="E1037" t="s">
        <v>18</v>
      </c>
      <c r="F1037" t="s">
        <v>33</v>
      </c>
      <c r="G1037" t="s">
        <v>20</v>
      </c>
      <c r="J1037" t="s">
        <v>17</v>
      </c>
      <c r="K1037" t="str">
        <f>"42200307"</f>
        <v>42200307</v>
      </c>
      <c r="L1037" t="str">
        <f>"42200307"</f>
        <v>42200307</v>
      </c>
      <c r="M1037" t="s">
        <v>21</v>
      </c>
      <c r="N1037" s="1">
        <v>42872.839583333334</v>
      </c>
      <c r="O1037" t="s">
        <v>33</v>
      </c>
    </row>
    <row r="1038" spans="1:15" x14ac:dyDescent="0.25">
      <c r="A1038" t="s">
        <v>897</v>
      </c>
      <c r="B1038" t="s">
        <v>15</v>
      </c>
      <c r="C1038" t="s">
        <v>35</v>
      </c>
      <c r="D1038" t="s">
        <v>17</v>
      </c>
      <c r="E1038" t="s">
        <v>18</v>
      </c>
      <c r="F1038" t="s">
        <v>33</v>
      </c>
      <c r="G1038" t="s">
        <v>20</v>
      </c>
      <c r="J1038" t="s">
        <v>17</v>
      </c>
      <c r="K1038" t="str">
        <f>"100203546"</f>
        <v>100203546</v>
      </c>
      <c r="L1038" t="str">
        <f>"100203546"</f>
        <v>100203546</v>
      </c>
      <c r="M1038" t="s">
        <v>21</v>
      </c>
      <c r="N1038" s="1">
        <v>42872.847222222219</v>
      </c>
      <c r="O1038" t="s">
        <v>33</v>
      </c>
    </row>
    <row r="1039" spans="1:15" x14ac:dyDescent="0.25">
      <c r="A1039" t="s">
        <v>898</v>
      </c>
      <c r="B1039" t="s">
        <v>15</v>
      </c>
      <c r="C1039" t="s">
        <v>35</v>
      </c>
      <c r="D1039" t="s">
        <v>17</v>
      </c>
      <c r="E1039" t="s">
        <v>18</v>
      </c>
      <c r="F1039" t="s">
        <v>33</v>
      </c>
      <c r="G1039" t="s">
        <v>20</v>
      </c>
      <c r="J1039" t="s">
        <v>17</v>
      </c>
      <c r="K1039" t="str">
        <f>"1557588066"</f>
        <v>1557588066</v>
      </c>
      <c r="L1039" t="str">
        <f>"1557588066"</f>
        <v>1557588066</v>
      </c>
      <c r="M1039" t="s">
        <v>21</v>
      </c>
      <c r="N1039" s="1">
        <v>42872.839583333334</v>
      </c>
      <c r="O1039" t="s">
        <v>33</v>
      </c>
    </row>
    <row r="1040" spans="1:15" x14ac:dyDescent="0.25">
      <c r="A1040" t="s">
        <v>899</v>
      </c>
      <c r="B1040" t="s">
        <v>15</v>
      </c>
      <c r="C1040" t="s">
        <v>37</v>
      </c>
      <c r="D1040" t="s">
        <v>17</v>
      </c>
      <c r="E1040" t="s">
        <v>18</v>
      </c>
      <c r="F1040" t="s">
        <v>19</v>
      </c>
      <c r="G1040" t="s">
        <v>20</v>
      </c>
      <c r="J1040" t="s">
        <v>17</v>
      </c>
      <c r="K1040" t="str">
        <f>"10003002"</f>
        <v>10003002</v>
      </c>
      <c r="L1040" t="str">
        <f>"10003002"</f>
        <v>10003002</v>
      </c>
      <c r="M1040" t="s">
        <v>21</v>
      </c>
      <c r="N1040" s="1">
        <v>43819.894444444442</v>
      </c>
      <c r="O1040" t="s">
        <v>19</v>
      </c>
    </row>
    <row r="1041" spans="1:15" x14ac:dyDescent="0.25">
      <c r="A1041" t="s">
        <v>900</v>
      </c>
      <c r="B1041" t="s">
        <v>15</v>
      </c>
      <c r="C1041" t="s">
        <v>901</v>
      </c>
      <c r="D1041" t="s">
        <v>17</v>
      </c>
      <c r="E1041" t="s">
        <v>18</v>
      </c>
      <c r="F1041" t="s">
        <v>19</v>
      </c>
      <c r="G1041" t="s">
        <v>20</v>
      </c>
      <c r="J1041" t="s">
        <v>17</v>
      </c>
      <c r="K1041" t="str">
        <f>"10002720"</f>
        <v>10002720</v>
      </c>
      <c r="L1041" t="str">
        <f>"10002720"</f>
        <v>10002720</v>
      </c>
      <c r="M1041" t="s">
        <v>75</v>
      </c>
      <c r="N1041" s="1">
        <v>42872.839583333334</v>
      </c>
      <c r="O1041" t="s">
        <v>19</v>
      </c>
    </row>
    <row r="1042" spans="1:15" x14ac:dyDescent="0.25">
      <c r="A1042" t="s">
        <v>902</v>
      </c>
      <c r="B1042" t="s">
        <v>15</v>
      </c>
      <c r="C1042" t="s">
        <v>23</v>
      </c>
      <c r="D1042" t="s">
        <v>17</v>
      </c>
      <c r="E1042" t="s">
        <v>18</v>
      </c>
      <c r="F1042" t="s">
        <v>19</v>
      </c>
      <c r="G1042" t="s">
        <v>20</v>
      </c>
      <c r="J1042" t="s">
        <v>18</v>
      </c>
      <c r="K1042" t="str">
        <f>"7858816045332"</f>
        <v>7858816045332</v>
      </c>
      <c r="L1042" t="str">
        <f>"87084533"</f>
        <v>87084533</v>
      </c>
      <c r="M1042" t="s">
        <v>84</v>
      </c>
      <c r="N1042" s="1">
        <v>43369.917361111111</v>
      </c>
      <c r="O1042" t="s">
        <v>19</v>
      </c>
    </row>
    <row r="1043" spans="1:15" x14ac:dyDescent="0.25">
      <c r="A1043" t="s">
        <v>903</v>
      </c>
      <c r="B1043" t="s">
        <v>15</v>
      </c>
      <c r="C1043" t="s">
        <v>23</v>
      </c>
      <c r="D1043" t="s">
        <v>17</v>
      </c>
      <c r="E1043" t="s">
        <v>18</v>
      </c>
      <c r="F1043" t="s">
        <v>19</v>
      </c>
      <c r="G1043" t="s">
        <v>20</v>
      </c>
      <c r="J1043" t="s">
        <v>18</v>
      </c>
      <c r="K1043" t="str">
        <f>"7858816045325"</f>
        <v>7858816045325</v>
      </c>
      <c r="L1043" t="str">
        <f>"87084532"</f>
        <v>87084532</v>
      </c>
      <c r="M1043" t="s">
        <v>84</v>
      </c>
      <c r="N1043" s="1">
        <v>43369.918055555558</v>
      </c>
      <c r="O1043" t="s">
        <v>19</v>
      </c>
    </row>
    <row r="1044" spans="1:15" x14ac:dyDescent="0.25">
      <c r="A1044" t="s">
        <v>904</v>
      </c>
      <c r="B1044" t="s">
        <v>15</v>
      </c>
      <c r="C1044" t="s">
        <v>905</v>
      </c>
      <c r="D1044" t="s">
        <v>17</v>
      </c>
      <c r="E1044" t="s">
        <v>18</v>
      </c>
      <c r="F1044" t="s">
        <v>19</v>
      </c>
      <c r="G1044" t="s">
        <v>20</v>
      </c>
      <c r="J1044" t="s">
        <v>17</v>
      </c>
      <c r="K1044" t="str">
        <f>"4710007727850"</f>
        <v>4710007727850</v>
      </c>
      <c r="L1044" t="str">
        <f>"65737850"</f>
        <v>65737850</v>
      </c>
      <c r="M1044" t="s">
        <v>75</v>
      </c>
      <c r="N1044" s="1">
        <v>43029.660416666666</v>
      </c>
      <c r="O1044" t="s">
        <v>19</v>
      </c>
    </row>
    <row r="1045" spans="1:15" x14ac:dyDescent="0.25">
      <c r="A1045" t="s">
        <v>906</v>
      </c>
      <c r="B1045" t="s">
        <v>15</v>
      </c>
      <c r="C1045" t="s">
        <v>905</v>
      </c>
      <c r="D1045" t="s">
        <v>17</v>
      </c>
      <c r="E1045" t="s">
        <v>18</v>
      </c>
      <c r="F1045" t="s">
        <v>19</v>
      </c>
      <c r="G1045" t="s">
        <v>20</v>
      </c>
      <c r="J1045" t="s">
        <v>17</v>
      </c>
      <c r="K1045" t="str">
        <f>"10003432"</f>
        <v>10003432</v>
      </c>
      <c r="L1045" t="str">
        <f>"10003432"</f>
        <v>10003432</v>
      </c>
      <c r="M1045" t="s">
        <v>75</v>
      </c>
      <c r="N1045" s="1">
        <v>42872.839583333334</v>
      </c>
      <c r="O1045" t="s">
        <v>19</v>
      </c>
    </row>
    <row r="1046" spans="1:15" x14ac:dyDescent="0.25">
      <c r="A1046" t="s">
        <v>907</v>
      </c>
      <c r="B1046" t="s">
        <v>15</v>
      </c>
      <c r="C1046" t="s">
        <v>905</v>
      </c>
      <c r="D1046" t="s">
        <v>17</v>
      </c>
      <c r="E1046" t="s">
        <v>18</v>
      </c>
      <c r="F1046" t="s">
        <v>19</v>
      </c>
      <c r="G1046" t="s">
        <v>20</v>
      </c>
      <c r="J1046" t="s">
        <v>17</v>
      </c>
      <c r="K1046" t="str">
        <f>"6686996001104"</f>
        <v>6686996001104</v>
      </c>
      <c r="L1046" t="str">
        <f>"40731288"</f>
        <v>40731288</v>
      </c>
      <c r="M1046" t="s">
        <v>21</v>
      </c>
      <c r="N1046" s="1">
        <v>44225.869444444441</v>
      </c>
      <c r="O1046" t="s">
        <v>19</v>
      </c>
    </row>
    <row r="1047" spans="1:15" x14ac:dyDescent="0.25">
      <c r="A1047" t="s">
        <v>908</v>
      </c>
      <c r="B1047" t="s">
        <v>15</v>
      </c>
      <c r="C1047" t="s">
        <v>905</v>
      </c>
      <c r="D1047" t="s">
        <v>17</v>
      </c>
      <c r="E1047" t="s">
        <v>18</v>
      </c>
      <c r="F1047" t="s">
        <v>19</v>
      </c>
      <c r="G1047" t="s">
        <v>20</v>
      </c>
      <c r="J1047" t="s">
        <v>17</v>
      </c>
      <c r="K1047" t="str">
        <f>"201703032323"</f>
        <v>201703032323</v>
      </c>
      <c r="L1047" t="str">
        <f>"76730080"</f>
        <v>76730080</v>
      </c>
      <c r="M1047" t="s">
        <v>75</v>
      </c>
      <c r="N1047" s="1">
        <v>43083.728472222225</v>
      </c>
      <c r="O1047" t="s">
        <v>19</v>
      </c>
    </row>
    <row r="1048" spans="1:15" x14ac:dyDescent="0.25">
      <c r="A1048" t="s">
        <v>909</v>
      </c>
      <c r="B1048" t="s">
        <v>15</v>
      </c>
      <c r="C1048" t="s">
        <v>905</v>
      </c>
      <c r="D1048" t="s">
        <v>17</v>
      </c>
      <c r="E1048" t="s">
        <v>18</v>
      </c>
      <c r="F1048" t="s">
        <v>19</v>
      </c>
      <c r="G1048" t="s">
        <v>20</v>
      </c>
      <c r="J1048" t="s">
        <v>17</v>
      </c>
      <c r="K1048" t="str">
        <f>"10003046"</f>
        <v>10003046</v>
      </c>
      <c r="L1048" t="str">
        <f>"10003046"</f>
        <v>10003046</v>
      </c>
      <c r="M1048" t="s">
        <v>75</v>
      </c>
      <c r="N1048" s="1">
        <v>42872.839583333334</v>
      </c>
      <c r="O1048" t="s">
        <v>19</v>
      </c>
    </row>
    <row r="1049" spans="1:15" x14ac:dyDescent="0.25">
      <c r="A1049" t="s">
        <v>910</v>
      </c>
      <c r="B1049" t="s">
        <v>15</v>
      </c>
      <c r="C1049" t="s">
        <v>905</v>
      </c>
      <c r="D1049" t="s">
        <v>17</v>
      </c>
      <c r="E1049" t="s">
        <v>18</v>
      </c>
      <c r="F1049" t="s">
        <v>19</v>
      </c>
      <c r="G1049" t="s">
        <v>20</v>
      </c>
      <c r="J1049" t="s">
        <v>17</v>
      </c>
      <c r="K1049" t="str">
        <f>"10000335"</f>
        <v>10000335</v>
      </c>
      <c r="L1049" t="str">
        <f>"10000335"</f>
        <v>10000335</v>
      </c>
      <c r="M1049" t="s">
        <v>21</v>
      </c>
      <c r="N1049" s="1">
        <v>43806.62777777778</v>
      </c>
      <c r="O1049" t="s">
        <v>19</v>
      </c>
    </row>
    <row r="1050" spans="1:15" x14ac:dyDescent="0.25">
      <c r="A1050" t="s">
        <v>911</v>
      </c>
      <c r="B1050" t="s">
        <v>15</v>
      </c>
      <c r="C1050" t="s">
        <v>905</v>
      </c>
      <c r="D1050" t="s">
        <v>17</v>
      </c>
      <c r="E1050" t="s">
        <v>18</v>
      </c>
      <c r="F1050" t="s">
        <v>19</v>
      </c>
      <c r="G1050" t="s">
        <v>20</v>
      </c>
      <c r="J1050" t="s">
        <v>17</v>
      </c>
      <c r="K1050" t="str">
        <f>"7858816016660"</f>
        <v>7858816016660</v>
      </c>
      <c r="L1050" t="str">
        <f>"87731666"</f>
        <v>87731666</v>
      </c>
      <c r="M1050" t="s">
        <v>21</v>
      </c>
      <c r="N1050" s="1">
        <v>43839.831250000003</v>
      </c>
      <c r="O1050" t="s">
        <v>19</v>
      </c>
    </row>
    <row r="1051" spans="1:15" x14ac:dyDescent="0.25">
      <c r="A1051" t="s">
        <v>912</v>
      </c>
      <c r="B1051" t="s">
        <v>15</v>
      </c>
      <c r="C1051" t="s">
        <v>905</v>
      </c>
      <c r="D1051" t="s">
        <v>17</v>
      </c>
      <c r="E1051" t="s">
        <v>18</v>
      </c>
      <c r="F1051" t="s">
        <v>19</v>
      </c>
      <c r="G1051" t="s">
        <v>20</v>
      </c>
      <c r="J1051" t="s">
        <v>17</v>
      </c>
      <c r="K1051" t="str">
        <f>"7858816038273"</f>
        <v>7858816038273</v>
      </c>
      <c r="L1051" t="str">
        <f>"87733827"</f>
        <v>87733827</v>
      </c>
      <c r="M1051" t="s">
        <v>75</v>
      </c>
      <c r="N1051" s="1">
        <v>43244.690972222219</v>
      </c>
      <c r="O1051" t="s">
        <v>19</v>
      </c>
    </row>
    <row r="1052" spans="1:15" x14ac:dyDescent="0.25">
      <c r="A1052" t="s">
        <v>913</v>
      </c>
      <c r="B1052" t="s">
        <v>15</v>
      </c>
      <c r="C1052" t="s">
        <v>905</v>
      </c>
      <c r="D1052" t="s">
        <v>17</v>
      </c>
      <c r="E1052" t="s">
        <v>18</v>
      </c>
      <c r="F1052" t="s">
        <v>19</v>
      </c>
      <c r="G1052" t="s">
        <v>20</v>
      </c>
      <c r="J1052" t="s">
        <v>17</v>
      </c>
      <c r="K1052" t="str">
        <f>"7858816068768"</f>
        <v>7858816068768</v>
      </c>
      <c r="L1052" t="str">
        <f>"87736876"</f>
        <v>87736876</v>
      </c>
      <c r="M1052" t="s">
        <v>21</v>
      </c>
      <c r="N1052" s="1">
        <v>43804.618055555555</v>
      </c>
      <c r="O1052" t="s">
        <v>19</v>
      </c>
    </row>
    <row r="1053" spans="1:15" x14ac:dyDescent="0.25">
      <c r="A1053" t="s">
        <v>914</v>
      </c>
      <c r="B1053" t="s">
        <v>15</v>
      </c>
      <c r="C1053" t="s">
        <v>905</v>
      </c>
      <c r="D1053" t="s">
        <v>17</v>
      </c>
      <c r="E1053" t="s">
        <v>18</v>
      </c>
      <c r="F1053" t="s">
        <v>19</v>
      </c>
      <c r="G1053" t="s">
        <v>20</v>
      </c>
      <c r="J1053" t="s">
        <v>17</v>
      </c>
      <c r="K1053" t="str">
        <f>"7858816077210"</f>
        <v>7858816077210</v>
      </c>
      <c r="L1053" t="str">
        <f>"87737721"</f>
        <v>87737721</v>
      </c>
      <c r="M1053" t="s">
        <v>21</v>
      </c>
      <c r="N1053" s="1">
        <v>43377.645138888889</v>
      </c>
      <c r="O1053" t="s">
        <v>19</v>
      </c>
    </row>
    <row r="1054" spans="1:15" x14ac:dyDescent="0.25">
      <c r="A1054" t="s">
        <v>915</v>
      </c>
      <c r="B1054" t="s">
        <v>15</v>
      </c>
      <c r="C1054" t="s">
        <v>905</v>
      </c>
      <c r="D1054" t="s">
        <v>17</v>
      </c>
      <c r="E1054" t="s">
        <v>18</v>
      </c>
      <c r="F1054" t="s">
        <v>19</v>
      </c>
      <c r="G1054" t="s">
        <v>20</v>
      </c>
      <c r="J1054" t="s">
        <v>17</v>
      </c>
      <c r="K1054" t="str">
        <f>"7858816077203"</f>
        <v>7858816077203</v>
      </c>
      <c r="L1054" t="str">
        <f>"87777720"</f>
        <v>87777720</v>
      </c>
      <c r="M1054" t="s">
        <v>21</v>
      </c>
      <c r="N1054" s="1">
        <v>42872.849305555559</v>
      </c>
      <c r="O1054" t="s">
        <v>19</v>
      </c>
    </row>
    <row r="1055" spans="1:15" x14ac:dyDescent="0.25">
      <c r="A1055" t="s">
        <v>916</v>
      </c>
      <c r="B1055" t="s">
        <v>15</v>
      </c>
      <c r="C1055" t="s">
        <v>905</v>
      </c>
      <c r="D1055" t="s">
        <v>17</v>
      </c>
      <c r="E1055" t="s">
        <v>18</v>
      </c>
      <c r="F1055" t="s">
        <v>19</v>
      </c>
      <c r="G1055" t="s">
        <v>20</v>
      </c>
      <c r="J1055" t="s">
        <v>17</v>
      </c>
      <c r="K1055" t="str">
        <f>"6925871603256"</f>
        <v>6925871603256</v>
      </c>
      <c r="L1055" t="str">
        <f>"22733256"</f>
        <v>22733256</v>
      </c>
      <c r="M1055" t="s">
        <v>75</v>
      </c>
      <c r="N1055" s="1">
        <v>43125.765277777777</v>
      </c>
      <c r="O1055" t="s">
        <v>19</v>
      </c>
    </row>
    <row r="1056" spans="1:15" x14ac:dyDescent="0.25">
      <c r="A1056" t="s">
        <v>917</v>
      </c>
      <c r="B1056" t="s">
        <v>15</v>
      </c>
      <c r="C1056" t="s">
        <v>905</v>
      </c>
      <c r="D1056" t="s">
        <v>17</v>
      </c>
      <c r="E1056" t="s">
        <v>18</v>
      </c>
      <c r="F1056" t="s">
        <v>19</v>
      </c>
      <c r="G1056" t="s">
        <v>20</v>
      </c>
      <c r="J1056" t="s">
        <v>17</v>
      </c>
      <c r="K1056" t="str">
        <f>"6925871604697"</f>
        <v>6925871604697</v>
      </c>
      <c r="L1056" t="str">
        <f>"22730469"</f>
        <v>22730469</v>
      </c>
      <c r="M1056" t="s">
        <v>21</v>
      </c>
      <c r="N1056" s="1">
        <v>43752.710416666669</v>
      </c>
      <c r="O1056" t="s">
        <v>19</v>
      </c>
    </row>
    <row r="1057" spans="1:15" x14ac:dyDescent="0.25">
      <c r="A1057" t="s">
        <v>918</v>
      </c>
      <c r="B1057" t="s">
        <v>15</v>
      </c>
      <c r="C1057" t="s">
        <v>905</v>
      </c>
      <c r="D1057" t="s">
        <v>17</v>
      </c>
      <c r="E1057" t="s">
        <v>18</v>
      </c>
      <c r="F1057" t="s">
        <v>19</v>
      </c>
      <c r="G1057" t="s">
        <v>20</v>
      </c>
      <c r="J1057" t="s">
        <v>17</v>
      </c>
      <c r="K1057" t="str">
        <f>"5000000507019"</f>
        <v>5000000507019</v>
      </c>
      <c r="L1057" t="str">
        <f>"76730101"</f>
        <v>76730101</v>
      </c>
      <c r="M1057" t="s">
        <v>75</v>
      </c>
      <c r="N1057" s="1">
        <v>43097.750694444447</v>
      </c>
      <c r="O1057" t="s">
        <v>19</v>
      </c>
    </row>
    <row r="1058" spans="1:15" x14ac:dyDescent="0.25">
      <c r="A1058" t="s">
        <v>919</v>
      </c>
      <c r="B1058" t="s">
        <v>15</v>
      </c>
      <c r="C1058" t="s">
        <v>905</v>
      </c>
      <c r="D1058" t="s">
        <v>17</v>
      </c>
      <c r="E1058" t="s">
        <v>18</v>
      </c>
      <c r="F1058" t="s">
        <v>19</v>
      </c>
      <c r="G1058" t="s">
        <v>20</v>
      </c>
      <c r="J1058" t="s">
        <v>17</v>
      </c>
      <c r="K1058" t="str">
        <f>"7858816063008"</f>
        <v>7858816063008</v>
      </c>
      <c r="L1058" t="str">
        <f>"87736300"</f>
        <v>87736300</v>
      </c>
      <c r="M1058" t="s">
        <v>21</v>
      </c>
      <c r="N1058" s="1">
        <v>42872.847222222219</v>
      </c>
      <c r="O1058" t="s">
        <v>19</v>
      </c>
    </row>
    <row r="1059" spans="1:15" x14ac:dyDescent="0.25">
      <c r="A1059" t="s">
        <v>920</v>
      </c>
      <c r="B1059" t="s">
        <v>15</v>
      </c>
      <c r="C1059" t="s">
        <v>905</v>
      </c>
      <c r="D1059" t="s">
        <v>17</v>
      </c>
      <c r="E1059" t="s">
        <v>18</v>
      </c>
      <c r="F1059" t="s">
        <v>19</v>
      </c>
      <c r="G1059" t="s">
        <v>20</v>
      </c>
      <c r="J1059" t="s">
        <v>17</v>
      </c>
      <c r="K1059" t="str">
        <f>"7858816068775"</f>
        <v>7858816068775</v>
      </c>
      <c r="L1059" t="str">
        <f>"87736877"</f>
        <v>87736877</v>
      </c>
      <c r="M1059" t="s">
        <v>21</v>
      </c>
      <c r="N1059" s="1">
        <v>43839.835416666669</v>
      </c>
      <c r="O1059" t="s">
        <v>19</v>
      </c>
    </row>
    <row r="1060" spans="1:15" x14ac:dyDescent="0.25">
      <c r="A1060" t="s">
        <v>921</v>
      </c>
      <c r="B1060" t="s">
        <v>15</v>
      </c>
      <c r="C1060" t="s">
        <v>905</v>
      </c>
      <c r="D1060" t="s">
        <v>17</v>
      </c>
      <c r="E1060" t="s">
        <v>18</v>
      </c>
      <c r="F1060" t="s">
        <v>19</v>
      </c>
      <c r="G1060" t="s">
        <v>20</v>
      </c>
      <c r="J1060" t="s">
        <v>17</v>
      </c>
      <c r="K1060" t="str">
        <f>"5000000507017"</f>
        <v>5000000507017</v>
      </c>
      <c r="L1060" t="str">
        <f>"76730090"</f>
        <v>76730090</v>
      </c>
      <c r="M1060" t="s">
        <v>75</v>
      </c>
      <c r="N1060" s="1">
        <v>43083.727083333331</v>
      </c>
      <c r="O1060" t="s">
        <v>19</v>
      </c>
    </row>
    <row r="1061" spans="1:15" x14ac:dyDescent="0.25">
      <c r="A1061" t="s">
        <v>922</v>
      </c>
      <c r="B1061" t="s">
        <v>15</v>
      </c>
      <c r="C1061" t="s">
        <v>905</v>
      </c>
      <c r="D1061" t="s">
        <v>17</v>
      </c>
      <c r="E1061" t="s">
        <v>18</v>
      </c>
      <c r="F1061" t="s">
        <v>19</v>
      </c>
      <c r="G1061" t="s">
        <v>20</v>
      </c>
      <c r="J1061" t="s">
        <v>17</v>
      </c>
      <c r="K1061" t="str">
        <f>"5000000507018"</f>
        <v>5000000507018</v>
      </c>
      <c r="L1061" t="str">
        <f>"76730100"</f>
        <v>76730100</v>
      </c>
      <c r="M1061" t="s">
        <v>75</v>
      </c>
      <c r="N1061" s="1">
        <v>43083.726388888892</v>
      </c>
      <c r="O1061" t="s">
        <v>19</v>
      </c>
    </row>
    <row r="1062" spans="1:15" x14ac:dyDescent="0.25">
      <c r="A1062" t="s">
        <v>923</v>
      </c>
      <c r="B1062" t="s">
        <v>15</v>
      </c>
      <c r="C1062" t="s">
        <v>905</v>
      </c>
      <c r="D1062" t="s">
        <v>17</v>
      </c>
      <c r="E1062" t="s">
        <v>18</v>
      </c>
      <c r="F1062" t="s">
        <v>19</v>
      </c>
      <c r="G1062" t="s">
        <v>20</v>
      </c>
      <c r="J1062" t="s">
        <v>17</v>
      </c>
      <c r="K1062" t="str">
        <f>"2018073552003"</f>
        <v>2018073552003</v>
      </c>
      <c r="L1062" t="str">
        <f>"18735200"</f>
        <v>18735200</v>
      </c>
      <c r="M1062" t="s">
        <v>21</v>
      </c>
      <c r="N1062" s="1">
        <v>43649.663194444445</v>
      </c>
      <c r="O1062" t="s">
        <v>19</v>
      </c>
    </row>
    <row r="1063" spans="1:15" x14ac:dyDescent="0.25">
      <c r="A1063" t="s">
        <v>924</v>
      </c>
      <c r="B1063" t="s">
        <v>15</v>
      </c>
      <c r="C1063" t="s">
        <v>905</v>
      </c>
      <c r="D1063" t="s">
        <v>17</v>
      </c>
      <c r="E1063" t="s">
        <v>18</v>
      </c>
      <c r="F1063" t="s">
        <v>19</v>
      </c>
      <c r="G1063" t="s">
        <v>20</v>
      </c>
      <c r="J1063" t="s">
        <v>17</v>
      </c>
      <c r="K1063" t="str">
        <f>"7858816079245"</f>
        <v>7858816079245</v>
      </c>
      <c r="L1063" t="str">
        <f>"87737924"</f>
        <v>87737924</v>
      </c>
      <c r="M1063" t="s">
        <v>21</v>
      </c>
      <c r="N1063" s="1">
        <v>44211.851388888892</v>
      </c>
      <c r="O1063" t="s">
        <v>19</v>
      </c>
    </row>
    <row r="1064" spans="1:15" x14ac:dyDescent="0.25">
      <c r="A1064" t="s">
        <v>925</v>
      </c>
      <c r="B1064" t="s">
        <v>15</v>
      </c>
      <c r="C1064" t="s">
        <v>905</v>
      </c>
      <c r="D1064" t="s">
        <v>17</v>
      </c>
      <c r="E1064" t="s">
        <v>18</v>
      </c>
      <c r="F1064" t="s">
        <v>19</v>
      </c>
      <c r="G1064" t="s">
        <v>20</v>
      </c>
      <c r="J1064" t="s">
        <v>17</v>
      </c>
      <c r="K1064" t="str">
        <f>"50794482"</f>
        <v>50794482</v>
      </c>
      <c r="L1064" t="str">
        <f>"50794482"</f>
        <v>50794482</v>
      </c>
      <c r="M1064" t="s">
        <v>75</v>
      </c>
      <c r="N1064" s="1">
        <v>42872.839583333334</v>
      </c>
      <c r="O1064" t="s">
        <v>19</v>
      </c>
    </row>
    <row r="1065" spans="1:15" x14ac:dyDescent="0.25">
      <c r="A1065" t="s">
        <v>926</v>
      </c>
      <c r="B1065" t="s">
        <v>15</v>
      </c>
      <c r="C1065" t="s">
        <v>905</v>
      </c>
      <c r="D1065" t="s">
        <v>17</v>
      </c>
      <c r="E1065" t="s">
        <v>18</v>
      </c>
      <c r="F1065" t="s">
        <v>19</v>
      </c>
      <c r="G1065" t="s">
        <v>20</v>
      </c>
      <c r="J1065" t="s">
        <v>17</v>
      </c>
      <c r="K1065" t="str">
        <f>"79794482"</f>
        <v>79794482</v>
      </c>
      <c r="L1065" t="str">
        <f>"79794482"</f>
        <v>79794482</v>
      </c>
      <c r="M1065" t="s">
        <v>75</v>
      </c>
      <c r="N1065" s="1">
        <v>42872.847222222219</v>
      </c>
      <c r="O1065" t="s">
        <v>19</v>
      </c>
    </row>
    <row r="1066" spans="1:15" x14ac:dyDescent="0.25">
      <c r="A1066" t="s">
        <v>927</v>
      </c>
      <c r="B1066" t="s">
        <v>15</v>
      </c>
      <c r="C1066" t="s">
        <v>905</v>
      </c>
      <c r="D1066" t="s">
        <v>17</v>
      </c>
      <c r="E1066" t="s">
        <v>18</v>
      </c>
      <c r="F1066" t="s">
        <v>19</v>
      </c>
      <c r="G1066" t="s">
        <v>20</v>
      </c>
      <c r="J1066" t="s">
        <v>17</v>
      </c>
      <c r="K1066" t="str">
        <f>"7858816008436"</f>
        <v>7858816008436</v>
      </c>
      <c r="L1066" t="str">
        <f>"87730075"</f>
        <v>87730075</v>
      </c>
      <c r="M1066" t="s">
        <v>75</v>
      </c>
      <c r="N1066" s="1">
        <v>42872.847222222219</v>
      </c>
      <c r="O1066" t="s">
        <v>19</v>
      </c>
    </row>
    <row r="1067" spans="1:15" x14ac:dyDescent="0.25">
      <c r="A1067" t="s">
        <v>928</v>
      </c>
      <c r="B1067" t="s">
        <v>15</v>
      </c>
      <c r="C1067" t="s">
        <v>905</v>
      </c>
      <c r="D1067" t="s">
        <v>17</v>
      </c>
      <c r="E1067" t="s">
        <v>18</v>
      </c>
      <c r="F1067" t="s">
        <v>19</v>
      </c>
      <c r="G1067" t="s">
        <v>20</v>
      </c>
      <c r="J1067" t="s">
        <v>17</v>
      </c>
      <c r="K1067" t="str">
        <f>"8002017232301"</f>
        <v>8002017232301</v>
      </c>
      <c r="L1067" t="str">
        <f>"18730075"</f>
        <v>18730075</v>
      </c>
      <c r="M1067" t="s">
        <v>75</v>
      </c>
      <c r="N1067" s="1">
        <v>42965.697916666664</v>
      </c>
      <c r="O1067" t="s">
        <v>19</v>
      </c>
    </row>
    <row r="1068" spans="1:15" x14ac:dyDescent="0.25">
      <c r="A1068" t="s">
        <v>929</v>
      </c>
      <c r="B1068" t="s">
        <v>15</v>
      </c>
      <c r="C1068" t="s">
        <v>29</v>
      </c>
      <c r="D1068" t="s">
        <v>17</v>
      </c>
      <c r="E1068" t="s">
        <v>18</v>
      </c>
      <c r="F1068" t="s">
        <v>19</v>
      </c>
      <c r="G1068" t="s">
        <v>20</v>
      </c>
      <c r="J1068" t="s">
        <v>17</v>
      </c>
      <c r="K1068" t="str">
        <f>"10001049"</f>
        <v>10001049</v>
      </c>
      <c r="L1068" t="str">
        <f>"10001049"</f>
        <v>10001049</v>
      </c>
      <c r="M1068" t="s">
        <v>84</v>
      </c>
      <c r="N1068" s="1">
        <v>43419.692361111112</v>
      </c>
      <c r="O1068" t="s">
        <v>19</v>
      </c>
    </row>
    <row r="1069" spans="1:15" x14ac:dyDescent="0.25">
      <c r="A1069" t="s">
        <v>930</v>
      </c>
      <c r="B1069" t="s">
        <v>15</v>
      </c>
      <c r="C1069" t="s">
        <v>29</v>
      </c>
      <c r="D1069" t="s">
        <v>17</v>
      </c>
      <c r="E1069" t="s">
        <v>18</v>
      </c>
      <c r="F1069" t="s">
        <v>19</v>
      </c>
      <c r="G1069" t="s">
        <v>20</v>
      </c>
      <c r="J1069" t="s">
        <v>17</v>
      </c>
      <c r="K1069" t="str">
        <f>"2019081900015"</f>
        <v>2019081900015</v>
      </c>
      <c r="L1069" t="str">
        <f>"18050715"</f>
        <v>18050715</v>
      </c>
      <c r="M1069" t="s">
        <v>21</v>
      </c>
      <c r="N1069" s="1">
        <v>43083.838888888888</v>
      </c>
      <c r="O1069" t="s">
        <v>19</v>
      </c>
    </row>
    <row r="1070" spans="1:15" x14ac:dyDescent="0.25">
      <c r="A1070" t="s">
        <v>931</v>
      </c>
      <c r="B1070" t="s">
        <v>15</v>
      </c>
      <c r="C1070" t="s">
        <v>932</v>
      </c>
      <c r="D1070" t="s">
        <v>17</v>
      </c>
      <c r="E1070" t="s">
        <v>18</v>
      </c>
      <c r="F1070" t="s">
        <v>19</v>
      </c>
      <c r="G1070" t="s">
        <v>20</v>
      </c>
      <c r="J1070" t="s">
        <v>17</v>
      </c>
      <c r="K1070" t="str">
        <f>"989218650"</f>
        <v>989218650</v>
      </c>
      <c r="L1070" t="str">
        <f>"989218650"</f>
        <v>989218650</v>
      </c>
      <c r="M1070" t="s">
        <v>21</v>
      </c>
      <c r="N1070" s="1">
        <v>44321.823611111111</v>
      </c>
      <c r="O1070" t="s">
        <v>19</v>
      </c>
    </row>
    <row r="1071" spans="1:15" x14ac:dyDescent="0.25">
      <c r="A1071" t="s">
        <v>933</v>
      </c>
      <c r="B1071" t="s">
        <v>15</v>
      </c>
      <c r="C1071" t="s">
        <v>932</v>
      </c>
      <c r="D1071" t="s">
        <v>17</v>
      </c>
      <c r="E1071" t="s">
        <v>18</v>
      </c>
      <c r="F1071" t="s">
        <v>19</v>
      </c>
      <c r="G1071" t="s">
        <v>20</v>
      </c>
      <c r="J1071" t="s">
        <v>17</v>
      </c>
      <c r="K1071" t="str">
        <f>"6925871618656"</f>
        <v>6925871618656</v>
      </c>
      <c r="L1071" t="str">
        <f>"980518650"</f>
        <v>980518650</v>
      </c>
      <c r="M1071" t="s">
        <v>21</v>
      </c>
      <c r="N1071" s="1">
        <v>43195.647916666669</v>
      </c>
      <c r="O1071" t="s">
        <v>19</v>
      </c>
    </row>
    <row r="1072" spans="1:15" x14ac:dyDescent="0.25">
      <c r="A1072" t="s">
        <v>934</v>
      </c>
      <c r="B1072" t="s">
        <v>15</v>
      </c>
      <c r="C1072" t="s">
        <v>935</v>
      </c>
      <c r="D1072" t="s">
        <v>17</v>
      </c>
      <c r="E1072" t="s">
        <v>18</v>
      </c>
      <c r="F1072" t="s">
        <v>19</v>
      </c>
      <c r="G1072" t="s">
        <v>20</v>
      </c>
      <c r="J1072" t="s">
        <v>17</v>
      </c>
      <c r="K1072" t="str">
        <f>"6886895965129"</f>
        <v>6886895965129</v>
      </c>
      <c r="L1072" t="str">
        <f>"76550700"</f>
        <v>76550700</v>
      </c>
      <c r="M1072" t="s">
        <v>21</v>
      </c>
      <c r="N1072" s="1">
        <v>43798.664583333331</v>
      </c>
      <c r="O1072" t="s">
        <v>19</v>
      </c>
    </row>
    <row r="1073" spans="1:15" x14ac:dyDescent="0.25">
      <c r="A1073" t="s">
        <v>936</v>
      </c>
      <c r="B1073" t="s">
        <v>15</v>
      </c>
      <c r="C1073" t="s">
        <v>937</v>
      </c>
      <c r="D1073" t="s">
        <v>17</v>
      </c>
      <c r="E1073" t="s">
        <v>18</v>
      </c>
      <c r="F1073" t="s">
        <v>19</v>
      </c>
      <c r="G1073" t="s">
        <v>20</v>
      </c>
      <c r="J1073" t="s">
        <v>17</v>
      </c>
      <c r="K1073" t="str">
        <f>"94001471"</f>
        <v>94001471</v>
      </c>
      <c r="L1073" t="str">
        <f>"94001471"</f>
        <v>94001471</v>
      </c>
      <c r="M1073" t="s">
        <v>75</v>
      </c>
      <c r="N1073" s="1">
        <v>42872.847222222219</v>
      </c>
      <c r="O1073" t="s">
        <v>19</v>
      </c>
    </row>
    <row r="1074" spans="1:15" x14ac:dyDescent="0.25">
      <c r="A1074" t="s">
        <v>938</v>
      </c>
      <c r="B1074" t="s">
        <v>15</v>
      </c>
      <c r="C1074" t="s">
        <v>937</v>
      </c>
      <c r="D1074" t="s">
        <v>17</v>
      </c>
      <c r="E1074" t="s">
        <v>18</v>
      </c>
      <c r="F1074" t="s">
        <v>19</v>
      </c>
      <c r="G1074" t="s">
        <v>20</v>
      </c>
      <c r="J1074" t="s">
        <v>17</v>
      </c>
      <c r="K1074" t="str">
        <f>"6925871625524"</f>
        <v>6925871625524</v>
      </c>
      <c r="L1074" t="str">
        <f>"22072552"</f>
        <v>22072552</v>
      </c>
      <c r="M1074" t="s">
        <v>75</v>
      </c>
      <c r="N1074" s="1">
        <v>43173.648611111108</v>
      </c>
      <c r="O1074" t="s">
        <v>19</v>
      </c>
    </row>
    <row r="1075" spans="1:15" x14ac:dyDescent="0.25">
      <c r="A1075" t="s">
        <v>939</v>
      </c>
      <c r="B1075" t="s">
        <v>15</v>
      </c>
      <c r="C1075" t="s">
        <v>937</v>
      </c>
      <c r="D1075" t="s">
        <v>17</v>
      </c>
      <c r="E1075" t="s">
        <v>18</v>
      </c>
      <c r="F1075" t="s">
        <v>19</v>
      </c>
      <c r="G1075" t="s">
        <v>20</v>
      </c>
      <c r="J1075" t="s">
        <v>17</v>
      </c>
      <c r="K1075" t="str">
        <f>"4710007734131"</f>
        <v>4710007734131</v>
      </c>
      <c r="L1075" t="str">
        <f>"65074131"</f>
        <v>65074131</v>
      </c>
      <c r="M1075" t="s">
        <v>75</v>
      </c>
      <c r="N1075" s="1">
        <v>43067.892361111109</v>
      </c>
      <c r="O1075" t="s">
        <v>19</v>
      </c>
    </row>
    <row r="1076" spans="1:15" x14ac:dyDescent="0.25">
      <c r="A1076" t="s">
        <v>940</v>
      </c>
      <c r="B1076" t="s">
        <v>15</v>
      </c>
      <c r="C1076" t="s">
        <v>941</v>
      </c>
      <c r="D1076" t="s">
        <v>17</v>
      </c>
      <c r="E1076" t="s">
        <v>18</v>
      </c>
      <c r="F1076" t="s">
        <v>19</v>
      </c>
      <c r="G1076" t="s">
        <v>20</v>
      </c>
      <c r="J1076" t="s">
        <v>17</v>
      </c>
      <c r="K1076" t="str">
        <f>"4710007729373"</f>
        <v>4710007729373</v>
      </c>
      <c r="L1076" t="str">
        <f>"65079373"</f>
        <v>65079373</v>
      </c>
      <c r="M1076" t="s">
        <v>75</v>
      </c>
      <c r="N1076" s="1">
        <v>43116.875694444447</v>
      </c>
      <c r="O1076" t="s">
        <v>19</v>
      </c>
    </row>
    <row r="1077" spans="1:15" x14ac:dyDescent="0.25">
      <c r="A1077" t="s">
        <v>942</v>
      </c>
      <c r="B1077" t="s">
        <v>15</v>
      </c>
      <c r="C1077" t="s">
        <v>941</v>
      </c>
      <c r="D1077" t="s">
        <v>17</v>
      </c>
      <c r="E1077" t="s">
        <v>18</v>
      </c>
      <c r="F1077" t="s">
        <v>19</v>
      </c>
      <c r="G1077" t="s">
        <v>20</v>
      </c>
      <c r="J1077" t="s">
        <v>17</v>
      </c>
      <c r="K1077" t="str">
        <f>"6925871614719"</f>
        <v>6925871614719</v>
      </c>
      <c r="L1077" t="str">
        <f>"22071471"</f>
        <v>22071471</v>
      </c>
      <c r="M1077" t="s">
        <v>75</v>
      </c>
      <c r="N1077" s="1">
        <v>42986.865277777775</v>
      </c>
      <c r="O1077" t="s">
        <v>19</v>
      </c>
    </row>
    <row r="1078" spans="1:15" x14ac:dyDescent="0.25">
      <c r="A1078" t="s">
        <v>943</v>
      </c>
      <c r="B1078" t="s">
        <v>15</v>
      </c>
      <c r="C1078" t="s">
        <v>937</v>
      </c>
      <c r="D1078" t="s">
        <v>17</v>
      </c>
      <c r="E1078" t="s">
        <v>18</v>
      </c>
      <c r="F1078" t="s">
        <v>19</v>
      </c>
      <c r="G1078" t="s">
        <v>20</v>
      </c>
      <c r="J1078" t="s">
        <v>17</v>
      </c>
      <c r="K1078" t="str">
        <f>"94001472"</f>
        <v>94001472</v>
      </c>
      <c r="L1078" t="str">
        <f>"94001472"</f>
        <v>94001472</v>
      </c>
      <c r="M1078" t="s">
        <v>75</v>
      </c>
      <c r="N1078" s="1">
        <v>42872.847222222219</v>
      </c>
      <c r="O1078" t="s">
        <v>19</v>
      </c>
    </row>
    <row r="1079" spans="1:15" x14ac:dyDescent="0.25">
      <c r="A1079" t="s">
        <v>944</v>
      </c>
      <c r="B1079" t="s">
        <v>15</v>
      </c>
      <c r="C1079" t="s">
        <v>941</v>
      </c>
      <c r="D1079" t="s">
        <v>17</v>
      </c>
      <c r="E1079" t="s">
        <v>18</v>
      </c>
      <c r="F1079" t="s">
        <v>19</v>
      </c>
      <c r="G1079" t="s">
        <v>20</v>
      </c>
      <c r="J1079" t="s">
        <v>17</v>
      </c>
      <c r="K1079" t="str">
        <f>"6925871617581"</f>
        <v>6925871617581</v>
      </c>
      <c r="L1079" t="str">
        <f>"22071758"</f>
        <v>22071758</v>
      </c>
      <c r="M1079" t="s">
        <v>75</v>
      </c>
      <c r="N1079" s="1">
        <v>42986.864583333336</v>
      </c>
      <c r="O1079" t="s">
        <v>19</v>
      </c>
    </row>
    <row r="1080" spans="1:15" x14ac:dyDescent="0.25">
      <c r="A1080" t="s">
        <v>945</v>
      </c>
      <c r="B1080" t="s">
        <v>15</v>
      </c>
      <c r="C1080" t="s">
        <v>941</v>
      </c>
      <c r="D1080" t="s">
        <v>17</v>
      </c>
      <c r="E1080" t="s">
        <v>18</v>
      </c>
      <c r="F1080" t="s">
        <v>19</v>
      </c>
      <c r="G1080" t="s">
        <v>20</v>
      </c>
      <c r="J1080" t="s">
        <v>17</v>
      </c>
      <c r="K1080" t="str">
        <f>"6925871618465"</f>
        <v>6925871618465</v>
      </c>
      <c r="L1080" t="str">
        <f>"22071846"</f>
        <v>22071846</v>
      </c>
      <c r="M1080" t="s">
        <v>75</v>
      </c>
      <c r="N1080" s="1">
        <v>43125.845138888886</v>
      </c>
      <c r="O1080" t="s">
        <v>19</v>
      </c>
    </row>
    <row r="1081" spans="1:15" x14ac:dyDescent="0.25">
      <c r="A1081" t="s">
        <v>946</v>
      </c>
      <c r="B1081" t="s">
        <v>15</v>
      </c>
      <c r="C1081" t="s">
        <v>941</v>
      </c>
      <c r="D1081" t="s">
        <v>17</v>
      </c>
      <c r="E1081" t="s">
        <v>18</v>
      </c>
      <c r="F1081" t="s">
        <v>19</v>
      </c>
      <c r="G1081" t="s">
        <v>20</v>
      </c>
      <c r="J1081" t="s">
        <v>17</v>
      </c>
      <c r="K1081" t="str">
        <f>"6925871624527"</f>
        <v>6925871624527</v>
      </c>
      <c r="L1081" t="str">
        <f>"22072452"</f>
        <v>22072452</v>
      </c>
      <c r="M1081" t="s">
        <v>75</v>
      </c>
      <c r="N1081" s="1">
        <v>43218.825694444444</v>
      </c>
      <c r="O1081" t="s">
        <v>19</v>
      </c>
    </row>
    <row r="1082" spans="1:15" x14ac:dyDescent="0.25">
      <c r="A1082" t="s">
        <v>947</v>
      </c>
      <c r="B1082" t="s">
        <v>15</v>
      </c>
      <c r="C1082" t="s">
        <v>941</v>
      </c>
      <c r="D1082" t="s">
        <v>17</v>
      </c>
      <c r="E1082" t="s">
        <v>18</v>
      </c>
      <c r="F1082" t="s">
        <v>19</v>
      </c>
      <c r="G1082" t="s">
        <v>20</v>
      </c>
      <c r="J1082" t="s">
        <v>17</v>
      </c>
      <c r="K1082" t="str">
        <f>"6925871624558"</f>
        <v>6925871624558</v>
      </c>
      <c r="L1082" t="str">
        <f>"22072455"</f>
        <v>22072455</v>
      </c>
      <c r="M1082" t="s">
        <v>75</v>
      </c>
      <c r="N1082" s="1">
        <v>43063.84375</v>
      </c>
      <c r="O1082" t="s">
        <v>19</v>
      </c>
    </row>
    <row r="1083" spans="1:15" x14ac:dyDescent="0.25">
      <c r="A1083" t="s">
        <v>948</v>
      </c>
      <c r="B1083" t="s">
        <v>15</v>
      </c>
      <c r="C1083" t="s">
        <v>941</v>
      </c>
      <c r="D1083" t="s">
        <v>17</v>
      </c>
      <c r="E1083" t="s">
        <v>18</v>
      </c>
      <c r="F1083" t="s">
        <v>19</v>
      </c>
      <c r="G1083" t="s">
        <v>20</v>
      </c>
      <c r="J1083" t="s">
        <v>17</v>
      </c>
      <c r="K1083" t="str">
        <f>"6925871625623"</f>
        <v>6925871625623</v>
      </c>
      <c r="L1083" t="str">
        <f>"22072562"</f>
        <v>22072562</v>
      </c>
      <c r="M1083" t="s">
        <v>75</v>
      </c>
      <c r="N1083" s="1">
        <v>43082.63958333333</v>
      </c>
      <c r="O1083" t="s">
        <v>19</v>
      </c>
    </row>
    <row r="1084" spans="1:15" x14ac:dyDescent="0.25">
      <c r="A1084" t="s">
        <v>949</v>
      </c>
      <c r="B1084" t="s">
        <v>15</v>
      </c>
      <c r="C1084" t="s">
        <v>941</v>
      </c>
      <c r="D1084" t="s">
        <v>17</v>
      </c>
      <c r="E1084" t="s">
        <v>18</v>
      </c>
      <c r="F1084" t="s">
        <v>19</v>
      </c>
      <c r="G1084" t="s">
        <v>20</v>
      </c>
      <c r="J1084" t="s">
        <v>17</v>
      </c>
      <c r="K1084" t="str">
        <f>"6925871627375"</f>
        <v>6925871627375</v>
      </c>
      <c r="L1084" t="str">
        <f>"22072737"</f>
        <v>22072737</v>
      </c>
      <c r="M1084" t="s">
        <v>75</v>
      </c>
      <c r="N1084" s="1">
        <v>43218.821527777778</v>
      </c>
      <c r="O1084" t="s">
        <v>19</v>
      </c>
    </row>
    <row r="1085" spans="1:15" x14ac:dyDescent="0.25">
      <c r="A1085" t="s">
        <v>950</v>
      </c>
      <c r="B1085" t="s">
        <v>15</v>
      </c>
      <c r="C1085" t="s">
        <v>937</v>
      </c>
      <c r="D1085" t="s">
        <v>17</v>
      </c>
      <c r="E1085" t="s">
        <v>18</v>
      </c>
      <c r="F1085" t="s">
        <v>19</v>
      </c>
      <c r="G1085" t="s">
        <v>20</v>
      </c>
      <c r="J1085" t="s">
        <v>17</v>
      </c>
      <c r="K1085" t="str">
        <f>"5789344567893"</f>
        <v>5789344567893</v>
      </c>
      <c r="L1085" t="str">
        <f>"32PRXPX75N"</f>
        <v>32PRXPX75N</v>
      </c>
      <c r="M1085" t="s">
        <v>21</v>
      </c>
      <c r="N1085" s="1">
        <v>43805.714583333334</v>
      </c>
      <c r="O1085" t="s">
        <v>19</v>
      </c>
    </row>
    <row r="1086" spans="1:15" x14ac:dyDescent="0.25">
      <c r="A1086" t="s">
        <v>951</v>
      </c>
      <c r="B1086" t="s">
        <v>15</v>
      </c>
      <c r="C1086" t="s">
        <v>937</v>
      </c>
      <c r="D1086" t="s">
        <v>17</v>
      </c>
      <c r="E1086" t="s">
        <v>18</v>
      </c>
      <c r="F1086" t="s">
        <v>19</v>
      </c>
      <c r="G1086" t="s">
        <v>20</v>
      </c>
      <c r="J1086" t="s">
        <v>17</v>
      </c>
      <c r="K1086" t="str">
        <f>"7168232793725"</f>
        <v>7168232793725</v>
      </c>
      <c r="L1086" t="str">
        <f>"32PLCPX37A"</f>
        <v>32PLCPX37A</v>
      </c>
      <c r="M1086" t="s">
        <v>21</v>
      </c>
      <c r="N1086" s="1">
        <v>43805.725694444445</v>
      </c>
      <c r="O1086" t="s">
        <v>19</v>
      </c>
    </row>
    <row r="1087" spans="1:15" x14ac:dyDescent="0.25">
      <c r="A1087" t="s">
        <v>952</v>
      </c>
      <c r="B1087" t="s">
        <v>15</v>
      </c>
      <c r="C1087" t="s">
        <v>937</v>
      </c>
      <c r="D1087" t="s">
        <v>17</v>
      </c>
      <c r="E1087" t="s">
        <v>18</v>
      </c>
      <c r="F1087" t="s">
        <v>19</v>
      </c>
      <c r="G1087" t="s">
        <v>20</v>
      </c>
      <c r="J1087" t="s">
        <v>17</v>
      </c>
      <c r="K1087" t="str">
        <f>"7168232793763"</f>
        <v>7168232793763</v>
      </c>
      <c r="L1087" t="str">
        <f>"32PLCPX37N"</f>
        <v>32PLCPX37N</v>
      </c>
      <c r="M1087" t="s">
        <v>21</v>
      </c>
      <c r="N1087" s="1">
        <v>43805.724305555559</v>
      </c>
      <c r="O1087" t="s">
        <v>19</v>
      </c>
    </row>
    <row r="1088" spans="1:15" x14ac:dyDescent="0.25">
      <c r="A1088" t="s">
        <v>953</v>
      </c>
      <c r="B1088" t="s">
        <v>15</v>
      </c>
      <c r="C1088" t="s">
        <v>937</v>
      </c>
      <c r="D1088" t="s">
        <v>17</v>
      </c>
      <c r="E1088" t="s">
        <v>18</v>
      </c>
      <c r="F1088" t="s">
        <v>19</v>
      </c>
      <c r="G1088" t="s">
        <v>20</v>
      </c>
      <c r="J1088" t="s">
        <v>17</v>
      </c>
      <c r="K1088" t="str">
        <f>"7168232793770"</f>
        <v>7168232793770</v>
      </c>
      <c r="L1088" t="str">
        <f>"32PLCPX37R"</f>
        <v>32PLCPX37R</v>
      </c>
      <c r="M1088" t="s">
        <v>21</v>
      </c>
      <c r="N1088" s="1">
        <v>43805.724999999999</v>
      </c>
      <c r="O1088" t="s">
        <v>19</v>
      </c>
    </row>
    <row r="1089" spans="1:15" x14ac:dyDescent="0.25">
      <c r="A1089" t="s">
        <v>954</v>
      </c>
      <c r="B1089" t="s">
        <v>15</v>
      </c>
      <c r="C1089" t="s">
        <v>941</v>
      </c>
      <c r="D1089" t="s">
        <v>17</v>
      </c>
      <c r="E1089" t="s">
        <v>18</v>
      </c>
      <c r="F1089" t="s">
        <v>19</v>
      </c>
      <c r="G1089" t="s">
        <v>20</v>
      </c>
      <c r="J1089" t="s">
        <v>17</v>
      </c>
      <c r="K1089" t="str">
        <f>"18070002"</f>
        <v>18070002</v>
      </c>
      <c r="L1089" t="str">
        <f>"18070002"</f>
        <v>18070002</v>
      </c>
      <c r="M1089" t="s">
        <v>75</v>
      </c>
      <c r="N1089" s="1">
        <v>42907.90902777778</v>
      </c>
      <c r="O1089" t="s">
        <v>19</v>
      </c>
    </row>
    <row r="1090" spans="1:15" x14ac:dyDescent="0.25">
      <c r="A1090" t="s">
        <v>955</v>
      </c>
      <c r="B1090" t="s">
        <v>15</v>
      </c>
      <c r="C1090" t="s">
        <v>937</v>
      </c>
      <c r="D1090" t="s">
        <v>17</v>
      </c>
      <c r="E1090" t="s">
        <v>18</v>
      </c>
      <c r="F1090" t="s">
        <v>19</v>
      </c>
      <c r="G1090" t="s">
        <v>20</v>
      </c>
      <c r="J1090" t="s">
        <v>17</v>
      </c>
      <c r="K1090" t="str">
        <f>"87270683"</f>
        <v>87270683</v>
      </c>
      <c r="L1090" t="str">
        <f>"87270683"</f>
        <v>87270683</v>
      </c>
      <c r="M1090" t="s">
        <v>75</v>
      </c>
      <c r="N1090" s="1">
        <v>42872.847222222219</v>
      </c>
      <c r="O1090" t="s">
        <v>19</v>
      </c>
    </row>
    <row r="1091" spans="1:15" x14ac:dyDescent="0.25">
      <c r="A1091" t="s">
        <v>956</v>
      </c>
      <c r="B1091" t="s">
        <v>15</v>
      </c>
      <c r="C1091" t="s">
        <v>343</v>
      </c>
      <c r="D1091" t="s">
        <v>17</v>
      </c>
      <c r="E1091" t="s">
        <v>18</v>
      </c>
      <c r="F1091" t="s">
        <v>19</v>
      </c>
      <c r="G1091" t="s">
        <v>20</v>
      </c>
      <c r="J1091" t="s">
        <v>17</v>
      </c>
      <c r="K1091" t="str">
        <f>"10008017"</f>
        <v>10008017</v>
      </c>
      <c r="L1091" t="str">
        <f>"10008017"</f>
        <v>10008017</v>
      </c>
      <c r="M1091" t="s">
        <v>75</v>
      </c>
      <c r="N1091" s="1">
        <v>42924.6875</v>
      </c>
      <c r="O1091" t="s">
        <v>19</v>
      </c>
    </row>
    <row r="1092" spans="1:15" x14ac:dyDescent="0.25">
      <c r="A1092" t="s">
        <v>957</v>
      </c>
      <c r="B1092" t="s">
        <v>15</v>
      </c>
      <c r="C1092" t="s">
        <v>343</v>
      </c>
      <c r="D1092" t="s">
        <v>17</v>
      </c>
      <c r="E1092" t="s">
        <v>18</v>
      </c>
      <c r="F1092" t="s">
        <v>19</v>
      </c>
      <c r="G1092" t="s">
        <v>20</v>
      </c>
      <c r="J1092" t="s">
        <v>17</v>
      </c>
      <c r="K1092" t="str">
        <f>"850600213"</f>
        <v>850600213</v>
      </c>
      <c r="L1092" t="str">
        <f>"850600213"</f>
        <v>850600213</v>
      </c>
      <c r="M1092" t="s">
        <v>75</v>
      </c>
      <c r="N1092" s="1">
        <v>42872.849305555559</v>
      </c>
      <c r="O1092" t="s">
        <v>19</v>
      </c>
    </row>
    <row r="1093" spans="1:15" x14ac:dyDescent="0.25">
      <c r="A1093" t="s">
        <v>958</v>
      </c>
      <c r="B1093" t="s">
        <v>15</v>
      </c>
      <c r="C1093" t="s">
        <v>343</v>
      </c>
      <c r="D1093" t="s">
        <v>17</v>
      </c>
      <c r="E1093" t="s">
        <v>18</v>
      </c>
      <c r="F1093" t="s">
        <v>19</v>
      </c>
      <c r="G1093" t="s">
        <v>20</v>
      </c>
      <c r="J1093" t="s">
        <v>17</v>
      </c>
      <c r="K1093" t="str">
        <f>"10000663"</f>
        <v>10000663</v>
      </c>
      <c r="L1093" t="str">
        <f>"10000663"</f>
        <v>10000663</v>
      </c>
      <c r="M1093" t="s">
        <v>75</v>
      </c>
      <c r="N1093" s="1">
        <v>42872.839583333334</v>
      </c>
      <c r="O1093" t="s">
        <v>19</v>
      </c>
    </row>
    <row r="1094" spans="1:15" x14ac:dyDescent="0.25">
      <c r="A1094" t="s">
        <v>959</v>
      </c>
      <c r="B1094" t="s">
        <v>15</v>
      </c>
      <c r="C1094" t="s">
        <v>343</v>
      </c>
      <c r="D1094" t="s">
        <v>17</v>
      </c>
      <c r="E1094" t="s">
        <v>18</v>
      </c>
      <c r="F1094" t="s">
        <v>19</v>
      </c>
      <c r="G1094" t="s">
        <v>20</v>
      </c>
      <c r="J1094" t="s">
        <v>17</v>
      </c>
      <c r="K1094" t="str">
        <f>"10000201"</f>
        <v>10000201</v>
      </c>
      <c r="L1094" t="str">
        <f>"10000201"</f>
        <v>10000201</v>
      </c>
      <c r="M1094" t="s">
        <v>84</v>
      </c>
      <c r="N1094" s="1">
        <v>43307.934027777781</v>
      </c>
      <c r="O1094" t="s">
        <v>19</v>
      </c>
    </row>
    <row r="1095" spans="1:15" x14ac:dyDescent="0.25">
      <c r="A1095" t="s">
        <v>960</v>
      </c>
      <c r="B1095" t="s">
        <v>15</v>
      </c>
      <c r="C1095" t="s">
        <v>343</v>
      </c>
      <c r="D1095" t="s">
        <v>17</v>
      </c>
      <c r="E1095" t="s">
        <v>18</v>
      </c>
      <c r="F1095" t="s">
        <v>19</v>
      </c>
      <c r="G1095" t="s">
        <v>20</v>
      </c>
      <c r="J1095" t="s">
        <v>17</v>
      </c>
      <c r="K1095" t="str">
        <f>"10002829"</f>
        <v>10002829</v>
      </c>
      <c r="L1095" t="str">
        <f>"10002829"</f>
        <v>10002829</v>
      </c>
      <c r="M1095" t="s">
        <v>75</v>
      </c>
      <c r="N1095" s="1">
        <v>42872.839583333334</v>
      </c>
      <c r="O1095" t="s">
        <v>19</v>
      </c>
    </row>
    <row r="1096" spans="1:15" x14ac:dyDescent="0.25">
      <c r="A1096" t="s">
        <v>961</v>
      </c>
      <c r="B1096" t="s">
        <v>15</v>
      </c>
      <c r="C1096" t="s">
        <v>343</v>
      </c>
      <c r="D1096" t="s">
        <v>17</v>
      </c>
      <c r="E1096" t="s">
        <v>18</v>
      </c>
      <c r="F1096" t="s">
        <v>19</v>
      </c>
      <c r="G1096" t="s">
        <v>20</v>
      </c>
      <c r="J1096" t="s">
        <v>17</v>
      </c>
      <c r="K1096" t="str">
        <f>"2013030632675"</f>
        <v>2013030632675</v>
      </c>
      <c r="L1096" t="str">
        <f>"10000704"</f>
        <v>10000704</v>
      </c>
      <c r="M1096" t="s">
        <v>75</v>
      </c>
      <c r="N1096" s="1">
        <v>42872.839583333334</v>
      </c>
      <c r="O1096" t="s">
        <v>19</v>
      </c>
    </row>
    <row r="1097" spans="1:15" x14ac:dyDescent="0.25">
      <c r="A1097" t="s">
        <v>962</v>
      </c>
      <c r="B1097" t="s">
        <v>15</v>
      </c>
      <c r="C1097" t="s">
        <v>343</v>
      </c>
      <c r="D1097" t="s">
        <v>17</v>
      </c>
      <c r="E1097" t="s">
        <v>18</v>
      </c>
      <c r="F1097" t="s">
        <v>19</v>
      </c>
      <c r="G1097" t="s">
        <v>20</v>
      </c>
      <c r="J1097" t="s">
        <v>17</v>
      </c>
      <c r="K1097" t="str">
        <f>"10000708"</f>
        <v>10000708</v>
      </c>
      <c r="L1097" t="str">
        <f>"10000708"</f>
        <v>10000708</v>
      </c>
      <c r="M1097" t="s">
        <v>75</v>
      </c>
      <c r="N1097" s="1">
        <v>42872.839583333334</v>
      </c>
      <c r="O1097" t="s">
        <v>19</v>
      </c>
    </row>
    <row r="1098" spans="1:15" x14ac:dyDescent="0.25">
      <c r="A1098" t="s">
        <v>963</v>
      </c>
      <c r="B1098" t="s">
        <v>15</v>
      </c>
      <c r="C1098" t="s">
        <v>343</v>
      </c>
      <c r="D1098" t="s">
        <v>17</v>
      </c>
      <c r="E1098" t="s">
        <v>18</v>
      </c>
      <c r="F1098" t="s">
        <v>19</v>
      </c>
      <c r="G1098" t="s">
        <v>20</v>
      </c>
      <c r="J1098" t="s">
        <v>17</v>
      </c>
      <c r="K1098" t="str">
        <f>"6925871642439"</f>
        <v>6925871642439</v>
      </c>
      <c r="L1098" t="str">
        <f>"22064243"</f>
        <v>22064243</v>
      </c>
      <c r="M1098" t="s">
        <v>21</v>
      </c>
      <c r="N1098" s="1">
        <v>43603.725694444445</v>
      </c>
      <c r="O1098" t="s">
        <v>19</v>
      </c>
    </row>
    <row r="1099" spans="1:15" x14ac:dyDescent="0.25">
      <c r="A1099" t="s">
        <v>964</v>
      </c>
      <c r="B1099" t="s">
        <v>15</v>
      </c>
      <c r="C1099" t="s">
        <v>965</v>
      </c>
      <c r="D1099" t="s">
        <v>17</v>
      </c>
      <c r="E1099" t="s">
        <v>18</v>
      </c>
      <c r="F1099" t="s">
        <v>19</v>
      </c>
      <c r="G1099" t="s">
        <v>20</v>
      </c>
      <c r="J1099" t="s">
        <v>17</v>
      </c>
      <c r="K1099" t="str">
        <f>"8613728754913"</f>
        <v>8613728754913</v>
      </c>
      <c r="L1099" t="str">
        <f>"10002039"</f>
        <v>10002039</v>
      </c>
      <c r="M1099" t="s">
        <v>84</v>
      </c>
      <c r="N1099" s="1">
        <v>43396.686805555553</v>
      </c>
      <c r="O1099" t="s">
        <v>19</v>
      </c>
    </row>
    <row r="1100" spans="1:15" x14ac:dyDescent="0.25">
      <c r="A1100" t="s">
        <v>966</v>
      </c>
      <c r="B1100" t="s">
        <v>15</v>
      </c>
      <c r="C1100" t="s">
        <v>343</v>
      </c>
      <c r="D1100" t="s">
        <v>17</v>
      </c>
      <c r="E1100" t="s">
        <v>18</v>
      </c>
      <c r="F1100" t="s">
        <v>19</v>
      </c>
      <c r="G1100" t="s">
        <v>20</v>
      </c>
      <c r="J1100" t="s">
        <v>17</v>
      </c>
      <c r="K1100" t="str">
        <f>"100603379"</f>
        <v>100603379</v>
      </c>
      <c r="L1100" t="str">
        <f>"100603379"</f>
        <v>100603379</v>
      </c>
      <c r="M1100" t="s">
        <v>75</v>
      </c>
      <c r="N1100" s="1">
        <v>42872.847222222219</v>
      </c>
      <c r="O1100" t="s">
        <v>19</v>
      </c>
    </row>
    <row r="1101" spans="1:15" x14ac:dyDescent="0.25">
      <c r="A1101" t="s">
        <v>966</v>
      </c>
      <c r="B1101" t="s">
        <v>15</v>
      </c>
      <c r="C1101" t="s">
        <v>343</v>
      </c>
      <c r="D1101" t="s">
        <v>17</v>
      </c>
      <c r="E1101" t="s">
        <v>18</v>
      </c>
      <c r="F1101" t="s">
        <v>19</v>
      </c>
      <c r="G1101" t="s">
        <v>20</v>
      </c>
      <c r="J1101" t="s">
        <v>17</v>
      </c>
      <c r="K1101" t="str">
        <f>"102603379"</f>
        <v>102603379</v>
      </c>
      <c r="L1101" t="str">
        <f>"102603379"</f>
        <v>102603379</v>
      </c>
      <c r="M1101" t="s">
        <v>75</v>
      </c>
      <c r="N1101" s="1">
        <v>42872.847222222219</v>
      </c>
      <c r="O1101" t="s">
        <v>19</v>
      </c>
    </row>
    <row r="1102" spans="1:15" x14ac:dyDescent="0.25">
      <c r="A1102" t="s">
        <v>967</v>
      </c>
      <c r="B1102" t="s">
        <v>15</v>
      </c>
      <c r="C1102" t="s">
        <v>30</v>
      </c>
      <c r="D1102" t="s">
        <v>17</v>
      </c>
      <c r="E1102" t="s">
        <v>18</v>
      </c>
      <c r="F1102" t="s">
        <v>19</v>
      </c>
      <c r="G1102" t="s">
        <v>20</v>
      </c>
      <c r="J1102" t="s">
        <v>17</v>
      </c>
      <c r="K1102" t="str">
        <f>"7215201215525"</f>
        <v>7215201215525</v>
      </c>
      <c r="L1102" t="str">
        <f>"10003379"</f>
        <v>10003379</v>
      </c>
      <c r="M1102" t="s">
        <v>75</v>
      </c>
      <c r="N1102" s="1">
        <v>42872.839583333334</v>
      </c>
      <c r="O1102" t="s">
        <v>19</v>
      </c>
    </row>
    <row r="1103" spans="1:15" x14ac:dyDescent="0.25">
      <c r="A1103" t="s">
        <v>968</v>
      </c>
      <c r="B1103" t="s">
        <v>15</v>
      </c>
      <c r="C1103" t="s">
        <v>343</v>
      </c>
      <c r="D1103" t="s">
        <v>17</v>
      </c>
      <c r="E1103" t="s">
        <v>18</v>
      </c>
      <c r="F1103" t="s">
        <v>19</v>
      </c>
      <c r="G1103" t="s">
        <v>20</v>
      </c>
      <c r="J1103" t="s">
        <v>17</v>
      </c>
      <c r="K1103" t="str">
        <f>"300610891"</f>
        <v>300610891</v>
      </c>
      <c r="L1103" t="str">
        <f>"300610891"</f>
        <v>300610891</v>
      </c>
      <c r="M1103" t="s">
        <v>75</v>
      </c>
      <c r="N1103" s="1">
        <v>42872.849305555559</v>
      </c>
      <c r="O1103" t="s">
        <v>19</v>
      </c>
    </row>
    <row r="1104" spans="1:15" x14ac:dyDescent="0.25">
      <c r="A1104" t="s">
        <v>969</v>
      </c>
      <c r="B1104" t="s">
        <v>15</v>
      </c>
      <c r="C1104" t="s">
        <v>343</v>
      </c>
      <c r="D1104" t="s">
        <v>17</v>
      </c>
      <c r="E1104" t="s">
        <v>18</v>
      </c>
      <c r="F1104" t="s">
        <v>19</v>
      </c>
      <c r="G1104" t="s">
        <v>20</v>
      </c>
      <c r="J1104" t="s">
        <v>17</v>
      </c>
      <c r="K1104" t="str">
        <f>"41300070"</f>
        <v>41300070</v>
      </c>
      <c r="L1104" t="str">
        <f>"41300070"</f>
        <v>41300070</v>
      </c>
      <c r="M1104" t="s">
        <v>75</v>
      </c>
      <c r="N1104" s="1">
        <v>42872.839583333334</v>
      </c>
      <c r="O1104" t="s">
        <v>19</v>
      </c>
    </row>
    <row r="1105" spans="1:15" x14ac:dyDescent="0.25">
      <c r="A1105" t="s">
        <v>970</v>
      </c>
      <c r="B1105" t="s">
        <v>15</v>
      </c>
      <c r="C1105" t="s">
        <v>30</v>
      </c>
      <c r="D1105" t="s">
        <v>17</v>
      </c>
      <c r="E1105" t="s">
        <v>18</v>
      </c>
      <c r="F1105" t="s">
        <v>19</v>
      </c>
      <c r="G1105" t="s">
        <v>20</v>
      </c>
      <c r="J1105" t="s">
        <v>17</v>
      </c>
      <c r="K1105" t="str">
        <f>"10002855"</f>
        <v>10002855</v>
      </c>
      <c r="L1105" t="str">
        <f>"10002855"</f>
        <v>10002855</v>
      </c>
      <c r="M1105" t="s">
        <v>75</v>
      </c>
      <c r="N1105" s="1">
        <v>43097.87777777778</v>
      </c>
      <c r="O1105" t="s">
        <v>19</v>
      </c>
    </row>
    <row r="1106" spans="1:15" x14ac:dyDescent="0.25">
      <c r="A1106" t="s">
        <v>971</v>
      </c>
      <c r="B1106" t="s">
        <v>15</v>
      </c>
      <c r="C1106" t="s">
        <v>343</v>
      </c>
      <c r="D1106" t="s">
        <v>17</v>
      </c>
      <c r="E1106" t="s">
        <v>18</v>
      </c>
      <c r="F1106" t="s">
        <v>19</v>
      </c>
      <c r="G1106" t="s">
        <v>20</v>
      </c>
      <c r="J1106" t="s">
        <v>17</v>
      </c>
      <c r="K1106" t="str">
        <f>"170600141"</f>
        <v>170600141</v>
      </c>
      <c r="L1106" t="str">
        <f>"170600141"</f>
        <v>170600141</v>
      </c>
      <c r="M1106" t="s">
        <v>75</v>
      </c>
      <c r="N1106" s="1">
        <v>42872.847222222219</v>
      </c>
      <c r="O1106" t="s">
        <v>19</v>
      </c>
    </row>
    <row r="1107" spans="1:15" x14ac:dyDescent="0.25">
      <c r="A1107" t="s">
        <v>972</v>
      </c>
      <c r="B1107" t="s">
        <v>15</v>
      </c>
      <c r="C1107" t="s">
        <v>343</v>
      </c>
      <c r="D1107" t="s">
        <v>17</v>
      </c>
      <c r="E1107" t="s">
        <v>18</v>
      </c>
      <c r="F1107" t="s">
        <v>19</v>
      </c>
      <c r="G1107" t="s">
        <v>20</v>
      </c>
      <c r="J1107" t="s">
        <v>17</v>
      </c>
      <c r="K1107" t="str">
        <f>"10003363"</f>
        <v>10003363</v>
      </c>
      <c r="L1107" t="str">
        <f>"10003363"</f>
        <v>10003363</v>
      </c>
      <c r="M1107" t="s">
        <v>75</v>
      </c>
      <c r="N1107" s="1">
        <v>42872.839583333334</v>
      </c>
      <c r="O1107" t="s">
        <v>19</v>
      </c>
    </row>
    <row r="1108" spans="1:15" x14ac:dyDescent="0.25">
      <c r="A1108" t="s">
        <v>973</v>
      </c>
      <c r="B1108" t="s">
        <v>15</v>
      </c>
      <c r="C1108" t="s">
        <v>343</v>
      </c>
      <c r="D1108" t="s">
        <v>17</v>
      </c>
      <c r="E1108" t="s">
        <v>18</v>
      </c>
      <c r="F1108" t="s">
        <v>19</v>
      </c>
      <c r="G1108" t="s">
        <v>20</v>
      </c>
      <c r="J1108" t="s">
        <v>17</v>
      </c>
      <c r="K1108" t="str">
        <f>"10003543"</f>
        <v>10003543</v>
      </c>
      <c r="L1108" t="str">
        <f>"10003543"</f>
        <v>10003543</v>
      </c>
      <c r="M1108" t="s">
        <v>75</v>
      </c>
      <c r="N1108" s="1">
        <v>42872.839583333334</v>
      </c>
      <c r="O1108" t="s">
        <v>19</v>
      </c>
    </row>
    <row r="1109" spans="1:15" x14ac:dyDescent="0.25">
      <c r="A1109" t="s">
        <v>974</v>
      </c>
      <c r="B1109" t="s">
        <v>15</v>
      </c>
      <c r="C1109" t="s">
        <v>343</v>
      </c>
      <c r="D1109" t="s">
        <v>17</v>
      </c>
      <c r="E1109" t="s">
        <v>18</v>
      </c>
      <c r="F1109" t="s">
        <v>19</v>
      </c>
      <c r="G1109" t="s">
        <v>20</v>
      </c>
      <c r="J1109" t="s">
        <v>17</v>
      </c>
      <c r="K1109" t="str">
        <f>"10000687"</f>
        <v>10000687</v>
      </c>
      <c r="L1109" t="str">
        <f>"10000687"</f>
        <v>10000687</v>
      </c>
      <c r="M1109" t="s">
        <v>75</v>
      </c>
      <c r="N1109" s="1">
        <v>42872.839583333334</v>
      </c>
      <c r="O1109" t="s">
        <v>19</v>
      </c>
    </row>
    <row r="1110" spans="1:15" x14ac:dyDescent="0.25">
      <c r="A1110" t="s">
        <v>975</v>
      </c>
      <c r="B1110" t="s">
        <v>15</v>
      </c>
      <c r="C1110" t="s">
        <v>343</v>
      </c>
      <c r="D1110" t="s">
        <v>17</v>
      </c>
      <c r="E1110" t="s">
        <v>18</v>
      </c>
      <c r="F1110" t="s">
        <v>19</v>
      </c>
      <c r="G1110" t="s">
        <v>20</v>
      </c>
      <c r="J1110" t="s">
        <v>17</v>
      </c>
      <c r="K1110" t="str">
        <f>"51103763"</f>
        <v>51103763</v>
      </c>
      <c r="L1110" t="str">
        <f>"51103763"</f>
        <v>51103763</v>
      </c>
      <c r="M1110" t="s">
        <v>75</v>
      </c>
      <c r="N1110" s="1">
        <v>42872.839583333334</v>
      </c>
      <c r="O1110" t="s">
        <v>19</v>
      </c>
    </row>
    <row r="1111" spans="1:15" x14ac:dyDescent="0.25">
      <c r="A1111" t="s">
        <v>976</v>
      </c>
      <c r="B1111" t="s">
        <v>15</v>
      </c>
      <c r="C1111" t="s">
        <v>37</v>
      </c>
      <c r="D1111" t="s">
        <v>17</v>
      </c>
      <c r="E1111" t="s">
        <v>18</v>
      </c>
      <c r="F1111" t="s">
        <v>19</v>
      </c>
      <c r="G1111" t="s">
        <v>20</v>
      </c>
      <c r="J1111" t="s">
        <v>17</v>
      </c>
      <c r="K1111" t="str">
        <f>"98521111"</f>
        <v>98521111</v>
      </c>
      <c r="L1111" t="str">
        <f>"98521111"</f>
        <v>98521111</v>
      </c>
      <c r="M1111" t="s">
        <v>21</v>
      </c>
      <c r="N1111" s="1">
        <v>43642.935416666667</v>
      </c>
      <c r="O1111" t="s">
        <v>19</v>
      </c>
    </row>
    <row r="1112" spans="1:15" x14ac:dyDescent="0.25">
      <c r="A1112" t="s">
        <v>977</v>
      </c>
      <c r="B1112" t="s">
        <v>15</v>
      </c>
      <c r="C1112" t="s">
        <v>37</v>
      </c>
      <c r="D1112" t="s">
        <v>17</v>
      </c>
      <c r="E1112" t="s">
        <v>18</v>
      </c>
      <c r="F1112" t="s">
        <v>19</v>
      </c>
      <c r="G1112" t="s">
        <v>20</v>
      </c>
      <c r="J1112" t="s">
        <v>17</v>
      </c>
      <c r="K1112" t="str">
        <f>"10013165"</f>
        <v>10013165</v>
      </c>
      <c r="L1112" t="str">
        <f>"10013165"</f>
        <v>10013165</v>
      </c>
      <c r="M1112" t="s">
        <v>21</v>
      </c>
      <c r="N1112" s="1">
        <v>43854.732638888891</v>
      </c>
      <c r="O1112" t="s">
        <v>19</v>
      </c>
    </row>
    <row r="1113" spans="1:15" x14ac:dyDescent="0.25">
      <c r="A1113" t="s">
        <v>978</v>
      </c>
      <c r="B1113" t="s">
        <v>15</v>
      </c>
      <c r="C1113" t="s">
        <v>217</v>
      </c>
      <c r="D1113" t="s">
        <v>17</v>
      </c>
      <c r="E1113" t="s">
        <v>18</v>
      </c>
      <c r="F1113" t="s">
        <v>19</v>
      </c>
      <c r="G1113" t="s">
        <v>20</v>
      </c>
      <c r="J1113" t="s">
        <v>17</v>
      </c>
      <c r="K1113" t="str">
        <f>"7858816052705"</f>
        <v>7858816052705</v>
      </c>
      <c r="L1113" t="str">
        <f>"875205270"</f>
        <v>875205270</v>
      </c>
      <c r="M1113" t="s">
        <v>84</v>
      </c>
      <c r="N1113" s="1">
        <v>43446.879166666666</v>
      </c>
      <c r="O1113" t="s">
        <v>19</v>
      </c>
    </row>
    <row r="1114" spans="1:15" x14ac:dyDescent="0.25">
      <c r="A1114" t="s">
        <v>979</v>
      </c>
      <c r="B1114" t="s">
        <v>15</v>
      </c>
      <c r="C1114" t="s">
        <v>217</v>
      </c>
      <c r="D1114" t="s">
        <v>17</v>
      </c>
      <c r="E1114" t="s">
        <v>18</v>
      </c>
      <c r="F1114" t="s">
        <v>19</v>
      </c>
      <c r="G1114" t="s">
        <v>20</v>
      </c>
      <c r="J1114" t="s">
        <v>17</v>
      </c>
      <c r="K1114" t="str">
        <f>"7858816052712"</f>
        <v>7858816052712</v>
      </c>
      <c r="L1114" t="str">
        <f>"875205271"</f>
        <v>875205271</v>
      </c>
      <c r="M1114" t="s">
        <v>84</v>
      </c>
      <c r="N1114" s="1">
        <v>43446.879861111112</v>
      </c>
      <c r="O1114" t="s">
        <v>19</v>
      </c>
    </row>
    <row r="1115" spans="1:15" x14ac:dyDescent="0.25">
      <c r="A1115" t="s">
        <v>980</v>
      </c>
      <c r="B1115" t="s">
        <v>15</v>
      </c>
      <c r="C1115" t="s">
        <v>217</v>
      </c>
      <c r="D1115" t="s">
        <v>17</v>
      </c>
      <c r="E1115" t="s">
        <v>18</v>
      </c>
      <c r="F1115" t="s">
        <v>19</v>
      </c>
      <c r="G1115" t="s">
        <v>20</v>
      </c>
      <c r="J1115" t="s">
        <v>17</v>
      </c>
      <c r="K1115" t="str">
        <f>"10011790"</f>
        <v>10011790</v>
      </c>
      <c r="L1115" t="str">
        <f>"10011790"</f>
        <v>10011790</v>
      </c>
      <c r="M1115" t="s">
        <v>84</v>
      </c>
      <c r="N1115" s="1">
        <v>43546.59652777778</v>
      </c>
      <c r="O1115" t="s">
        <v>19</v>
      </c>
    </row>
    <row r="1116" spans="1:15" x14ac:dyDescent="0.25">
      <c r="A1116" t="s">
        <v>981</v>
      </c>
      <c r="B1116" t="s">
        <v>15</v>
      </c>
      <c r="C1116" t="s">
        <v>217</v>
      </c>
      <c r="D1116" t="s">
        <v>17</v>
      </c>
      <c r="E1116" t="s">
        <v>18</v>
      </c>
      <c r="F1116" t="s">
        <v>19</v>
      </c>
      <c r="G1116" t="s">
        <v>20</v>
      </c>
      <c r="J1116" t="s">
        <v>17</v>
      </c>
      <c r="K1116" t="str">
        <f>"2018103553345"</f>
        <v>2018103553345</v>
      </c>
      <c r="L1116" t="str">
        <f>"18555334"</f>
        <v>18555334</v>
      </c>
      <c r="M1116" t="s">
        <v>21</v>
      </c>
      <c r="N1116" s="1">
        <v>43358.669444444444</v>
      </c>
      <c r="O1116" t="s">
        <v>19</v>
      </c>
    </row>
    <row r="1117" spans="1:15" x14ac:dyDescent="0.25">
      <c r="A1117" t="s">
        <v>982</v>
      </c>
      <c r="B1117" t="s">
        <v>15</v>
      </c>
      <c r="C1117" t="s">
        <v>217</v>
      </c>
      <c r="D1117" t="s">
        <v>17</v>
      </c>
      <c r="E1117" t="s">
        <v>18</v>
      </c>
      <c r="F1117" t="s">
        <v>19</v>
      </c>
      <c r="G1117" t="s">
        <v>20</v>
      </c>
      <c r="J1117" t="s">
        <v>17</v>
      </c>
      <c r="K1117" t="str">
        <f>"2018103553352"</f>
        <v>2018103553352</v>
      </c>
      <c r="L1117" t="str">
        <f>"18555335"</f>
        <v>18555335</v>
      </c>
      <c r="M1117" t="s">
        <v>21</v>
      </c>
      <c r="N1117" s="1">
        <v>43358.67083333333</v>
      </c>
      <c r="O1117" t="s">
        <v>19</v>
      </c>
    </row>
    <row r="1118" spans="1:15" x14ac:dyDescent="0.25">
      <c r="A1118" t="s">
        <v>983</v>
      </c>
      <c r="B1118" t="s">
        <v>15</v>
      </c>
      <c r="C1118" t="s">
        <v>217</v>
      </c>
      <c r="D1118" t="s">
        <v>17</v>
      </c>
      <c r="E1118" t="s">
        <v>18</v>
      </c>
      <c r="F1118" t="s">
        <v>19</v>
      </c>
      <c r="G1118" t="s">
        <v>20</v>
      </c>
      <c r="J1118" t="s">
        <v>17</v>
      </c>
      <c r="K1118" t="str">
        <f>"2018103553369"</f>
        <v>2018103553369</v>
      </c>
      <c r="L1118" t="str">
        <f>"18525336"</f>
        <v>18525336</v>
      </c>
      <c r="M1118" t="s">
        <v>21</v>
      </c>
      <c r="N1118" s="1">
        <v>43358.67083333333</v>
      </c>
      <c r="O1118" t="s">
        <v>19</v>
      </c>
    </row>
    <row r="1119" spans="1:15" x14ac:dyDescent="0.25">
      <c r="A1119" t="s">
        <v>984</v>
      </c>
      <c r="B1119" t="s">
        <v>15</v>
      </c>
      <c r="C1119" t="s">
        <v>217</v>
      </c>
      <c r="D1119" t="s">
        <v>17</v>
      </c>
      <c r="E1119" t="s">
        <v>18</v>
      </c>
      <c r="F1119" t="s">
        <v>19</v>
      </c>
      <c r="G1119" t="s">
        <v>20</v>
      </c>
      <c r="J1119" t="s">
        <v>17</v>
      </c>
      <c r="K1119" t="str">
        <f>"2018103553376"</f>
        <v>2018103553376</v>
      </c>
      <c r="L1119" t="str">
        <f>"18525337"</f>
        <v>18525337</v>
      </c>
      <c r="M1119" t="s">
        <v>21</v>
      </c>
      <c r="N1119" s="1">
        <v>43358.671527777777</v>
      </c>
      <c r="O1119" t="s">
        <v>19</v>
      </c>
    </row>
    <row r="1120" spans="1:15" x14ac:dyDescent="0.25">
      <c r="A1120" t="s">
        <v>985</v>
      </c>
      <c r="B1120" t="s">
        <v>15</v>
      </c>
      <c r="C1120" t="s">
        <v>217</v>
      </c>
      <c r="D1120" t="s">
        <v>17</v>
      </c>
      <c r="E1120" t="s">
        <v>18</v>
      </c>
      <c r="F1120" t="s">
        <v>19</v>
      </c>
      <c r="G1120" t="s">
        <v>20</v>
      </c>
      <c r="J1120" t="s">
        <v>17</v>
      </c>
      <c r="K1120" t="str">
        <f>"2018103553598"</f>
        <v>2018103553598</v>
      </c>
      <c r="L1120" t="str">
        <f>"18525359"</f>
        <v>18525359</v>
      </c>
      <c r="M1120" t="s">
        <v>21</v>
      </c>
      <c r="N1120" s="1">
        <v>43358.672222222223</v>
      </c>
      <c r="O1120" t="s">
        <v>19</v>
      </c>
    </row>
    <row r="1121" spans="1:15" x14ac:dyDescent="0.25">
      <c r="A1121" t="s">
        <v>986</v>
      </c>
      <c r="B1121" t="s">
        <v>15</v>
      </c>
      <c r="C1121" t="s">
        <v>987</v>
      </c>
      <c r="D1121" t="s">
        <v>17</v>
      </c>
      <c r="E1121" t="s">
        <v>18</v>
      </c>
      <c r="F1121" t="s">
        <v>19</v>
      </c>
      <c r="G1121" t="s">
        <v>20</v>
      </c>
      <c r="J1121" t="s">
        <v>17</v>
      </c>
      <c r="K1121" t="str">
        <f>"10009898"</f>
        <v>10009898</v>
      </c>
      <c r="L1121" t="str">
        <f>"10009898"</f>
        <v>10009898</v>
      </c>
      <c r="M1121" t="s">
        <v>21</v>
      </c>
      <c r="N1121" s="1">
        <v>43819.887499999997</v>
      </c>
      <c r="O1121" t="s">
        <v>19</v>
      </c>
    </row>
    <row r="1122" spans="1:15" x14ac:dyDescent="0.25">
      <c r="A1122" t="s">
        <v>988</v>
      </c>
      <c r="B1122" t="s">
        <v>15</v>
      </c>
      <c r="C1122" t="s">
        <v>31</v>
      </c>
      <c r="D1122" t="s">
        <v>17</v>
      </c>
      <c r="E1122" t="s">
        <v>18</v>
      </c>
      <c r="F1122" t="s">
        <v>19</v>
      </c>
      <c r="G1122" t="s">
        <v>20</v>
      </c>
      <c r="J1122" t="s">
        <v>17</v>
      </c>
      <c r="K1122" t="str">
        <f>"10000158"</f>
        <v>10000158</v>
      </c>
      <c r="L1122" t="str">
        <f>"10000158"</f>
        <v>10000158</v>
      </c>
      <c r="M1122" t="s">
        <v>75</v>
      </c>
      <c r="N1122" s="1">
        <v>42872.839583333334</v>
      </c>
      <c r="O1122" t="s">
        <v>19</v>
      </c>
    </row>
    <row r="1123" spans="1:15" x14ac:dyDescent="0.25">
      <c r="A1123" t="s">
        <v>989</v>
      </c>
      <c r="B1123" t="s">
        <v>15</v>
      </c>
      <c r="C1123" t="s">
        <v>31</v>
      </c>
      <c r="D1123" t="s">
        <v>17</v>
      </c>
      <c r="E1123" t="s">
        <v>18</v>
      </c>
      <c r="F1123" t="s">
        <v>19</v>
      </c>
      <c r="G1123" t="s">
        <v>20</v>
      </c>
      <c r="J1123" t="s">
        <v>17</v>
      </c>
      <c r="K1123" t="str">
        <f>"6924494001098"</f>
        <v>6924494001098</v>
      </c>
      <c r="L1123" t="str">
        <f>"32N0000211"</f>
        <v>32N0000211</v>
      </c>
      <c r="M1123" t="s">
        <v>21</v>
      </c>
      <c r="N1123" s="1">
        <v>43994.820833333331</v>
      </c>
      <c r="O1123" t="s">
        <v>19</v>
      </c>
    </row>
    <row r="1124" spans="1:15" x14ac:dyDescent="0.25">
      <c r="A1124" t="s">
        <v>990</v>
      </c>
      <c r="B1124" t="s">
        <v>15</v>
      </c>
      <c r="C1124" t="s">
        <v>31</v>
      </c>
      <c r="D1124" t="s">
        <v>17</v>
      </c>
      <c r="E1124" t="s">
        <v>18</v>
      </c>
      <c r="F1124" t="s">
        <v>19</v>
      </c>
      <c r="G1124" t="s">
        <v>20</v>
      </c>
      <c r="J1124" t="s">
        <v>17</v>
      </c>
      <c r="K1124" t="str">
        <f>"8518783725024"</f>
        <v>8518783725024</v>
      </c>
      <c r="L1124" t="str">
        <f>"10017026"</f>
        <v>10017026</v>
      </c>
      <c r="M1124" t="s">
        <v>21</v>
      </c>
      <c r="N1124" s="1">
        <v>43819.897222222222</v>
      </c>
      <c r="O1124" t="s">
        <v>19</v>
      </c>
    </row>
    <row r="1125" spans="1:15" x14ac:dyDescent="0.25">
      <c r="A1125" t="s">
        <v>991</v>
      </c>
      <c r="B1125" t="s">
        <v>15</v>
      </c>
      <c r="C1125" t="s">
        <v>31</v>
      </c>
      <c r="D1125" t="s">
        <v>17</v>
      </c>
      <c r="E1125" t="s">
        <v>18</v>
      </c>
      <c r="F1125" t="s">
        <v>19</v>
      </c>
      <c r="G1125" t="s">
        <v>20</v>
      </c>
      <c r="J1125" t="s">
        <v>17</v>
      </c>
      <c r="K1125" t="str">
        <f>"6924494110271"</f>
        <v>6924494110271</v>
      </c>
      <c r="L1125" t="str">
        <f>"31N0000271"</f>
        <v>31N0000271</v>
      </c>
      <c r="M1125" t="s">
        <v>21</v>
      </c>
      <c r="N1125" s="1">
        <v>44001.588888888888</v>
      </c>
      <c r="O1125" t="s">
        <v>19</v>
      </c>
    </row>
    <row r="1126" spans="1:15" x14ac:dyDescent="0.25">
      <c r="A1126" t="s">
        <v>992</v>
      </c>
      <c r="B1126" t="s">
        <v>15</v>
      </c>
      <c r="C1126" t="s">
        <v>31</v>
      </c>
      <c r="D1126" t="s">
        <v>17</v>
      </c>
      <c r="E1126" t="s">
        <v>18</v>
      </c>
      <c r="F1126" t="s">
        <v>19</v>
      </c>
      <c r="G1126" t="s">
        <v>20</v>
      </c>
      <c r="J1126" t="s">
        <v>17</v>
      </c>
      <c r="K1126" t="str">
        <f>"98082121"</f>
        <v>98082121</v>
      </c>
      <c r="L1126" t="str">
        <f>"98082121"</f>
        <v>98082121</v>
      </c>
      <c r="M1126" t="s">
        <v>21</v>
      </c>
      <c r="N1126" s="1">
        <v>42872.847222222219</v>
      </c>
      <c r="O1126" t="s">
        <v>19</v>
      </c>
    </row>
    <row r="1127" spans="1:15" x14ac:dyDescent="0.25">
      <c r="A1127" t="s">
        <v>993</v>
      </c>
      <c r="B1127" t="s">
        <v>15</v>
      </c>
      <c r="C1127" t="s">
        <v>31</v>
      </c>
      <c r="D1127" t="s">
        <v>17</v>
      </c>
      <c r="E1127" t="s">
        <v>18</v>
      </c>
      <c r="F1127" t="s">
        <v>19</v>
      </c>
      <c r="G1127" t="s">
        <v>20</v>
      </c>
      <c r="J1127" t="s">
        <v>17</v>
      </c>
      <c r="K1127" t="str">
        <f>"22080412"</f>
        <v>22080412</v>
      </c>
      <c r="L1127" t="str">
        <f>"22080412"</f>
        <v>22080412</v>
      </c>
      <c r="M1127" t="s">
        <v>75</v>
      </c>
      <c r="N1127" s="1">
        <v>43125.818749999999</v>
      </c>
      <c r="O1127" t="s">
        <v>19</v>
      </c>
    </row>
    <row r="1128" spans="1:15" x14ac:dyDescent="0.25">
      <c r="A1128" t="s">
        <v>994</v>
      </c>
      <c r="B1128" t="s">
        <v>15</v>
      </c>
      <c r="C1128" t="s">
        <v>31</v>
      </c>
      <c r="D1128" t="s">
        <v>17</v>
      </c>
      <c r="E1128" t="s">
        <v>18</v>
      </c>
      <c r="F1128" t="s">
        <v>19</v>
      </c>
      <c r="G1128" t="s">
        <v>20</v>
      </c>
      <c r="J1128" t="s">
        <v>17</v>
      </c>
      <c r="K1128" t="str">
        <f>"030878335683"</f>
        <v>030878335683</v>
      </c>
      <c r="L1128" t="str">
        <f>"10001657"</f>
        <v>10001657</v>
      </c>
      <c r="M1128" t="s">
        <v>84</v>
      </c>
      <c r="N1128" s="1">
        <v>43546.626388888886</v>
      </c>
      <c r="O1128" t="s">
        <v>19</v>
      </c>
    </row>
    <row r="1129" spans="1:15" x14ac:dyDescent="0.25">
      <c r="A1129" t="s">
        <v>995</v>
      </c>
      <c r="B1129" t="s">
        <v>15</v>
      </c>
      <c r="C1129" t="s">
        <v>31</v>
      </c>
      <c r="D1129" t="s">
        <v>17</v>
      </c>
      <c r="E1129" t="s">
        <v>18</v>
      </c>
      <c r="F1129" t="s">
        <v>19</v>
      </c>
      <c r="G1129" t="s">
        <v>20</v>
      </c>
      <c r="J1129" t="s">
        <v>17</v>
      </c>
      <c r="K1129" t="str">
        <f>"6686996210902"</f>
        <v>6686996210902</v>
      </c>
      <c r="L1129" t="str">
        <f>"54080301"</f>
        <v>54080301</v>
      </c>
      <c r="M1129" t="s">
        <v>21</v>
      </c>
      <c r="N1129" s="1">
        <v>44210.768055555556</v>
      </c>
      <c r="O1129" t="s">
        <v>19</v>
      </c>
    </row>
    <row r="1130" spans="1:15" x14ac:dyDescent="0.25">
      <c r="A1130" t="s">
        <v>996</v>
      </c>
      <c r="B1130" t="s">
        <v>15</v>
      </c>
      <c r="C1130" t="s">
        <v>31</v>
      </c>
      <c r="D1130" t="s">
        <v>17</v>
      </c>
      <c r="E1130" t="s">
        <v>18</v>
      </c>
      <c r="F1130" t="s">
        <v>19</v>
      </c>
      <c r="G1130" t="s">
        <v>20</v>
      </c>
      <c r="J1130" t="s">
        <v>17</v>
      </c>
      <c r="K1130" t="str">
        <f>"6924494001111"</f>
        <v>6924494001111</v>
      </c>
      <c r="L1130" t="str">
        <f>"98089131"</f>
        <v>98089131</v>
      </c>
      <c r="M1130" t="s">
        <v>21</v>
      </c>
      <c r="N1130" s="1">
        <v>42872.847222222219</v>
      </c>
      <c r="O1130" t="s">
        <v>19</v>
      </c>
    </row>
    <row r="1131" spans="1:15" x14ac:dyDescent="0.25">
      <c r="A1131" t="s">
        <v>997</v>
      </c>
      <c r="B1131" t="s">
        <v>15</v>
      </c>
      <c r="C1131" t="s">
        <v>31</v>
      </c>
      <c r="D1131" t="s">
        <v>17</v>
      </c>
      <c r="E1131" t="s">
        <v>18</v>
      </c>
      <c r="F1131" t="s">
        <v>19</v>
      </c>
      <c r="G1131" t="s">
        <v>20</v>
      </c>
      <c r="J1131" t="s">
        <v>17</v>
      </c>
      <c r="K1131" t="str">
        <f>"7858816059940"</f>
        <v>7858816059940</v>
      </c>
      <c r="L1131" t="str">
        <f>"87085994"</f>
        <v>87085994</v>
      </c>
      <c r="M1131" t="s">
        <v>21</v>
      </c>
      <c r="N1131" s="1">
        <v>43839.836111111108</v>
      </c>
      <c r="O1131" t="s">
        <v>19</v>
      </c>
    </row>
    <row r="1132" spans="1:15" x14ac:dyDescent="0.25">
      <c r="A1132" t="s">
        <v>998</v>
      </c>
      <c r="B1132" t="s">
        <v>15</v>
      </c>
      <c r="C1132" t="s">
        <v>31</v>
      </c>
      <c r="D1132" t="s">
        <v>17</v>
      </c>
      <c r="E1132" t="s">
        <v>18</v>
      </c>
      <c r="F1132" t="s">
        <v>19</v>
      </c>
      <c r="G1132" t="s">
        <v>20</v>
      </c>
      <c r="J1132" t="s">
        <v>17</v>
      </c>
      <c r="K1132" t="str">
        <f>"22080013"</f>
        <v>22080013</v>
      </c>
      <c r="L1132" t="str">
        <f>"22080013"</f>
        <v>22080013</v>
      </c>
      <c r="M1132" t="s">
        <v>84</v>
      </c>
      <c r="N1132" s="1">
        <v>43314.678472222222</v>
      </c>
      <c r="O1132" t="s">
        <v>19</v>
      </c>
    </row>
    <row r="1133" spans="1:15" x14ac:dyDescent="0.25">
      <c r="A1133" t="s">
        <v>999</v>
      </c>
      <c r="B1133" t="s">
        <v>15</v>
      </c>
      <c r="C1133" t="s">
        <v>31</v>
      </c>
      <c r="D1133" t="s">
        <v>17</v>
      </c>
      <c r="E1133" t="s">
        <v>18</v>
      </c>
      <c r="F1133" t="s">
        <v>19</v>
      </c>
      <c r="G1133" t="s">
        <v>20</v>
      </c>
      <c r="J1133" t="s">
        <v>17</v>
      </c>
      <c r="K1133" t="str">
        <f>"4040849556883"</f>
        <v>4040849556883</v>
      </c>
      <c r="L1133" t="str">
        <f>"29HP0AUX15"</f>
        <v>29HP0AUX15</v>
      </c>
      <c r="M1133" t="s">
        <v>21</v>
      </c>
      <c r="N1133" s="1">
        <v>43805.741666666669</v>
      </c>
      <c r="O1133" t="s">
        <v>19</v>
      </c>
    </row>
    <row r="1134" spans="1:15" x14ac:dyDescent="0.25">
      <c r="A1134" t="s">
        <v>1000</v>
      </c>
      <c r="B1134" t="s">
        <v>15</v>
      </c>
      <c r="C1134" t="s">
        <v>23</v>
      </c>
      <c r="D1134" t="s">
        <v>17</v>
      </c>
      <c r="E1134" t="s">
        <v>18</v>
      </c>
      <c r="F1134" t="s">
        <v>19</v>
      </c>
      <c r="G1134" t="s">
        <v>20</v>
      </c>
      <c r="J1134" t="s">
        <v>17</v>
      </c>
      <c r="K1134" t="str">
        <f>"10082052"</f>
        <v>10082052</v>
      </c>
      <c r="L1134" t="str">
        <f>"10082052"</f>
        <v>10082052</v>
      </c>
      <c r="M1134" t="s">
        <v>75</v>
      </c>
      <c r="N1134" s="1">
        <v>43084.697916666664</v>
      </c>
      <c r="O1134" t="s">
        <v>19</v>
      </c>
    </row>
    <row r="1135" spans="1:15" x14ac:dyDescent="0.25">
      <c r="A1135" t="s">
        <v>1001</v>
      </c>
      <c r="B1135" t="s">
        <v>15</v>
      </c>
      <c r="C1135" t="s">
        <v>23</v>
      </c>
      <c r="D1135" t="s">
        <v>17</v>
      </c>
      <c r="E1135" t="s">
        <v>18</v>
      </c>
      <c r="F1135" t="s">
        <v>19</v>
      </c>
      <c r="G1135" t="s">
        <v>20</v>
      </c>
      <c r="J1135" t="s">
        <v>17</v>
      </c>
      <c r="K1135" t="str">
        <f>"76081200"</f>
        <v>76081200</v>
      </c>
      <c r="L1135" t="str">
        <f>"76081200"</f>
        <v>76081200</v>
      </c>
      <c r="M1135" t="s">
        <v>75</v>
      </c>
      <c r="N1135" s="1">
        <v>42907.794444444444</v>
      </c>
      <c r="O1135" t="s">
        <v>19</v>
      </c>
    </row>
    <row r="1136" spans="1:15" x14ac:dyDescent="0.25">
      <c r="A1136" t="s">
        <v>1002</v>
      </c>
      <c r="B1136" t="s">
        <v>15</v>
      </c>
      <c r="C1136" t="s">
        <v>23</v>
      </c>
      <c r="D1136" t="s">
        <v>17</v>
      </c>
      <c r="E1136" t="s">
        <v>18</v>
      </c>
      <c r="F1136" t="s">
        <v>19</v>
      </c>
      <c r="G1136" t="s">
        <v>20</v>
      </c>
      <c r="J1136" t="s">
        <v>17</v>
      </c>
      <c r="K1136" t="str">
        <f>"303010207"</f>
        <v>303010207</v>
      </c>
      <c r="L1136" t="str">
        <f>"303010207"</f>
        <v>303010207</v>
      </c>
      <c r="M1136" t="s">
        <v>75</v>
      </c>
      <c r="N1136" s="1">
        <v>42872.849305555559</v>
      </c>
      <c r="O1136" t="s">
        <v>19</v>
      </c>
    </row>
    <row r="1137" spans="1:15" x14ac:dyDescent="0.25">
      <c r="A1137" t="s">
        <v>1003</v>
      </c>
      <c r="B1137" t="s">
        <v>15</v>
      </c>
      <c r="C1137" t="s">
        <v>31</v>
      </c>
      <c r="D1137" t="s">
        <v>17</v>
      </c>
      <c r="E1137" t="s">
        <v>18</v>
      </c>
      <c r="F1137" t="s">
        <v>19</v>
      </c>
      <c r="G1137" t="s">
        <v>20</v>
      </c>
      <c r="J1137" t="s">
        <v>17</v>
      </c>
      <c r="K1137" t="str">
        <f>"798302162082"</f>
        <v>798302162082</v>
      </c>
      <c r="L1137" t="str">
        <f>"92080530"</f>
        <v>92080530</v>
      </c>
      <c r="M1137" t="s">
        <v>21</v>
      </c>
      <c r="N1137" s="1">
        <v>42872.847222222219</v>
      </c>
      <c r="O1137" t="s">
        <v>19</v>
      </c>
    </row>
    <row r="1138" spans="1:15" x14ac:dyDescent="0.25">
      <c r="A1138" t="s">
        <v>1004</v>
      </c>
      <c r="B1138" t="s">
        <v>15</v>
      </c>
      <c r="C1138" t="s">
        <v>23</v>
      </c>
      <c r="D1138" t="s">
        <v>17</v>
      </c>
      <c r="E1138" t="s">
        <v>18</v>
      </c>
      <c r="F1138" t="s">
        <v>19</v>
      </c>
      <c r="G1138" t="s">
        <v>20</v>
      </c>
      <c r="J1138" t="s">
        <v>17</v>
      </c>
      <c r="K1138" t="str">
        <f>"76080000"</f>
        <v>76080000</v>
      </c>
      <c r="L1138" t="str">
        <f>"76080000"</f>
        <v>76080000</v>
      </c>
      <c r="M1138" t="s">
        <v>75</v>
      </c>
      <c r="N1138" s="1">
        <v>42872.847222222219</v>
      </c>
      <c r="O1138" t="s">
        <v>19</v>
      </c>
    </row>
    <row r="1139" spans="1:15" x14ac:dyDescent="0.25">
      <c r="A1139" t="s">
        <v>1005</v>
      </c>
      <c r="B1139" t="s">
        <v>15</v>
      </c>
      <c r="C1139" t="s">
        <v>31</v>
      </c>
      <c r="D1139" t="s">
        <v>17</v>
      </c>
      <c r="E1139" t="s">
        <v>18</v>
      </c>
      <c r="F1139" t="s">
        <v>19</v>
      </c>
      <c r="G1139" t="s">
        <v>20</v>
      </c>
      <c r="J1139" t="s">
        <v>17</v>
      </c>
      <c r="K1139" t="str">
        <f>"1100000341000"</f>
        <v>1100000341000</v>
      </c>
      <c r="L1139" t="str">
        <f>"92080352"</f>
        <v>92080352</v>
      </c>
      <c r="M1139" t="s">
        <v>21</v>
      </c>
      <c r="N1139" s="1">
        <v>43746.88958333333</v>
      </c>
      <c r="O1139" t="s">
        <v>19</v>
      </c>
    </row>
    <row r="1140" spans="1:15" x14ac:dyDescent="0.25">
      <c r="A1140" t="s">
        <v>1006</v>
      </c>
      <c r="B1140" t="s">
        <v>15</v>
      </c>
      <c r="C1140" t="s">
        <v>23</v>
      </c>
      <c r="D1140" t="s">
        <v>17</v>
      </c>
      <c r="E1140" t="s">
        <v>18</v>
      </c>
      <c r="F1140" t="s">
        <v>19</v>
      </c>
      <c r="G1140" t="s">
        <v>20</v>
      </c>
      <c r="J1140" t="s">
        <v>17</v>
      </c>
      <c r="K1140" t="str">
        <f>"7858816075513"</f>
        <v>7858816075513</v>
      </c>
      <c r="L1140" t="str">
        <f>"87087551"</f>
        <v>87087551</v>
      </c>
      <c r="M1140" t="s">
        <v>21</v>
      </c>
      <c r="N1140" s="1">
        <v>43446.874305555553</v>
      </c>
      <c r="O1140" t="s">
        <v>19</v>
      </c>
    </row>
    <row r="1141" spans="1:15" x14ac:dyDescent="0.25">
      <c r="A1141" t="s">
        <v>1007</v>
      </c>
      <c r="B1141" t="s">
        <v>15</v>
      </c>
      <c r="C1141" t="s">
        <v>23</v>
      </c>
      <c r="D1141" t="s">
        <v>17</v>
      </c>
      <c r="E1141" t="s">
        <v>18</v>
      </c>
      <c r="F1141" t="s">
        <v>19</v>
      </c>
      <c r="G1141" t="s">
        <v>20</v>
      </c>
      <c r="J1141" t="s">
        <v>17</v>
      </c>
      <c r="K1141" t="str">
        <f>"190198496263"</f>
        <v>190198496263</v>
      </c>
      <c r="L1141" t="str">
        <f>"34081703"</f>
        <v>34081703</v>
      </c>
      <c r="M1141" t="s">
        <v>21</v>
      </c>
      <c r="N1141" s="1">
        <v>43799.583333333336</v>
      </c>
      <c r="O1141" t="s">
        <v>19</v>
      </c>
    </row>
    <row r="1142" spans="1:15" x14ac:dyDescent="0.25">
      <c r="A1142" t="s">
        <v>1008</v>
      </c>
      <c r="B1142" t="s">
        <v>15</v>
      </c>
      <c r="C1142" t="s">
        <v>23</v>
      </c>
      <c r="D1142" t="s">
        <v>17</v>
      </c>
      <c r="E1142" t="s">
        <v>18</v>
      </c>
      <c r="F1142" t="s">
        <v>19</v>
      </c>
      <c r="G1142" t="s">
        <v>20</v>
      </c>
      <c r="J1142" t="s">
        <v>17</v>
      </c>
      <c r="K1142" t="str">
        <f>"76080720"</f>
        <v>76080720</v>
      </c>
      <c r="L1142" t="str">
        <f>"76080720"</f>
        <v>76080720</v>
      </c>
      <c r="M1142" t="s">
        <v>75</v>
      </c>
      <c r="N1142" s="1">
        <v>42872.847222222219</v>
      </c>
      <c r="O1142" t="s">
        <v>19</v>
      </c>
    </row>
    <row r="1143" spans="1:15" x14ac:dyDescent="0.25">
      <c r="A1143" t="s">
        <v>1009</v>
      </c>
      <c r="B1143" t="s">
        <v>15</v>
      </c>
      <c r="C1143" t="s">
        <v>23</v>
      </c>
      <c r="D1143" t="s">
        <v>17</v>
      </c>
      <c r="E1143" t="s">
        <v>18</v>
      </c>
      <c r="F1143" t="s">
        <v>19</v>
      </c>
      <c r="G1143" t="s">
        <v>20</v>
      </c>
      <c r="J1143" t="s">
        <v>17</v>
      </c>
      <c r="K1143" t="str">
        <f>"76087701"</f>
        <v>76087701</v>
      </c>
      <c r="L1143" t="str">
        <f>"76087701"</f>
        <v>76087701</v>
      </c>
      <c r="M1143" t="s">
        <v>75</v>
      </c>
      <c r="N1143" s="1">
        <v>42872.847222222219</v>
      </c>
      <c r="O1143" t="s">
        <v>19</v>
      </c>
    </row>
    <row r="1144" spans="1:15" x14ac:dyDescent="0.25">
      <c r="A1144" t="s">
        <v>1010</v>
      </c>
      <c r="B1144" t="s">
        <v>15</v>
      </c>
      <c r="C1144" t="s">
        <v>31</v>
      </c>
      <c r="D1144" t="s">
        <v>17</v>
      </c>
      <c r="E1144" t="s">
        <v>18</v>
      </c>
      <c r="F1144" t="s">
        <v>19</v>
      </c>
      <c r="G1144" t="s">
        <v>20</v>
      </c>
      <c r="J1144" t="s">
        <v>17</v>
      </c>
      <c r="K1144" t="str">
        <f>"10080375"</f>
        <v>10080375</v>
      </c>
      <c r="L1144" t="str">
        <f>"10080375"</f>
        <v>10080375</v>
      </c>
      <c r="M1144" t="s">
        <v>75</v>
      </c>
      <c r="N1144" s="1">
        <v>42908.666666666664</v>
      </c>
      <c r="O1144" t="s">
        <v>19</v>
      </c>
    </row>
    <row r="1145" spans="1:15" x14ac:dyDescent="0.25">
      <c r="A1145" t="s">
        <v>1011</v>
      </c>
      <c r="B1145" t="s">
        <v>15</v>
      </c>
      <c r="C1145" t="s">
        <v>31</v>
      </c>
      <c r="D1145" t="s">
        <v>17</v>
      </c>
      <c r="E1145" t="s">
        <v>18</v>
      </c>
      <c r="F1145" t="s">
        <v>19</v>
      </c>
      <c r="G1145" t="s">
        <v>20</v>
      </c>
      <c r="J1145" t="s">
        <v>17</v>
      </c>
      <c r="K1145" t="str">
        <f>"7858816000331"</f>
        <v>7858816000331</v>
      </c>
      <c r="L1145" t="str">
        <f>"87080033"</f>
        <v>87080033</v>
      </c>
      <c r="M1145" t="s">
        <v>84</v>
      </c>
      <c r="N1145" s="1">
        <v>43545.813194444447</v>
      </c>
      <c r="O1145" t="s">
        <v>19</v>
      </c>
    </row>
    <row r="1146" spans="1:15" x14ac:dyDescent="0.25">
      <c r="A1146" t="s">
        <v>1012</v>
      </c>
      <c r="B1146" t="s">
        <v>15</v>
      </c>
      <c r="C1146" t="s">
        <v>23</v>
      </c>
      <c r="D1146" t="s">
        <v>17</v>
      </c>
      <c r="E1146" t="s">
        <v>18</v>
      </c>
      <c r="F1146" t="s">
        <v>19</v>
      </c>
      <c r="G1146" t="s">
        <v>20</v>
      </c>
      <c r="J1146" t="s">
        <v>17</v>
      </c>
      <c r="K1146" t="str">
        <f>"34171401"</f>
        <v>34171401</v>
      </c>
      <c r="L1146" t="str">
        <f>"34171401"</f>
        <v>34171401</v>
      </c>
      <c r="M1146" t="s">
        <v>75</v>
      </c>
      <c r="N1146" s="1">
        <v>42872.839583333334</v>
      </c>
      <c r="O1146" t="s">
        <v>19</v>
      </c>
    </row>
    <row r="1147" spans="1:15" x14ac:dyDescent="0.25">
      <c r="A1147" t="s">
        <v>1013</v>
      </c>
      <c r="B1147" t="s">
        <v>15</v>
      </c>
      <c r="C1147" t="s">
        <v>23</v>
      </c>
      <c r="D1147" t="s">
        <v>17</v>
      </c>
      <c r="E1147" t="s">
        <v>18</v>
      </c>
      <c r="F1147" t="s">
        <v>19</v>
      </c>
      <c r="G1147" t="s">
        <v>20</v>
      </c>
      <c r="J1147" t="s">
        <v>17</v>
      </c>
      <c r="K1147" t="str">
        <f>"79170715"</f>
        <v>79170715</v>
      </c>
      <c r="L1147" t="str">
        <f>"79170715"</f>
        <v>79170715</v>
      </c>
      <c r="M1147" t="s">
        <v>75</v>
      </c>
      <c r="N1147" s="1">
        <v>42872.847222222219</v>
      </c>
      <c r="O1147" t="s">
        <v>19</v>
      </c>
    </row>
    <row r="1148" spans="1:15" x14ac:dyDescent="0.25">
      <c r="A1148" t="s">
        <v>1014</v>
      </c>
      <c r="B1148" t="s">
        <v>15</v>
      </c>
      <c r="C1148" t="s">
        <v>23</v>
      </c>
      <c r="D1148" t="s">
        <v>17</v>
      </c>
      <c r="E1148" t="s">
        <v>18</v>
      </c>
      <c r="F1148" t="s">
        <v>19</v>
      </c>
      <c r="G1148" t="s">
        <v>20</v>
      </c>
      <c r="J1148" t="s">
        <v>17</v>
      </c>
      <c r="K1148" t="str">
        <f>"341707134"</f>
        <v>341707134</v>
      </c>
      <c r="L1148" t="str">
        <f>"341707134"</f>
        <v>341707134</v>
      </c>
      <c r="M1148" t="s">
        <v>75</v>
      </c>
      <c r="N1148" s="1">
        <v>42872.849305555559</v>
      </c>
      <c r="O1148" t="s">
        <v>19</v>
      </c>
    </row>
    <row r="1149" spans="1:15" x14ac:dyDescent="0.25">
      <c r="A1149" t="s">
        <v>1015</v>
      </c>
      <c r="B1149" t="s">
        <v>15</v>
      </c>
      <c r="C1149" t="s">
        <v>23</v>
      </c>
      <c r="D1149" t="s">
        <v>17</v>
      </c>
      <c r="E1149" t="s">
        <v>18</v>
      </c>
      <c r="F1149" t="s">
        <v>19</v>
      </c>
      <c r="G1149" t="s">
        <v>20</v>
      </c>
      <c r="J1149" t="s">
        <v>17</v>
      </c>
      <c r="K1149" t="str">
        <f>"17170715"</f>
        <v>17170715</v>
      </c>
      <c r="L1149" t="str">
        <f>"17170715"</f>
        <v>17170715</v>
      </c>
      <c r="M1149" t="s">
        <v>75</v>
      </c>
      <c r="N1149" s="1">
        <v>42872.839583333334</v>
      </c>
      <c r="O1149" t="s">
        <v>19</v>
      </c>
    </row>
    <row r="1150" spans="1:15" x14ac:dyDescent="0.25">
      <c r="A1150" t="s">
        <v>1015</v>
      </c>
      <c r="B1150" t="s">
        <v>15</v>
      </c>
      <c r="C1150" t="s">
        <v>23</v>
      </c>
      <c r="D1150" t="s">
        <v>17</v>
      </c>
      <c r="E1150" t="s">
        <v>18</v>
      </c>
      <c r="F1150" t="s">
        <v>19</v>
      </c>
      <c r="G1150" t="s">
        <v>20</v>
      </c>
      <c r="J1150" t="s">
        <v>17</v>
      </c>
      <c r="K1150" t="str">
        <f>"34170700"</f>
        <v>34170700</v>
      </c>
      <c r="L1150" t="str">
        <f>"34170700"</f>
        <v>34170700</v>
      </c>
      <c r="M1150" t="s">
        <v>75</v>
      </c>
      <c r="N1150" s="1">
        <v>42872.839583333334</v>
      </c>
      <c r="O1150" t="s">
        <v>19</v>
      </c>
    </row>
    <row r="1151" spans="1:15" x14ac:dyDescent="0.25">
      <c r="A1151" t="s">
        <v>1016</v>
      </c>
      <c r="B1151" t="s">
        <v>15</v>
      </c>
      <c r="C1151" t="s">
        <v>23</v>
      </c>
      <c r="D1151" t="s">
        <v>17</v>
      </c>
      <c r="E1151" t="s">
        <v>18</v>
      </c>
      <c r="F1151" t="s">
        <v>19</v>
      </c>
      <c r="G1151" t="s">
        <v>20</v>
      </c>
      <c r="J1151" t="s">
        <v>17</v>
      </c>
      <c r="K1151" t="str">
        <f>"34170715"</f>
        <v>34170715</v>
      </c>
      <c r="L1151" t="str">
        <f>"34170715"</f>
        <v>34170715</v>
      </c>
      <c r="M1151" t="s">
        <v>75</v>
      </c>
      <c r="N1151" s="1">
        <v>42872.839583333334</v>
      </c>
      <c r="O1151" t="s">
        <v>19</v>
      </c>
    </row>
    <row r="1152" spans="1:15" x14ac:dyDescent="0.25">
      <c r="A1152" t="s">
        <v>1017</v>
      </c>
      <c r="B1152" t="s">
        <v>15</v>
      </c>
      <c r="C1152" t="s">
        <v>23</v>
      </c>
      <c r="D1152" t="s">
        <v>17</v>
      </c>
      <c r="E1152" t="s">
        <v>18</v>
      </c>
      <c r="F1152" t="s">
        <v>19</v>
      </c>
      <c r="G1152" t="s">
        <v>20</v>
      </c>
      <c r="J1152" t="s">
        <v>17</v>
      </c>
      <c r="K1152" t="str">
        <f>"41170715"</f>
        <v>41170715</v>
      </c>
      <c r="L1152" t="str">
        <f>"41170715"</f>
        <v>41170715</v>
      </c>
      <c r="M1152" t="s">
        <v>75</v>
      </c>
      <c r="N1152" s="1">
        <v>42872.839583333334</v>
      </c>
      <c r="O1152" t="s">
        <v>19</v>
      </c>
    </row>
    <row r="1153" spans="1:15" x14ac:dyDescent="0.25">
      <c r="A1153" t="s">
        <v>1018</v>
      </c>
      <c r="B1153" t="s">
        <v>15</v>
      </c>
      <c r="C1153" t="s">
        <v>23</v>
      </c>
      <c r="D1153" t="s">
        <v>17</v>
      </c>
      <c r="E1153" t="s">
        <v>18</v>
      </c>
      <c r="F1153" t="s">
        <v>19</v>
      </c>
      <c r="G1153" t="s">
        <v>20</v>
      </c>
      <c r="J1153" t="s">
        <v>17</v>
      </c>
      <c r="K1153" t="str">
        <f>"66170000"</f>
        <v>66170000</v>
      </c>
      <c r="L1153" t="str">
        <f>"66170000"</f>
        <v>66170000</v>
      </c>
      <c r="M1153" t="s">
        <v>75</v>
      </c>
      <c r="N1153" s="1">
        <v>42872.847222222219</v>
      </c>
      <c r="O1153" t="s">
        <v>19</v>
      </c>
    </row>
    <row r="1154" spans="1:15" x14ac:dyDescent="0.25">
      <c r="A1154" t="s">
        <v>1019</v>
      </c>
      <c r="B1154" t="s">
        <v>15</v>
      </c>
      <c r="C1154" t="s">
        <v>23</v>
      </c>
      <c r="D1154" t="s">
        <v>17</v>
      </c>
      <c r="E1154" t="s">
        <v>18</v>
      </c>
      <c r="F1154" t="s">
        <v>19</v>
      </c>
      <c r="G1154" t="s">
        <v>20</v>
      </c>
      <c r="J1154" t="s">
        <v>17</v>
      </c>
      <c r="K1154" t="str">
        <f>"6789012121210"</f>
        <v>6789012121210</v>
      </c>
      <c r="L1154" t="str">
        <f>"10107788"</f>
        <v>10107788</v>
      </c>
      <c r="M1154" t="s">
        <v>75</v>
      </c>
      <c r="N1154" s="1">
        <v>42872.839583333334</v>
      </c>
      <c r="O1154" t="s">
        <v>19</v>
      </c>
    </row>
    <row r="1155" spans="1:15" x14ac:dyDescent="0.25">
      <c r="A1155" t="s">
        <v>1020</v>
      </c>
      <c r="B1155" t="s">
        <v>15</v>
      </c>
      <c r="C1155" t="s">
        <v>23</v>
      </c>
      <c r="D1155" t="s">
        <v>17</v>
      </c>
      <c r="E1155" t="s">
        <v>18</v>
      </c>
      <c r="F1155" t="s">
        <v>19</v>
      </c>
      <c r="G1155" t="s">
        <v>20</v>
      </c>
      <c r="J1155" t="s">
        <v>17</v>
      </c>
      <c r="K1155" t="str">
        <f>"79171408"</f>
        <v>79171408</v>
      </c>
      <c r="L1155" t="str">
        <f>"79171408"</f>
        <v>79171408</v>
      </c>
      <c r="M1155" t="s">
        <v>75</v>
      </c>
      <c r="N1155" s="1">
        <v>42872.847222222219</v>
      </c>
      <c r="O1155" t="s">
        <v>19</v>
      </c>
    </row>
    <row r="1156" spans="1:15" x14ac:dyDescent="0.25">
      <c r="A1156" t="s">
        <v>1021</v>
      </c>
      <c r="B1156" t="s">
        <v>15</v>
      </c>
      <c r="C1156" t="s">
        <v>23</v>
      </c>
      <c r="D1156" t="s">
        <v>17</v>
      </c>
      <c r="E1156" t="s">
        <v>18</v>
      </c>
      <c r="F1156" t="s">
        <v>19</v>
      </c>
      <c r="G1156" t="s">
        <v>20</v>
      </c>
      <c r="J1156" t="s">
        <v>17</v>
      </c>
      <c r="K1156" t="str">
        <f>"51103936"</f>
        <v>51103936</v>
      </c>
      <c r="L1156" t="str">
        <f>"51103936"</f>
        <v>51103936</v>
      </c>
      <c r="M1156" t="s">
        <v>75</v>
      </c>
      <c r="N1156" s="1">
        <v>42872.839583333334</v>
      </c>
      <c r="O1156" t="s">
        <v>19</v>
      </c>
    </row>
    <row r="1157" spans="1:15" x14ac:dyDescent="0.25">
      <c r="A1157" t="s">
        <v>1022</v>
      </c>
      <c r="B1157" t="s">
        <v>15</v>
      </c>
      <c r="C1157" t="s">
        <v>23</v>
      </c>
      <c r="D1157" t="s">
        <v>17</v>
      </c>
      <c r="E1157" t="s">
        <v>18</v>
      </c>
      <c r="F1157" t="s">
        <v>19</v>
      </c>
      <c r="G1157" t="s">
        <v>20</v>
      </c>
      <c r="J1157" t="s">
        <v>17</v>
      </c>
      <c r="K1157" t="str">
        <f>"10170105"</f>
        <v>10170105</v>
      </c>
      <c r="L1157" t="str">
        <f>"10170105"</f>
        <v>10170105</v>
      </c>
      <c r="M1157" t="s">
        <v>75</v>
      </c>
      <c r="N1157" s="1">
        <v>42872.839583333334</v>
      </c>
      <c r="O1157" t="s">
        <v>19</v>
      </c>
    </row>
    <row r="1158" spans="1:15" x14ac:dyDescent="0.25">
      <c r="A1158" t="s">
        <v>1023</v>
      </c>
      <c r="B1158" t="s">
        <v>15</v>
      </c>
      <c r="C1158" t="s">
        <v>23</v>
      </c>
      <c r="D1158" t="s">
        <v>17</v>
      </c>
      <c r="E1158" t="s">
        <v>18</v>
      </c>
      <c r="F1158" t="s">
        <v>19</v>
      </c>
      <c r="G1158" t="s">
        <v>20</v>
      </c>
      <c r="J1158" t="s">
        <v>17</v>
      </c>
      <c r="K1158" t="str">
        <f>"51103935"</f>
        <v>51103935</v>
      </c>
      <c r="L1158" t="str">
        <f>"51103935"</f>
        <v>51103935</v>
      </c>
      <c r="M1158" t="s">
        <v>75</v>
      </c>
      <c r="N1158" s="1">
        <v>42872.839583333334</v>
      </c>
      <c r="O1158" t="s">
        <v>19</v>
      </c>
    </row>
    <row r="1159" spans="1:15" x14ac:dyDescent="0.25">
      <c r="A1159" t="s">
        <v>1024</v>
      </c>
      <c r="B1159" t="s">
        <v>15</v>
      </c>
      <c r="C1159" t="s">
        <v>31</v>
      </c>
      <c r="D1159" t="s">
        <v>17</v>
      </c>
      <c r="E1159" t="s">
        <v>18</v>
      </c>
      <c r="F1159" t="s">
        <v>19</v>
      </c>
      <c r="G1159" t="s">
        <v>20</v>
      </c>
      <c r="J1159" t="s">
        <v>17</v>
      </c>
      <c r="K1159" t="str">
        <f>"6686996002378"</f>
        <v>6686996002378</v>
      </c>
      <c r="L1159" t="str">
        <f>"40080011"</f>
        <v>40080011</v>
      </c>
      <c r="M1159" t="s">
        <v>21</v>
      </c>
      <c r="N1159" s="1">
        <v>42872.847222222219</v>
      </c>
      <c r="O1159" t="s">
        <v>19</v>
      </c>
    </row>
    <row r="1160" spans="1:15" x14ac:dyDescent="0.25">
      <c r="A1160" t="s">
        <v>1025</v>
      </c>
      <c r="B1160" t="s">
        <v>15</v>
      </c>
      <c r="C1160" t="s">
        <v>31</v>
      </c>
      <c r="D1160" t="s">
        <v>17</v>
      </c>
      <c r="E1160" t="s">
        <v>18</v>
      </c>
      <c r="F1160" t="s">
        <v>19</v>
      </c>
      <c r="G1160" t="s">
        <v>20</v>
      </c>
      <c r="J1160" t="s">
        <v>17</v>
      </c>
      <c r="K1160" t="str">
        <f>"6686996002354"</f>
        <v>6686996002354</v>
      </c>
      <c r="L1160" t="str">
        <f>"40080013"</f>
        <v>40080013</v>
      </c>
      <c r="M1160" t="s">
        <v>21</v>
      </c>
      <c r="N1160" s="1">
        <v>42923.678472222222</v>
      </c>
      <c r="O1160" t="s">
        <v>19</v>
      </c>
    </row>
    <row r="1161" spans="1:15" x14ac:dyDescent="0.25">
      <c r="A1161" t="s">
        <v>1026</v>
      </c>
      <c r="B1161" t="s">
        <v>15</v>
      </c>
      <c r="C1161" t="s">
        <v>31</v>
      </c>
      <c r="D1161" t="s">
        <v>17</v>
      </c>
      <c r="E1161" t="s">
        <v>18</v>
      </c>
      <c r="F1161" t="s">
        <v>19</v>
      </c>
      <c r="G1161" t="s">
        <v>20</v>
      </c>
      <c r="J1161" t="s">
        <v>17</v>
      </c>
      <c r="K1161" t="str">
        <f>"6686996002361"</f>
        <v>6686996002361</v>
      </c>
      <c r="L1161" t="str">
        <f>"40080012"</f>
        <v>40080012</v>
      </c>
      <c r="M1161" t="s">
        <v>21</v>
      </c>
      <c r="N1161" s="1">
        <v>42923.677777777775</v>
      </c>
      <c r="O1161" t="s">
        <v>19</v>
      </c>
    </row>
    <row r="1162" spans="1:15" x14ac:dyDescent="0.25">
      <c r="A1162" t="s">
        <v>1027</v>
      </c>
      <c r="B1162" t="s">
        <v>15</v>
      </c>
      <c r="C1162" t="s">
        <v>31</v>
      </c>
      <c r="D1162" t="s">
        <v>17</v>
      </c>
      <c r="E1162" t="s">
        <v>18</v>
      </c>
      <c r="F1162" t="s">
        <v>19</v>
      </c>
      <c r="G1162" t="s">
        <v>20</v>
      </c>
      <c r="J1162" t="s">
        <v>18</v>
      </c>
      <c r="K1162" t="str">
        <f>"10000132"</f>
        <v>10000132</v>
      </c>
      <c r="L1162" t="str">
        <f>"10000132"</f>
        <v>10000132</v>
      </c>
      <c r="M1162" t="s">
        <v>21</v>
      </c>
      <c r="N1162" s="1">
        <v>43610.943749999999</v>
      </c>
      <c r="O1162" t="s">
        <v>19</v>
      </c>
    </row>
    <row r="1163" spans="1:15" x14ac:dyDescent="0.25">
      <c r="A1163" t="s">
        <v>1028</v>
      </c>
      <c r="B1163" t="s">
        <v>15</v>
      </c>
      <c r="C1163" t="s">
        <v>31</v>
      </c>
      <c r="D1163" t="s">
        <v>17</v>
      </c>
      <c r="E1163" t="s">
        <v>18</v>
      </c>
      <c r="F1163" t="s">
        <v>19</v>
      </c>
      <c r="G1163" t="s">
        <v>20</v>
      </c>
      <c r="J1163" t="s">
        <v>17</v>
      </c>
      <c r="K1163" t="str">
        <f>"7858816060137"</f>
        <v>7858816060137</v>
      </c>
      <c r="L1163" t="str">
        <f>"87086013"</f>
        <v>87086013</v>
      </c>
      <c r="M1163" t="s">
        <v>21</v>
      </c>
      <c r="N1163" s="1">
        <v>44357.701388888891</v>
      </c>
      <c r="O1163" t="s">
        <v>19</v>
      </c>
    </row>
    <row r="1164" spans="1:15" x14ac:dyDescent="0.25">
      <c r="A1164" t="s">
        <v>1029</v>
      </c>
      <c r="B1164" t="s">
        <v>15</v>
      </c>
      <c r="C1164" t="s">
        <v>31</v>
      </c>
      <c r="D1164" t="s">
        <v>17</v>
      </c>
      <c r="E1164" t="s">
        <v>18</v>
      </c>
      <c r="F1164" t="s">
        <v>19</v>
      </c>
      <c r="G1164" t="s">
        <v>20</v>
      </c>
      <c r="J1164" t="s">
        <v>17</v>
      </c>
      <c r="K1164" t="str">
        <f>"280893013"</f>
        <v>280893013</v>
      </c>
      <c r="L1164" t="str">
        <f>"280893013"</f>
        <v>280893013</v>
      </c>
      <c r="M1164" t="s">
        <v>84</v>
      </c>
      <c r="N1164" s="1">
        <v>43335.852083333331</v>
      </c>
      <c r="O1164" t="s">
        <v>19</v>
      </c>
    </row>
    <row r="1165" spans="1:15" x14ac:dyDescent="0.25">
      <c r="A1165" t="s">
        <v>1030</v>
      </c>
      <c r="B1165" t="s">
        <v>15</v>
      </c>
      <c r="C1165" t="s">
        <v>31</v>
      </c>
      <c r="D1165" t="s">
        <v>17</v>
      </c>
      <c r="E1165" t="s">
        <v>18</v>
      </c>
      <c r="F1165" t="s">
        <v>19</v>
      </c>
      <c r="G1165" t="s">
        <v>20</v>
      </c>
      <c r="J1165" t="s">
        <v>17</v>
      </c>
      <c r="K1165" t="str">
        <f>"10000141"</f>
        <v>10000141</v>
      </c>
      <c r="L1165" t="str">
        <f>"10000141"</f>
        <v>10000141</v>
      </c>
      <c r="M1165" t="s">
        <v>21</v>
      </c>
      <c r="N1165" s="1">
        <v>43708.869444444441</v>
      </c>
      <c r="O1165" t="s">
        <v>19</v>
      </c>
    </row>
    <row r="1166" spans="1:15" x14ac:dyDescent="0.25">
      <c r="A1166" t="s">
        <v>1031</v>
      </c>
      <c r="B1166" t="s">
        <v>15</v>
      </c>
      <c r="C1166" t="s">
        <v>31</v>
      </c>
      <c r="D1166" t="s">
        <v>17</v>
      </c>
      <c r="E1166" t="s">
        <v>18</v>
      </c>
      <c r="F1166" t="s">
        <v>19</v>
      </c>
      <c r="G1166" t="s">
        <v>20</v>
      </c>
      <c r="J1166" t="s">
        <v>17</v>
      </c>
      <c r="K1166" t="str">
        <f>"280893083"</f>
        <v>280893083</v>
      </c>
      <c r="L1166" t="str">
        <f>"280893083"</f>
        <v>280893083</v>
      </c>
      <c r="M1166" t="s">
        <v>84</v>
      </c>
      <c r="N1166" s="1">
        <v>43335.874305555553</v>
      </c>
      <c r="O1166" t="s">
        <v>19</v>
      </c>
    </row>
    <row r="1167" spans="1:15" x14ac:dyDescent="0.25">
      <c r="A1167" t="s">
        <v>1032</v>
      </c>
      <c r="B1167" t="s">
        <v>15</v>
      </c>
      <c r="C1167" t="s">
        <v>31</v>
      </c>
      <c r="D1167" t="s">
        <v>17</v>
      </c>
      <c r="E1167" t="s">
        <v>18</v>
      </c>
      <c r="F1167" t="s">
        <v>19</v>
      </c>
      <c r="G1167" t="s">
        <v>20</v>
      </c>
      <c r="J1167" t="s">
        <v>17</v>
      </c>
      <c r="K1167" t="str">
        <f>"9284676725240"</f>
        <v>9284676725240</v>
      </c>
      <c r="L1167" t="str">
        <f>"32AC005206"</f>
        <v>32AC005206</v>
      </c>
      <c r="M1167" t="s">
        <v>21</v>
      </c>
      <c r="N1167" s="1">
        <v>43805.821527777778</v>
      </c>
      <c r="O1167" t="s">
        <v>19</v>
      </c>
    </row>
    <row r="1168" spans="1:15" x14ac:dyDescent="0.25">
      <c r="A1168" t="s">
        <v>1033</v>
      </c>
      <c r="B1168" t="s">
        <v>15</v>
      </c>
      <c r="C1168" t="s">
        <v>31</v>
      </c>
      <c r="D1168" t="s">
        <v>17</v>
      </c>
      <c r="E1168" t="s">
        <v>18</v>
      </c>
      <c r="F1168" t="s">
        <v>19</v>
      </c>
      <c r="G1168" t="s">
        <v>20</v>
      </c>
      <c r="J1168" t="s">
        <v>17</v>
      </c>
      <c r="K1168" t="str">
        <f>"8363454822454"</f>
        <v>8363454822454</v>
      </c>
      <c r="L1168" t="str">
        <f>"32CBLAC600"</f>
        <v>32CBLAC600</v>
      </c>
      <c r="M1168" t="s">
        <v>21</v>
      </c>
      <c r="N1168" s="1">
        <v>43805.821527777778</v>
      </c>
      <c r="O1168" t="s">
        <v>19</v>
      </c>
    </row>
    <row r="1169" spans="1:15" x14ac:dyDescent="0.25">
      <c r="A1169" t="s">
        <v>1034</v>
      </c>
      <c r="B1169" t="s">
        <v>15</v>
      </c>
      <c r="C1169" t="s">
        <v>31</v>
      </c>
      <c r="D1169" t="s">
        <v>17</v>
      </c>
      <c r="E1169" t="s">
        <v>18</v>
      </c>
      <c r="F1169" t="s">
        <v>19</v>
      </c>
      <c r="G1169" t="s">
        <v>20</v>
      </c>
      <c r="J1169" t="s">
        <v>17</v>
      </c>
      <c r="K1169" t="str">
        <f>"10003852"</f>
        <v>10003852</v>
      </c>
      <c r="L1169" t="str">
        <f>"10003852"</f>
        <v>10003852</v>
      </c>
      <c r="M1169" t="s">
        <v>84</v>
      </c>
      <c r="N1169" s="1">
        <v>43546.64166666667</v>
      </c>
      <c r="O1169" t="s">
        <v>19</v>
      </c>
    </row>
    <row r="1170" spans="1:15" x14ac:dyDescent="0.25">
      <c r="A1170" t="s">
        <v>1035</v>
      </c>
      <c r="B1170" t="s">
        <v>15</v>
      </c>
      <c r="C1170" t="s">
        <v>31</v>
      </c>
      <c r="D1170" t="s">
        <v>17</v>
      </c>
      <c r="E1170" t="s">
        <v>18</v>
      </c>
      <c r="F1170" t="s">
        <v>19</v>
      </c>
      <c r="G1170" t="s">
        <v>20</v>
      </c>
      <c r="J1170" t="s">
        <v>17</v>
      </c>
      <c r="K1170" t="str">
        <f>"7858816060120"</f>
        <v>7858816060120</v>
      </c>
      <c r="L1170" t="str">
        <f>"87086012"</f>
        <v>87086012</v>
      </c>
      <c r="M1170" t="s">
        <v>21</v>
      </c>
      <c r="N1170" s="1">
        <v>44357.70208333333</v>
      </c>
      <c r="O1170" t="s">
        <v>19</v>
      </c>
    </row>
    <row r="1171" spans="1:15" x14ac:dyDescent="0.25">
      <c r="A1171" t="s">
        <v>1036</v>
      </c>
      <c r="B1171" t="s">
        <v>15</v>
      </c>
      <c r="C1171" t="s">
        <v>31</v>
      </c>
      <c r="D1171" t="s">
        <v>17</v>
      </c>
      <c r="E1171" t="s">
        <v>18</v>
      </c>
      <c r="F1171" t="s">
        <v>19</v>
      </c>
      <c r="G1171" t="s">
        <v>20</v>
      </c>
      <c r="J1171" t="s">
        <v>17</v>
      </c>
      <c r="K1171" t="str">
        <f>"766623318921"</f>
        <v>766623318921</v>
      </c>
      <c r="L1171" t="str">
        <f>"56088921"</f>
        <v>56088921</v>
      </c>
      <c r="M1171" t="s">
        <v>21</v>
      </c>
      <c r="N1171" s="1">
        <v>43985.845833333333</v>
      </c>
      <c r="O1171" t="s">
        <v>19</v>
      </c>
    </row>
    <row r="1172" spans="1:15" x14ac:dyDescent="0.25">
      <c r="A1172" t="s">
        <v>1037</v>
      </c>
      <c r="B1172" t="s">
        <v>15</v>
      </c>
      <c r="C1172" t="s">
        <v>31</v>
      </c>
      <c r="D1172" t="s">
        <v>17</v>
      </c>
      <c r="E1172" t="s">
        <v>18</v>
      </c>
      <c r="F1172" t="s">
        <v>19</v>
      </c>
      <c r="G1172" t="s">
        <v>20</v>
      </c>
      <c r="J1172" t="s">
        <v>17</v>
      </c>
      <c r="K1172" t="str">
        <f>"6686996002569"</f>
        <v>6686996002569</v>
      </c>
      <c r="L1172" t="str">
        <f>"400809202"</f>
        <v>400809202</v>
      </c>
      <c r="M1172" t="s">
        <v>21</v>
      </c>
      <c r="N1172" s="1">
        <v>44306.848611111112</v>
      </c>
      <c r="O1172" t="s">
        <v>19</v>
      </c>
    </row>
    <row r="1173" spans="1:15" x14ac:dyDescent="0.25">
      <c r="A1173" t="s">
        <v>1038</v>
      </c>
      <c r="B1173" t="s">
        <v>15</v>
      </c>
      <c r="C1173" t="s">
        <v>31</v>
      </c>
      <c r="D1173" t="s">
        <v>17</v>
      </c>
      <c r="E1173" t="s">
        <v>18</v>
      </c>
      <c r="F1173" t="s">
        <v>19</v>
      </c>
      <c r="G1173" t="s">
        <v>20</v>
      </c>
      <c r="J1173" t="s">
        <v>17</v>
      </c>
      <c r="K1173" t="str">
        <f>"10004243"</f>
        <v>10004243</v>
      </c>
      <c r="L1173" t="str">
        <f>"10004243"</f>
        <v>10004243</v>
      </c>
      <c r="M1173" t="s">
        <v>84</v>
      </c>
      <c r="N1173" s="1">
        <v>43495.915277777778</v>
      </c>
      <c r="O1173" t="s">
        <v>19</v>
      </c>
    </row>
    <row r="1174" spans="1:15" x14ac:dyDescent="0.25">
      <c r="A1174" t="s">
        <v>1039</v>
      </c>
      <c r="B1174" t="s">
        <v>15</v>
      </c>
      <c r="C1174" t="s">
        <v>31</v>
      </c>
      <c r="D1174" t="s">
        <v>17</v>
      </c>
      <c r="E1174" t="s">
        <v>18</v>
      </c>
      <c r="F1174" t="s">
        <v>19</v>
      </c>
      <c r="G1174" t="s">
        <v>20</v>
      </c>
      <c r="J1174" t="s">
        <v>17</v>
      </c>
      <c r="K1174" t="str">
        <f>"6686993187467"</f>
        <v>6686993187467</v>
      </c>
      <c r="L1174" t="str">
        <f>"40080610"</f>
        <v>40080610</v>
      </c>
      <c r="M1174" t="s">
        <v>21</v>
      </c>
      <c r="N1174" s="1">
        <v>44435.627083333333</v>
      </c>
      <c r="O1174" t="s">
        <v>19</v>
      </c>
    </row>
    <row r="1175" spans="1:15" x14ac:dyDescent="0.25">
      <c r="A1175" t="s">
        <v>1040</v>
      </c>
      <c r="B1175" t="s">
        <v>15</v>
      </c>
      <c r="C1175" t="s">
        <v>31</v>
      </c>
      <c r="D1175" t="s">
        <v>17</v>
      </c>
      <c r="E1175" t="s">
        <v>18</v>
      </c>
      <c r="F1175" t="s">
        <v>19</v>
      </c>
      <c r="G1175" t="s">
        <v>20</v>
      </c>
      <c r="J1175" t="s">
        <v>17</v>
      </c>
      <c r="K1175" t="str">
        <f>"766623740074"</f>
        <v>766623740074</v>
      </c>
      <c r="L1175" t="str">
        <f>"56080074"</f>
        <v>56080074</v>
      </c>
      <c r="M1175" t="s">
        <v>21</v>
      </c>
      <c r="N1175" s="1">
        <v>44037.636111111111</v>
      </c>
      <c r="O1175" t="s">
        <v>19</v>
      </c>
    </row>
    <row r="1176" spans="1:15" x14ac:dyDescent="0.25">
      <c r="A1176" t="s">
        <v>1041</v>
      </c>
      <c r="B1176" t="s">
        <v>15</v>
      </c>
      <c r="C1176" t="s">
        <v>31</v>
      </c>
      <c r="D1176" t="s">
        <v>17</v>
      </c>
      <c r="E1176" t="s">
        <v>18</v>
      </c>
      <c r="F1176" t="s">
        <v>19</v>
      </c>
      <c r="G1176" t="s">
        <v>20</v>
      </c>
      <c r="J1176" t="s">
        <v>17</v>
      </c>
      <c r="K1176" t="str">
        <f>"6905631119029"</f>
        <v>6905631119029</v>
      </c>
      <c r="L1176" t="str">
        <f>"400812213"</f>
        <v>400812213</v>
      </c>
      <c r="M1176" t="s">
        <v>21</v>
      </c>
      <c r="N1176" s="1">
        <v>44306.850694444445</v>
      </c>
      <c r="O1176" t="s">
        <v>19</v>
      </c>
    </row>
    <row r="1177" spans="1:15" x14ac:dyDescent="0.25">
      <c r="A1177" t="s">
        <v>1042</v>
      </c>
      <c r="B1177" t="s">
        <v>15</v>
      </c>
      <c r="C1177" t="s">
        <v>31</v>
      </c>
      <c r="D1177" t="s">
        <v>17</v>
      </c>
      <c r="E1177" t="s">
        <v>18</v>
      </c>
      <c r="F1177" t="s">
        <v>19</v>
      </c>
      <c r="G1177" t="s">
        <v>20</v>
      </c>
      <c r="J1177" t="s">
        <v>17</v>
      </c>
      <c r="K1177" t="str">
        <f>"10004244"</f>
        <v>10004244</v>
      </c>
      <c r="L1177" t="str">
        <f>"10004244"</f>
        <v>10004244</v>
      </c>
      <c r="M1177" t="s">
        <v>21</v>
      </c>
      <c r="N1177" s="1">
        <v>43446.762499999997</v>
      </c>
      <c r="O1177" t="s">
        <v>19</v>
      </c>
    </row>
    <row r="1178" spans="1:15" x14ac:dyDescent="0.25">
      <c r="A1178" t="s">
        <v>1043</v>
      </c>
      <c r="B1178" t="s">
        <v>15</v>
      </c>
      <c r="C1178" t="s">
        <v>31</v>
      </c>
      <c r="D1178" t="s">
        <v>17</v>
      </c>
      <c r="E1178" t="s">
        <v>18</v>
      </c>
      <c r="F1178" t="s">
        <v>19</v>
      </c>
      <c r="G1178" t="s">
        <v>20</v>
      </c>
      <c r="J1178" t="s">
        <v>17</v>
      </c>
      <c r="K1178" t="str">
        <f>"6686993187474"</f>
        <v>6686993187474</v>
      </c>
      <c r="L1178" t="str">
        <f>"40080615"</f>
        <v>40080615</v>
      </c>
      <c r="M1178" t="s">
        <v>21</v>
      </c>
      <c r="N1178" s="1">
        <v>44225.817361111112</v>
      </c>
      <c r="O1178" t="s">
        <v>19</v>
      </c>
    </row>
    <row r="1179" spans="1:15" x14ac:dyDescent="0.25">
      <c r="A1179" t="s">
        <v>1044</v>
      </c>
      <c r="B1179" t="s">
        <v>15</v>
      </c>
      <c r="C1179" t="s">
        <v>31</v>
      </c>
      <c r="D1179" t="s">
        <v>17</v>
      </c>
      <c r="E1179" t="s">
        <v>18</v>
      </c>
      <c r="F1179" t="s">
        <v>19</v>
      </c>
      <c r="G1179" t="s">
        <v>20</v>
      </c>
      <c r="J1179" t="s">
        <v>17</v>
      </c>
      <c r="K1179" t="str">
        <f>"766623318976"</f>
        <v>766623318976</v>
      </c>
      <c r="L1179" t="str">
        <f>"56088976"</f>
        <v>56088976</v>
      </c>
      <c r="M1179" t="s">
        <v>21</v>
      </c>
      <c r="N1179" s="1">
        <v>43985.84652777778</v>
      </c>
      <c r="O1179" t="s">
        <v>19</v>
      </c>
    </row>
    <row r="1180" spans="1:15" x14ac:dyDescent="0.25">
      <c r="A1180" t="s">
        <v>1045</v>
      </c>
      <c r="B1180" t="s">
        <v>15</v>
      </c>
      <c r="C1180" t="s">
        <v>31</v>
      </c>
      <c r="D1180" t="s">
        <v>17</v>
      </c>
      <c r="E1180" t="s">
        <v>18</v>
      </c>
      <c r="F1180" t="s">
        <v>19</v>
      </c>
      <c r="G1180" t="s">
        <v>20</v>
      </c>
      <c r="J1180" t="s">
        <v>17</v>
      </c>
      <c r="K1180" t="str">
        <f>"766623334129"</f>
        <v>766623334129</v>
      </c>
      <c r="L1180" t="str">
        <f>"56084129"</f>
        <v>56084129</v>
      </c>
      <c r="M1180" t="s">
        <v>21</v>
      </c>
      <c r="N1180" s="1">
        <v>44037.634027777778</v>
      </c>
      <c r="O1180" t="s">
        <v>19</v>
      </c>
    </row>
    <row r="1181" spans="1:15" x14ac:dyDescent="0.25">
      <c r="A1181" t="s">
        <v>1046</v>
      </c>
      <c r="B1181" t="s">
        <v>15</v>
      </c>
      <c r="C1181" t="s">
        <v>31</v>
      </c>
      <c r="D1181" t="s">
        <v>17</v>
      </c>
      <c r="E1181" t="s">
        <v>18</v>
      </c>
      <c r="F1181" t="s">
        <v>19</v>
      </c>
      <c r="G1181" t="s">
        <v>20</v>
      </c>
      <c r="J1181" t="s">
        <v>17</v>
      </c>
      <c r="K1181" t="str">
        <f>"6905631119036"</f>
        <v>6905631119036</v>
      </c>
      <c r="L1181" t="str">
        <f>"400812214"</f>
        <v>400812214</v>
      </c>
      <c r="M1181" t="s">
        <v>21</v>
      </c>
      <c r="N1181" s="1">
        <v>44306.851388888892</v>
      </c>
      <c r="O1181" t="s">
        <v>19</v>
      </c>
    </row>
    <row r="1182" spans="1:15" x14ac:dyDescent="0.25">
      <c r="A1182" t="s">
        <v>1047</v>
      </c>
      <c r="B1182" t="s">
        <v>15</v>
      </c>
      <c r="C1182" t="s">
        <v>31</v>
      </c>
      <c r="D1182" t="s">
        <v>17</v>
      </c>
      <c r="E1182" t="s">
        <v>18</v>
      </c>
      <c r="F1182" t="s">
        <v>19</v>
      </c>
      <c r="G1182" t="s">
        <v>20</v>
      </c>
      <c r="J1182" t="s">
        <v>17</v>
      </c>
      <c r="K1182" t="str">
        <f>"10004245"</f>
        <v>10004245</v>
      </c>
      <c r="L1182" t="str">
        <f>"10004245"</f>
        <v>10004245</v>
      </c>
      <c r="M1182" t="s">
        <v>21</v>
      </c>
      <c r="N1182" s="1">
        <v>43708.870138888888</v>
      </c>
      <c r="O1182" t="s">
        <v>19</v>
      </c>
    </row>
    <row r="1183" spans="1:15" x14ac:dyDescent="0.25">
      <c r="A1183" t="s">
        <v>1048</v>
      </c>
      <c r="B1183" t="s">
        <v>15</v>
      </c>
      <c r="C1183" t="s">
        <v>31</v>
      </c>
      <c r="D1183" t="s">
        <v>17</v>
      </c>
      <c r="E1183" t="s">
        <v>18</v>
      </c>
      <c r="F1183" t="s">
        <v>19</v>
      </c>
      <c r="G1183" t="s">
        <v>20</v>
      </c>
      <c r="J1183" t="s">
        <v>17</v>
      </c>
      <c r="K1183" t="str">
        <f>"6686993187481"</f>
        <v>6686993187481</v>
      </c>
      <c r="L1183" t="str">
        <f>"40080620"</f>
        <v>40080620</v>
      </c>
      <c r="M1183" t="s">
        <v>21</v>
      </c>
      <c r="N1183" s="1">
        <v>44225.818055555559</v>
      </c>
      <c r="O1183" t="s">
        <v>19</v>
      </c>
    </row>
    <row r="1184" spans="1:15" x14ac:dyDescent="0.25">
      <c r="A1184" t="s">
        <v>1049</v>
      </c>
      <c r="B1184" t="s">
        <v>15</v>
      </c>
      <c r="C1184" t="s">
        <v>31</v>
      </c>
      <c r="D1184" t="s">
        <v>17</v>
      </c>
      <c r="E1184" t="s">
        <v>18</v>
      </c>
      <c r="F1184" t="s">
        <v>19</v>
      </c>
      <c r="G1184" t="s">
        <v>20</v>
      </c>
      <c r="J1184" t="s">
        <v>17</v>
      </c>
      <c r="K1184" t="str">
        <f>"766623319768"</f>
        <v>766623319768</v>
      </c>
      <c r="L1184" t="str">
        <f>"56089768"</f>
        <v>56089768</v>
      </c>
      <c r="M1184" t="s">
        <v>21</v>
      </c>
      <c r="N1184" s="1">
        <v>43985.847222222219</v>
      </c>
      <c r="O1184" t="s">
        <v>19</v>
      </c>
    </row>
    <row r="1185" spans="1:15" x14ac:dyDescent="0.25">
      <c r="A1185" t="s">
        <v>1050</v>
      </c>
      <c r="B1185" t="s">
        <v>15</v>
      </c>
      <c r="C1185" t="s">
        <v>31</v>
      </c>
      <c r="D1185" t="s">
        <v>17</v>
      </c>
      <c r="E1185" t="s">
        <v>18</v>
      </c>
      <c r="F1185" t="s">
        <v>19</v>
      </c>
      <c r="G1185" t="s">
        <v>20</v>
      </c>
      <c r="J1185" t="s">
        <v>17</v>
      </c>
      <c r="K1185" t="str">
        <f>"6686996002545"</f>
        <v>6686996002545</v>
      </c>
      <c r="L1185" t="str">
        <f>"4008176605"</f>
        <v>4008176605</v>
      </c>
      <c r="M1185" t="s">
        <v>21</v>
      </c>
      <c r="N1185" s="1">
        <v>44306.847222222219</v>
      </c>
      <c r="O1185" t="s">
        <v>19</v>
      </c>
    </row>
    <row r="1186" spans="1:15" x14ac:dyDescent="0.25">
      <c r="A1186" t="s">
        <v>1051</v>
      </c>
      <c r="B1186" t="s">
        <v>15</v>
      </c>
      <c r="C1186" t="s">
        <v>31</v>
      </c>
      <c r="D1186" t="s">
        <v>17</v>
      </c>
      <c r="E1186" t="s">
        <v>18</v>
      </c>
      <c r="F1186" t="s">
        <v>19</v>
      </c>
      <c r="G1186" t="s">
        <v>20</v>
      </c>
      <c r="J1186" t="s">
        <v>17</v>
      </c>
      <c r="K1186" t="str">
        <f>"10003704"</f>
        <v>10003704</v>
      </c>
      <c r="L1186" t="str">
        <f>"10003704"</f>
        <v>10003704</v>
      </c>
      <c r="M1186" t="s">
        <v>21</v>
      </c>
      <c r="N1186" s="1">
        <v>43893.668055555558</v>
      </c>
      <c r="O1186" t="s">
        <v>19</v>
      </c>
    </row>
    <row r="1187" spans="1:15" x14ac:dyDescent="0.25">
      <c r="A1187" t="s">
        <v>1052</v>
      </c>
      <c r="B1187" t="s">
        <v>15</v>
      </c>
      <c r="C1187" t="s">
        <v>31</v>
      </c>
      <c r="D1187" t="s">
        <v>17</v>
      </c>
      <c r="E1187" t="s">
        <v>18</v>
      </c>
      <c r="F1187" t="s">
        <v>19</v>
      </c>
      <c r="G1187" t="s">
        <v>20</v>
      </c>
      <c r="J1187" t="s">
        <v>17</v>
      </c>
      <c r="K1187" t="str">
        <f>"6686996002552"</f>
        <v>6686996002552</v>
      </c>
      <c r="L1187" t="str">
        <f>"400812211"</f>
        <v>400812211</v>
      </c>
      <c r="M1187" t="s">
        <v>21</v>
      </c>
      <c r="N1187" s="1">
        <v>42872.839583333334</v>
      </c>
      <c r="O1187" t="s">
        <v>19</v>
      </c>
    </row>
    <row r="1188" spans="1:15" x14ac:dyDescent="0.25">
      <c r="A1188" t="s">
        <v>1053</v>
      </c>
      <c r="B1188" t="s">
        <v>15</v>
      </c>
      <c r="C1188" t="s">
        <v>31</v>
      </c>
      <c r="D1188" t="s">
        <v>17</v>
      </c>
      <c r="E1188" t="s">
        <v>18</v>
      </c>
      <c r="F1188" t="s">
        <v>19</v>
      </c>
      <c r="G1188" t="s">
        <v>20</v>
      </c>
      <c r="J1188" t="s">
        <v>17</v>
      </c>
      <c r="K1188" t="str">
        <f>"10003703"</f>
        <v>10003703</v>
      </c>
      <c r="L1188" t="str">
        <f>"10003703"</f>
        <v>10003703</v>
      </c>
      <c r="M1188" t="s">
        <v>84</v>
      </c>
      <c r="N1188" s="1">
        <v>43419.693055555559</v>
      </c>
      <c r="O1188" t="s">
        <v>19</v>
      </c>
    </row>
    <row r="1189" spans="1:15" x14ac:dyDescent="0.25">
      <c r="A1189" t="s">
        <v>1054</v>
      </c>
      <c r="B1189" t="s">
        <v>15</v>
      </c>
      <c r="C1189" t="s">
        <v>31</v>
      </c>
      <c r="D1189" t="s">
        <v>17</v>
      </c>
      <c r="E1189" t="s">
        <v>18</v>
      </c>
      <c r="F1189" t="s">
        <v>19</v>
      </c>
      <c r="G1189" t="s">
        <v>20</v>
      </c>
      <c r="J1189" t="s">
        <v>17</v>
      </c>
      <c r="K1189" t="str">
        <f>"6686996662558"</f>
        <v>6686996662558</v>
      </c>
      <c r="L1189" t="str">
        <f>"40080605"</f>
        <v>40080605</v>
      </c>
      <c r="M1189" t="s">
        <v>21</v>
      </c>
      <c r="N1189" s="1">
        <v>44435.625694444447</v>
      </c>
      <c r="O1189" t="s">
        <v>19</v>
      </c>
    </row>
    <row r="1190" spans="1:15" x14ac:dyDescent="0.25">
      <c r="A1190" t="s">
        <v>1055</v>
      </c>
      <c r="B1190" t="s">
        <v>15</v>
      </c>
      <c r="C1190" t="s">
        <v>31</v>
      </c>
      <c r="D1190" t="s">
        <v>17</v>
      </c>
      <c r="E1190" t="s">
        <v>18</v>
      </c>
      <c r="F1190" t="s">
        <v>19</v>
      </c>
      <c r="G1190" t="s">
        <v>20</v>
      </c>
      <c r="J1190" t="s">
        <v>17</v>
      </c>
      <c r="K1190" t="str">
        <f>"766623319867"</f>
        <v>766623319867</v>
      </c>
      <c r="L1190" t="str">
        <f>"56089867"</f>
        <v>56089867</v>
      </c>
      <c r="M1190" t="s">
        <v>21</v>
      </c>
      <c r="N1190" s="1">
        <v>44037.635416666664</v>
      </c>
      <c r="O1190" t="s">
        <v>19</v>
      </c>
    </row>
    <row r="1191" spans="1:15" x14ac:dyDescent="0.25">
      <c r="A1191" t="s">
        <v>1056</v>
      </c>
      <c r="B1191" t="s">
        <v>15</v>
      </c>
      <c r="C1191" t="s">
        <v>37</v>
      </c>
      <c r="D1191" t="s">
        <v>17</v>
      </c>
      <c r="E1191" t="s">
        <v>18</v>
      </c>
      <c r="F1191" t="s">
        <v>19</v>
      </c>
      <c r="G1191" t="s">
        <v>20</v>
      </c>
      <c r="J1191" t="s">
        <v>17</v>
      </c>
      <c r="K1191" t="str">
        <f>"10000053"</f>
        <v>10000053</v>
      </c>
      <c r="L1191" t="str">
        <f>"10000053"</f>
        <v>10000053</v>
      </c>
      <c r="M1191" t="s">
        <v>21</v>
      </c>
      <c r="N1191" s="1">
        <v>43647.907638888886</v>
      </c>
      <c r="O1191" t="s">
        <v>19</v>
      </c>
    </row>
    <row r="1192" spans="1:15" x14ac:dyDescent="0.25">
      <c r="A1192" t="s">
        <v>1057</v>
      </c>
      <c r="B1192" t="s">
        <v>15</v>
      </c>
      <c r="C1192" t="s">
        <v>31</v>
      </c>
      <c r="D1192" t="s">
        <v>17</v>
      </c>
      <c r="E1192" t="s">
        <v>18</v>
      </c>
      <c r="F1192" t="s">
        <v>19</v>
      </c>
      <c r="G1192" t="s">
        <v>20</v>
      </c>
      <c r="J1192" t="s">
        <v>17</v>
      </c>
      <c r="K1192" t="str">
        <f>"766623307116"</f>
        <v>766623307116</v>
      </c>
      <c r="L1192" t="str">
        <f>"56087116"</f>
        <v>56087116</v>
      </c>
      <c r="M1192" t="s">
        <v>21</v>
      </c>
      <c r="N1192" s="1">
        <v>43985.861111111109</v>
      </c>
      <c r="O1192" t="s">
        <v>19</v>
      </c>
    </row>
    <row r="1193" spans="1:15" x14ac:dyDescent="0.25">
      <c r="A1193" t="s">
        <v>1058</v>
      </c>
      <c r="B1193" t="s">
        <v>15</v>
      </c>
      <c r="C1193" t="s">
        <v>31</v>
      </c>
      <c r="D1193" t="s">
        <v>17</v>
      </c>
      <c r="E1193" t="s">
        <v>18</v>
      </c>
      <c r="F1193" t="s">
        <v>19</v>
      </c>
      <c r="G1193" t="s">
        <v>20</v>
      </c>
      <c r="J1193" t="s">
        <v>17</v>
      </c>
      <c r="K1193" t="str">
        <f>"9254"</f>
        <v>9254</v>
      </c>
      <c r="L1193" t="str">
        <f>"98089254"</f>
        <v>98089254</v>
      </c>
      <c r="M1193" t="s">
        <v>21</v>
      </c>
      <c r="N1193" s="1">
        <v>43853.916666666664</v>
      </c>
      <c r="O1193" t="s">
        <v>19</v>
      </c>
    </row>
    <row r="1194" spans="1:15" x14ac:dyDescent="0.25">
      <c r="A1194" t="s">
        <v>1059</v>
      </c>
      <c r="B1194" t="s">
        <v>15</v>
      </c>
      <c r="C1194" t="s">
        <v>31</v>
      </c>
      <c r="D1194" t="s">
        <v>17</v>
      </c>
      <c r="E1194" t="s">
        <v>18</v>
      </c>
      <c r="F1194" t="s">
        <v>19</v>
      </c>
      <c r="G1194" t="s">
        <v>20</v>
      </c>
      <c r="J1194" t="s">
        <v>17</v>
      </c>
      <c r="K1194" t="str">
        <f>"9255"</f>
        <v>9255</v>
      </c>
      <c r="L1194" t="str">
        <f>"98089255"</f>
        <v>98089255</v>
      </c>
      <c r="M1194" t="s">
        <v>21</v>
      </c>
      <c r="N1194" s="1">
        <v>44455.866666666669</v>
      </c>
      <c r="O1194" t="s">
        <v>19</v>
      </c>
    </row>
    <row r="1195" spans="1:15" x14ac:dyDescent="0.25">
      <c r="A1195" t="s">
        <v>1060</v>
      </c>
      <c r="B1195" t="s">
        <v>15</v>
      </c>
      <c r="C1195" t="s">
        <v>23</v>
      </c>
      <c r="D1195" t="s">
        <v>17</v>
      </c>
      <c r="E1195" t="s">
        <v>18</v>
      </c>
      <c r="F1195" t="s">
        <v>19</v>
      </c>
      <c r="G1195" t="s">
        <v>20</v>
      </c>
      <c r="J1195" t="s">
        <v>17</v>
      </c>
      <c r="K1195" t="str">
        <f>"3137112858858"</f>
        <v>3137112858858</v>
      </c>
      <c r="L1195" t="str">
        <f>"10003171"</f>
        <v>10003171</v>
      </c>
      <c r="M1195" t="s">
        <v>75</v>
      </c>
      <c r="N1195" s="1">
        <v>42872.839583333334</v>
      </c>
      <c r="O1195" t="s">
        <v>19</v>
      </c>
    </row>
    <row r="1196" spans="1:15" x14ac:dyDescent="0.25">
      <c r="A1196" t="s">
        <v>1061</v>
      </c>
      <c r="B1196" t="s">
        <v>15</v>
      </c>
      <c r="C1196" t="s">
        <v>31</v>
      </c>
      <c r="D1196" t="s">
        <v>17</v>
      </c>
      <c r="E1196" t="s">
        <v>18</v>
      </c>
      <c r="F1196" t="s">
        <v>19</v>
      </c>
      <c r="G1196" t="s">
        <v>20</v>
      </c>
      <c r="J1196" t="s">
        <v>17</v>
      </c>
      <c r="K1196" t="str">
        <f>"6686996002422"</f>
        <v>6686996002422</v>
      </c>
      <c r="L1196" t="str">
        <f>"40081212"</f>
        <v>40081212</v>
      </c>
      <c r="M1196" t="s">
        <v>21</v>
      </c>
      <c r="N1196" s="1">
        <v>44349.629166666666</v>
      </c>
      <c r="O1196" t="s">
        <v>19</v>
      </c>
    </row>
    <row r="1197" spans="1:15" x14ac:dyDescent="0.25">
      <c r="A1197" t="s">
        <v>1062</v>
      </c>
      <c r="B1197" t="s">
        <v>15</v>
      </c>
      <c r="C1197" t="s">
        <v>31</v>
      </c>
      <c r="D1197" t="s">
        <v>17</v>
      </c>
      <c r="E1197" t="s">
        <v>18</v>
      </c>
      <c r="F1197" t="s">
        <v>19</v>
      </c>
      <c r="G1197" t="s">
        <v>20</v>
      </c>
      <c r="J1197" t="s">
        <v>17</v>
      </c>
      <c r="K1197" t="str">
        <f>"28084795"</f>
        <v>28084795</v>
      </c>
      <c r="L1197" t="str">
        <f>"28084795"</f>
        <v>28084795</v>
      </c>
      <c r="M1197" t="s">
        <v>21</v>
      </c>
      <c r="N1197" s="1">
        <v>43649.677777777775</v>
      </c>
      <c r="O1197" t="s">
        <v>19</v>
      </c>
    </row>
    <row r="1198" spans="1:15" x14ac:dyDescent="0.25">
      <c r="A1198" t="s">
        <v>1063</v>
      </c>
      <c r="B1198" t="s">
        <v>15</v>
      </c>
      <c r="C1198" t="s">
        <v>31</v>
      </c>
      <c r="D1198" t="s">
        <v>17</v>
      </c>
      <c r="E1198" t="s">
        <v>18</v>
      </c>
      <c r="F1198" t="s">
        <v>19</v>
      </c>
      <c r="G1198" t="s">
        <v>20</v>
      </c>
      <c r="J1198" t="s">
        <v>17</v>
      </c>
      <c r="K1198" t="str">
        <f>"6924494001340"</f>
        <v>6924494001340</v>
      </c>
      <c r="L1198" t="str">
        <f>"98081000"</f>
        <v>98081000</v>
      </c>
      <c r="M1198" t="s">
        <v>21</v>
      </c>
      <c r="N1198" s="1">
        <v>43706.661805555559</v>
      </c>
      <c r="O1198" t="s">
        <v>19</v>
      </c>
    </row>
    <row r="1199" spans="1:15" x14ac:dyDescent="0.25">
      <c r="A1199" t="s">
        <v>1064</v>
      </c>
      <c r="B1199" t="s">
        <v>15</v>
      </c>
      <c r="C1199" t="s">
        <v>31</v>
      </c>
      <c r="D1199" t="s">
        <v>17</v>
      </c>
      <c r="E1199" t="s">
        <v>18</v>
      </c>
      <c r="F1199" t="s">
        <v>19</v>
      </c>
      <c r="G1199" t="s">
        <v>20</v>
      </c>
      <c r="J1199" t="s">
        <v>17</v>
      </c>
      <c r="K1199" t="str">
        <f>"10003250"</f>
        <v>10003250</v>
      </c>
      <c r="L1199" t="str">
        <f>"10003250"</f>
        <v>10003250</v>
      </c>
      <c r="M1199" t="s">
        <v>84</v>
      </c>
      <c r="N1199" s="1">
        <v>43313.702777777777</v>
      </c>
      <c r="O1199" t="s">
        <v>19</v>
      </c>
    </row>
    <row r="1200" spans="1:15" x14ac:dyDescent="0.25">
      <c r="A1200" t="s">
        <v>1065</v>
      </c>
      <c r="B1200" t="s">
        <v>15</v>
      </c>
      <c r="C1200" t="s">
        <v>31</v>
      </c>
      <c r="D1200" t="s">
        <v>17</v>
      </c>
      <c r="E1200" t="s">
        <v>18</v>
      </c>
      <c r="F1200" t="s">
        <v>19</v>
      </c>
      <c r="G1200" t="s">
        <v>20</v>
      </c>
      <c r="J1200" t="s">
        <v>17</v>
      </c>
      <c r="K1200" t="str">
        <f>"10007500"</f>
        <v>10007500</v>
      </c>
      <c r="L1200" t="str">
        <f>"10007500"</f>
        <v>10007500</v>
      </c>
      <c r="M1200" t="s">
        <v>21</v>
      </c>
      <c r="N1200" s="1">
        <v>43279.697916666664</v>
      </c>
      <c r="O1200" t="s">
        <v>19</v>
      </c>
    </row>
    <row r="1201" spans="1:15" x14ac:dyDescent="0.25">
      <c r="A1201" t="s">
        <v>1066</v>
      </c>
      <c r="B1201" t="s">
        <v>15</v>
      </c>
      <c r="C1201" t="s">
        <v>31</v>
      </c>
      <c r="D1201" t="s">
        <v>17</v>
      </c>
      <c r="E1201" t="s">
        <v>18</v>
      </c>
      <c r="F1201" t="s">
        <v>19</v>
      </c>
      <c r="G1201" t="s">
        <v>20</v>
      </c>
      <c r="J1201" t="s">
        <v>17</v>
      </c>
      <c r="K1201" t="str">
        <f>"766623336314"</f>
        <v>766623336314</v>
      </c>
      <c r="L1201" t="str">
        <f>"56086314"</f>
        <v>56086314</v>
      </c>
      <c r="M1201" t="s">
        <v>21</v>
      </c>
      <c r="N1201" s="1">
        <v>43985.808333333334</v>
      </c>
      <c r="O1201" t="s">
        <v>19</v>
      </c>
    </row>
    <row r="1202" spans="1:15" x14ac:dyDescent="0.25">
      <c r="A1202" t="s">
        <v>1067</v>
      </c>
      <c r="B1202" t="s">
        <v>15</v>
      </c>
      <c r="C1202" t="s">
        <v>23</v>
      </c>
      <c r="D1202" t="s">
        <v>17</v>
      </c>
      <c r="E1202" t="s">
        <v>18</v>
      </c>
      <c r="F1202" t="s">
        <v>19</v>
      </c>
      <c r="G1202" t="s">
        <v>20</v>
      </c>
      <c r="J1202" t="s">
        <v>17</v>
      </c>
      <c r="K1202" t="str">
        <f>"10108855"</f>
        <v>10108855</v>
      </c>
      <c r="L1202" t="str">
        <f>"10108855"</f>
        <v>10108855</v>
      </c>
      <c r="M1202" t="s">
        <v>75</v>
      </c>
      <c r="N1202" s="1">
        <v>42963.938888888886</v>
      </c>
      <c r="O1202" t="s">
        <v>19</v>
      </c>
    </row>
    <row r="1203" spans="1:15" x14ac:dyDescent="0.25">
      <c r="A1203" t="s">
        <v>1068</v>
      </c>
      <c r="B1203" t="s">
        <v>15</v>
      </c>
      <c r="C1203" t="s">
        <v>31</v>
      </c>
      <c r="D1203" t="s">
        <v>17</v>
      </c>
      <c r="E1203" t="s">
        <v>18</v>
      </c>
      <c r="F1203" t="s">
        <v>19</v>
      </c>
      <c r="G1203" t="s">
        <v>20</v>
      </c>
      <c r="J1203" t="s">
        <v>17</v>
      </c>
      <c r="K1203" t="str">
        <f>"7858816084812"</f>
        <v>7858816084812</v>
      </c>
      <c r="L1203" t="str">
        <f>"87088481"</f>
        <v>87088481</v>
      </c>
      <c r="M1203" t="s">
        <v>21</v>
      </c>
      <c r="N1203" s="1">
        <v>44404.689583333333</v>
      </c>
      <c r="O1203" t="s">
        <v>19</v>
      </c>
    </row>
    <row r="1204" spans="1:15" x14ac:dyDescent="0.25">
      <c r="A1204" t="s">
        <v>1069</v>
      </c>
      <c r="B1204" t="s">
        <v>15</v>
      </c>
      <c r="C1204" t="s">
        <v>31</v>
      </c>
      <c r="D1204" t="s">
        <v>17</v>
      </c>
      <c r="E1204" t="s">
        <v>18</v>
      </c>
      <c r="F1204" t="s">
        <v>19</v>
      </c>
      <c r="G1204" t="s">
        <v>20</v>
      </c>
      <c r="J1204" t="s">
        <v>17</v>
      </c>
      <c r="K1204" t="str">
        <f>"7858816084829"</f>
        <v>7858816084829</v>
      </c>
      <c r="L1204" t="str">
        <f>"87088482"</f>
        <v>87088482</v>
      </c>
      <c r="M1204" t="s">
        <v>21</v>
      </c>
      <c r="N1204" s="1">
        <v>44404.706944444442</v>
      </c>
      <c r="O1204" t="s">
        <v>19</v>
      </c>
    </row>
    <row r="1205" spans="1:15" x14ac:dyDescent="0.25">
      <c r="A1205" t="s">
        <v>1070</v>
      </c>
      <c r="B1205" t="s">
        <v>15</v>
      </c>
      <c r="C1205" t="s">
        <v>23</v>
      </c>
      <c r="D1205" t="s">
        <v>17</v>
      </c>
      <c r="E1205" t="s">
        <v>18</v>
      </c>
      <c r="F1205" t="s">
        <v>19</v>
      </c>
      <c r="G1205" t="s">
        <v>20</v>
      </c>
      <c r="J1205" t="s">
        <v>17</v>
      </c>
      <c r="K1205" t="str">
        <f>"766623340496"</f>
        <v>766623340496</v>
      </c>
      <c r="L1205" t="str">
        <f>"56080496"</f>
        <v>56080496</v>
      </c>
      <c r="M1205" t="s">
        <v>21</v>
      </c>
      <c r="N1205" s="1">
        <v>43985.809027777781</v>
      </c>
      <c r="O1205" t="s">
        <v>19</v>
      </c>
    </row>
    <row r="1206" spans="1:15" x14ac:dyDescent="0.25">
      <c r="A1206" t="s">
        <v>1071</v>
      </c>
      <c r="B1206" t="s">
        <v>15</v>
      </c>
      <c r="C1206" t="s">
        <v>31</v>
      </c>
      <c r="D1206" t="s">
        <v>17</v>
      </c>
      <c r="E1206" t="s">
        <v>18</v>
      </c>
      <c r="F1206" t="s">
        <v>19</v>
      </c>
      <c r="G1206" t="s">
        <v>20</v>
      </c>
      <c r="J1206" t="s">
        <v>17</v>
      </c>
      <c r="K1206" t="str">
        <f>"766623340502"</f>
        <v>766623340502</v>
      </c>
      <c r="L1206" t="str">
        <f>"56080502"</f>
        <v>56080502</v>
      </c>
      <c r="M1206" t="s">
        <v>21</v>
      </c>
      <c r="N1206" s="1">
        <v>43985.80972222222</v>
      </c>
      <c r="O1206" t="s">
        <v>19</v>
      </c>
    </row>
    <row r="1207" spans="1:15" x14ac:dyDescent="0.25">
      <c r="A1207" t="s">
        <v>1072</v>
      </c>
      <c r="B1207" t="s">
        <v>15</v>
      </c>
      <c r="C1207" t="s">
        <v>31</v>
      </c>
      <c r="D1207" t="s">
        <v>17</v>
      </c>
      <c r="E1207" t="s">
        <v>18</v>
      </c>
      <c r="F1207" t="s">
        <v>19</v>
      </c>
      <c r="G1207" t="s">
        <v>20</v>
      </c>
      <c r="J1207" t="s">
        <v>17</v>
      </c>
      <c r="K1207" t="str">
        <f>"10000706"</f>
        <v>10000706</v>
      </c>
      <c r="L1207" t="str">
        <f>"10000706"</f>
        <v>10000706</v>
      </c>
      <c r="M1207" t="s">
        <v>75</v>
      </c>
      <c r="N1207" s="1">
        <v>42872.839583333334</v>
      </c>
      <c r="O1207" t="s">
        <v>19</v>
      </c>
    </row>
    <row r="1208" spans="1:15" x14ac:dyDescent="0.25">
      <c r="A1208" t="s">
        <v>1073</v>
      </c>
      <c r="B1208" t="s">
        <v>15</v>
      </c>
      <c r="C1208" t="s">
        <v>31</v>
      </c>
      <c r="D1208" t="s">
        <v>17</v>
      </c>
      <c r="E1208" t="s">
        <v>18</v>
      </c>
      <c r="F1208" t="s">
        <v>19</v>
      </c>
      <c r="G1208" t="s">
        <v>20</v>
      </c>
      <c r="J1208" t="s">
        <v>17</v>
      </c>
      <c r="K1208" t="str">
        <f>"10082860"</f>
        <v>10082860</v>
      </c>
      <c r="L1208" t="str">
        <f>"10082860"</f>
        <v>10082860</v>
      </c>
      <c r="M1208" t="s">
        <v>75</v>
      </c>
      <c r="N1208" s="1">
        <v>43110.946527777778</v>
      </c>
      <c r="O1208" t="s">
        <v>19</v>
      </c>
    </row>
    <row r="1209" spans="1:15" x14ac:dyDescent="0.25">
      <c r="A1209" t="s">
        <v>1074</v>
      </c>
      <c r="B1209" t="s">
        <v>15</v>
      </c>
      <c r="C1209" t="s">
        <v>23</v>
      </c>
      <c r="D1209" t="s">
        <v>17</v>
      </c>
      <c r="E1209" t="s">
        <v>18</v>
      </c>
      <c r="F1209" t="s">
        <v>19</v>
      </c>
      <c r="G1209" t="s">
        <v>20</v>
      </c>
      <c r="J1209" t="s">
        <v>17</v>
      </c>
      <c r="K1209" t="str">
        <f>"303010743"</f>
        <v>303010743</v>
      </c>
      <c r="L1209" t="str">
        <f>"303010743"</f>
        <v>303010743</v>
      </c>
      <c r="M1209" t="s">
        <v>75</v>
      </c>
      <c r="N1209" s="1">
        <v>42872.849305555559</v>
      </c>
      <c r="O1209" t="s">
        <v>19</v>
      </c>
    </row>
    <row r="1210" spans="1:15" x14ac:dyDescent="0.25">
      <c r="A1210" t="s">
        <v>1075</v>
      </c>
      <c r="B1210" t="s">
        <v>15</v>
      </c>
      <c r="C1210" t="s">
        <v>23</v>
      </c>
      <c r="D1210" t="s">
        <v>17</v>
      </c>
      <c r="E1210" t="s">
        <v>18</v>
      </c>
      <c r="F1210" t="s">
        <v>19</v>
      </c>
      <c r="G1210" t="s">
        <v>20</v>
      </c>
      <c r="J1210" t="s">
        <v>17</v>
      </c>
      <c r="K1210" t="str">
        <f>"3325201509006"</f>
        <v>3325201509006</v>
      </c>
      <c r="L1210" t="str">
        <f>"41080008"</f>
        <v>41080008</v>
      </c>
      <c r="M1210" t="s">
        <v>75</v>
      </c>
      <c r="N1210" s="1">
        <v>42895.727777777778</v>
      </c>
      <c r="O1210" t="s">
        <v>19</v>
      </c>
    </row>
    <row r="1211" spans="1:15" x14ac:dyDescent="0.25">
      <c r="A1211" t="s">
        <v>1076</v>
      </c>
      <c r="B1211" t="s">
        <v>15</v>
      </c>
      <c r="C1211" t="s">
        <v>31</v>
      </c>
      <c r="D1211" t="s">
        <v>17</v>
      </c>
      <c r="E1211" t="s">
        <v>18</v>
      </c>
      <c r="F1211" t="s">
        <v>19</v>
      </c>
      <c r="G1211" t="s">
        <v>20</v>
      </c>
      <c r="J1211" t="s">
        <v>17</v>
      </c>
      <c r="K1211" t="str">
        <f>"2565895132666"</f>
        <v>2565895132666</v>
      </c>
      <c r="L1211" t="str">
        <f>"10001014"</f>
        <v>10001014</v>
      </c>
      <c r="M1211" t="s">
        <v>75</v>
      </c>
      <c r="N1211" s="1">
        <v>42872.839583333334</v>
      </c>
      <c r="O1211" t="s">
        <v>19</v>
      </c>
    </row>
    <row r="1212" spans="1:15" x14ac:dyDescent="0.25">
      <c r="A1212" t="s">
        <v>1077</v>
      </c>
      <c r="B1212" t="s">
        <v>15</v>
      </c>
      <c r="C1212" t="s">
        <v>23</v>
      </c>
      <c r="D1212" t="s">
        <v>17</v>
      </c>
      <c r="E1212" t="s">
        <v>18</v>
      </c>
      <c r="F1212" t="s">
        <v>19</v>
      </c>
      <c r="G1212" t="s">
        <v>20</v>
      </c>
      <c r="J1212" t="s">
        <v>17</v>
      </c>
      <c r="K1212" t="str">
        <f>"6789012340307"</f>
        <v>6789012340307</v>
      </c>
      <c r="L1212" t="str">
        <f>"66000815"</f>
        <v>66000815</v>
      </c>
      <c r="M1212" t="s">
        <v>75</v>
      </c>
      <c r="N1212" s="1">
        <v>42872.839583333334</v>
      </c>
      <c r="O1212" t="s">
        <v>19</v>
      </c>
    </row>
    <row r="1213" spans="1:15" x14ac:dyDescent="0.25">
      <c r="A1213" t="s">
        <v>1078</v>
      </c>
      <c r="B1213" t="s">
        <v>15</v>
      </c>
      <c r="C1213" t="s">
        <v>31</v>
      </c>
      <c r="D1213" t="s">
        <v>17</v>
      </c>
      <c r="E1213" t="s">
        <v>18</v>
      </c>
      <c r="F1213" t="s">
        <v>19</v>
      </c>
      <c r="G1213" t="s">
        <v>20</v>
      </c>
      <c r="J1213" t="s">
        <v>17</v>
      </c>
      <c r="K1213" t="str">
        <f>"10003354"</f>
        <v>10003354</v>
      </c>
      <c r="L1213" t="str">
        <f>"10003354"</f>
        <v>10003354</v>
      </c>
      <c r="M1213" t="s">
        <v>84</v>
      </c>
      <c r="N1213" s="1">
        <v>43307.935416666667</v>
      </c>
      <c r="O1213" t="s">
        <v>19</v>
      </c>
    </row>
    <row r="1214" spans="1:15" x14ac:dyDescent="0.25">
      <c r="A1214" t="s">
        <v>1079</v>
      </c>
      <c r="B1214" t="s">
        <v>15</v>
      </c>
      <c r="C1214" t="s">
        <v>31</v>
      </c>
      <c r="D1214" t="s">
        <v>17</v>
      </c>
      <c r="E1214" t="s">
        <v>18</v>
      </c>
      <c r="F1214" t="s">
        <v>19</v>
      </c>
      <c r="G1214" t="s">
        <v>20</v>
      </c>
      <c r="J1214" t="s">
        <v>17</v>
      </c>
      <c r="K1214" t="str">
        <f>"22081010"</f>
        <v>22081010</v>
      </c>
      <c r="L1214" t="str">
        <f>"22081010"</f>
        <v>22081010</v>
      </c>
      <c r="M1214" t="s">
        <v>75</v>
      </c>
      <c r="N1214" s="1">
        <v>43125.820138888892</v>
      </c>
      <c r="O1214" t="s">
        <v>19</v>
      </c>
    </row>
    <row r="1215" spans="1:15" x14ac:dyDescent="0.25">
      <c r="A1215" t="s">
        <v>1080</v>
      </c>
      <c r="B1215" t="s">
        <v>15</v>
      </c>
      <c r="C1215" t="s">
        <v>31</v>
      </c>
      <c r="D1215" t="s">
        <v>17</v>
      </c>
      <c r="E1215" t="s">
        <v>18</v>
      </c>
      <c r="F1215" t="s">
        <v>19</v>
      </c>
      <c r="G1215" t="s">
        <v>20</v>
      </c>
      <c r="J1215" t="s">
        <v>17</v>
      </c>
      <c r="K1215" t="str">
        <f>"22081005"</f>
        <v>22081005</v>
      </c>
      <c r="L1215" t="str">
        <f>"22081005"</f>
        <v>22081005</v>
      </c>
      <c r="M1215" t="s">
        <v>75</v>
      </c>
      <c r="N1215" s="1">
        <v>43125.820833333331</v>
      </c>
      <c r="O1215" t="s">
        <v>19</v>
      </c>
    </row>
    <row r="1216" spans="1:15" x14ac:dyDescent="0.25">
      <c r="A1216" t="s">
        <v>1081</v>
      </c>
      <c r="B1216" t="s">
        <v>15</v>
      </c>
      <c r="C1216" t="s">
        <v>31</v>
      </c>
      <c r="D1216" t="s">
        <v>17</v>
      </c>
      <c r="E1216" t="s">
        <v>18</v>
      </c>
      <c r="F1216" t="s">
        <v>19</v>
      </c>
      <c r="G1216" t="s">
        <v>20</v>
      </c>
      <c r="J1216" t="s">
        <v>17</v>
      </c>
      <c r="K1216" t="str">
        <f>"766623372503"</f>
        <v>766623372503</v>
      </c>
      <c r="L1216" t="str">
        <f>"56082503"</f>
        <v>56082503</v>
      </c>
      <c r="M1216" t="s">
        <v>21</v>
      </c>
      <c r="N1216" s="1">
        <v>43985.859722222223</v>
      </c>
      <c r="O1216" t="s">
        <v>19</v>
      </c>
    </row>
    <row r="1217" spans="1:15" x14ac:dyDescent="0.25">
      <c r="A1217" t="s">
        <v>1082</v>
      </c>
      <c r="B1217" t="s">
        <v>15</v>
      </c>
      <c r="C1217" t="s">
        <v>23</v>
      </c>
      <c r="D1217" t="s">
        <v>17</v>
      </c>
      <c r="E1217" t="s">
        <v>18</v>
      </c>
      <c r="F1217" t="s">
        <v>19</v>
      </c>
      <c r="G1217" t="s">
        <v>20</v>
      </c>
      <c r="J1217" t="s">
        <v>17</v>
      </c>
      <c r="K1217" t="str">
        <f>"10100458"</f>
        <v>10100458</v>
      </c>
      <c r="L1217" t="str">
        <f>"10100458"</f>
        <v>10100458</v>
      </c>
      <c r="M1217" t="s">
        <v>75</v>
      </c>
      <c r="N1217" s="1">
        <v>42958.73333333333</v>
      </c>
      <c r="O1217" t="s">
        <v>19</v>
      </c>
    </row>
    <row r="1218" spans="1:15" x14ac:dyDescent="0.25">
      <c r="A1218" t="s">
        <v>1083</v>
      </c>
      <c r="B1218" t="s">
        <v>15</v>
      </c>
      <c r="C1218" t="s">
        <v>31</v>
      </c>
      <c r="D1218" t="s">
        <v>17</v>
      </c>
      <c r="E1218" t="s">
        <v>18</v>
      </c>
      <c r="F1218" t="s">
        <v>19</v>
      </c>
      <c r="G1218" t="s">
        <v>20</v>
      </c>
      <c r="J1218" t="s">
        <v>17</v>
      </c>
      <c r="K1218" t="str">
        <f>"10009348"</f>
        <v>10009348</v>
      </c>
      <c r="L1218" t="str">
        <f>"10009348"</f>
        <v>10009348</v>
      </c>
      <c r="M1218" t="s">
        <v>75</v>
      </c>
      <c r="N1218" s="1">
        <v>42872.839583333334</v>
      </c>
      <c r="O1218" t="s">
        <v>19</v>
      </c>
    </row>
    <row r="1219" spans="1:15" x14ac:dyDescent="0.25">
      <c r="A1219" t="s">
        <v>1084</v>
      </c>
      <c r="B1219" t="s">
        <v>15</v>
      </c>
      <c r="C1219" t="s">
        <v>23</v>
      </c>
      <c r="D1219" t="s">
        <v>17</v>
      </c>
      <c r="E1219" t="s">
        <v>18</v>
      </c>
      <c r="F1219" t="s">
        <v>19</v>
      </c>
      <c r="G1219" t="s">
        <v>20</v>
      </c>
      <c r="J1219" t="s">
        <v>17</v>
      </c>
      <c r="K1219" t="str">
        <f>"110100261"</f>
        <v>110100261</v>
      </c>
      <c r="L1219" t="str">
        <f>"110100261"</f>
        <v>110100261</v>
      </c>
      <c r="M1219" t="s">
        <v>75</v>
      </c>
      <c r="N1219" s="1">
        <v>42872.847222222219</v>
      </c>
      <c r="O1219" t="s">
        <v>19</v>
      </c>
    </row>
    <row r="1220" spans="1:15" x14ac:dyDescent="0.25">
      <c r="A1220" t="s">
        <v>1085</v>
      </c>
      <c r="B1220" t="s">
        <v>15</v>
      </c>
      <c r="C1220" t="s">
        <v>23</v>
      </c>
      <c r="D1220" t="s">
        <v>17</v>
      </c>
      <c r="E1220" t="s">
        <v>18</v>
      </c>
      <c r="F1220" t="s">
        <v>19</v>
      </c>
      <c r="G1220" t="s">
        <v>20</v>
      </c>
      <c r="J1220" t="s">
        <v>17</v>
      </c>
      <c r="K1220" t="str">
        <f>"10100638"</f>
        <v>10100638</v>
      </c>
      <c r="L1220" t="str">
        <f>"10100638"</f>
        <v>10100638</v>
      </c>
      <c r="M1220" t="s">
        <v>75</v>
      </c>
      <c r="N1220" s="1">
        <v>42872.847222222219</v>
      </c>
      <c r="O1220" t="s">
        <v>19</v>
      </c>
    </row>
    <row r="1221" spans="1:15" x14ac:dyDescent="0.25">
      <c r="A1221" t="s">
        <v>1086</v>
      </c>
      <c r="B1221" t="s">
        <v>15</v>
      </c>
      <c r="C1221" t="s">
        <v>23</v>
      </c>
      <c r="D1221" t="s">
        <v>17</v>
      </c>
      <c r="E1221" t="s">
        <v>18</v>
      </c>
      <c r="F1221" t="s">
        <v>19</v>
      </c>
      <c r="G1221" t="s">
        <v>20</v>
      </c>
      <c r="J1221" t="s">
        <v>17</v>
      </c>
      <c r="K1221" t="str">
        <f>"10101111"</f>
        <v>10101111</v>
      </c>
      <c r="L1221" t="str">
        <f>"10101111"</f>
        <v>10101111</v>
      </c>
      <c r="M1221" t="s">
        <v>75</v>
      </c>
      <c r="N1221" s="1">
        <v>42872.839583333334</v>
      </c>
      <c r="O1221" t="s">
        <v>19</v>
      </c>
    </row>
    <row r="1222" spans="1:15" x14ac:dyDescent="0.25">
      <c r="A1222" t="s">
        <v>1087</v>
      </c>
      <c r="B1222" t="s">
        <v>15</v>
      </c>
      <c r="C1222" t="s">
        <v>31</v>
      </c>
      <c r="D1222" t="s">
        <v>17</v>
      </c>
      <c r="E1222" t="s">
        <v>18</v>
      </c>
      <c r="F1222" t="s">
        <v>19</v>
      </c>
      <c r="G1222" t="s">
        <v>20</v>
      </c>
      <c r="J1222" t="s">
        <v>17</v>
      </c>
      <c r="K1222" t="str">
        <f>"31HDMEV281"</f>
        <v>31HDMEV281</v>
      </c>
      <c r="L1222" t="str">
        <f>"31HDMEV281"</f>
        <v>31HDMEV281</v>
      </c>
      <c r="M1222" t="s">
        <v>21</v>
      </c>
      <c r="N1222" s="1">
        <v>43994.828472222223</v>
      </c>
      <c r="O1222" t="s">
        <v>19</v>
      </c>
    </row>
    <row r="1223" spans="1:15" x14ac:dyDescent="0.25">
      <c r="A1223" t="s">
        <v>1088</v>
      </c>
      <c r="B1223" t="s">
        <v>15</v>
      </c>
      <c r="C1223" t="s">
        <v>31</v>
      </c>
      <c r="D1223" t="s">
        <v>17</v>
      </c>
      <c r="E1223" t="s">
        <v>18</v>
      </c>
      <c r="F1223" t="s">
        <v>19</v>
      </c>
      <c r="G1223" t="s">
        <v>20</v>
      </c>
      <c r="J1223" t="s">
        <v>17</v>
      </c>
      <c r="K1223" t="str">
        <f>"87080010"</f>
        <v>87080010</v>
      </c>
      <c r="L1223" t="str">
        <f>"10011526"</f>
        <v>10011526</v>
      </c>
      <c r="M1223" t="s">
        <v>21</v>
      </c>
      <c r="N1223" s="1">
        <v>43252.734027777777</v>
      </c>
      <c r="O1223" t="s">
        <v>19</v>
      </c>
    </row>
    <row r="1224" spans="1:15" x14ac:dyDescent="0.25">
      <c r="A1224" t="s">
        <v>1089</v>
      </c>
      <c r="B1224" t="s">
        <v>15</v>
      </c>
      <c r="C1224" t="s">
        <v>31</v>
      </c>
      <c r="D1224" t="s">
        <v>17</v>
      </c>
      <c r="E1224" t="s">
        <v>18</v>
      </c>
      <c r="F1224" t="s">
        <v>19</v>
      </c>
      <c r="G1224" t="s">
        <v>20</v>
      </c>
      <c r="J1224" t="s">
        <v>17</v>
      </c>
      <c r="K1224" t="str">
        <f>"10001722"</f>
        <v>10001722</v>
      </c>
      <c r="L1224" t="str">
        <f>"10001722"</f>
        <v>10001722</v>
      </c>
      <c r="M1224" t="s">
        <v>84</v>
      </c>
      <c r="N1224" s="1">
        <v>43546.597222222219</v>
      </c>
      <c r="O1224" t="s">
        <v>19</v>
      </c>
    </row>
    <row r="1225" spans="1:15" x14ac:dyDescent="0.25">
      <c r="A1225" t="s">
        <v>1090</v>
      </c>
      <c r="B1225" t="s">
        <v>15</v>
      </c>
      <c r="C1225" t="s">
        <v>23</v>
      </c>
      <c r="D1225" t="s">
        <v>17</v>
      </c>
      <c r="E1225" t="s">
        <v>18</v>
      </c>
      <c r="F1225" t="s">
        <v>19</v>
      </c>
      <c r="G1225" t="s">
        <v>20</v>
      </c>
      <c r="J1225" t="s">
        <v>17</v>
      </c>
      <c r="K1225" t="str">
        <f>"10000603"</f>
        <v>10000603</v>
      </c>
      <c r="L1225" t="str">
        <f>"10000603"</f>
        <v>10000603</v>
      </c>
      <c r="M1225" t="s">
        <v>75</v>
      </c>
      <c r="N1225" s="1">
        <v>42872.839583333334</v>
      </c>
      <c r="O1225" t="s">
        <v>19</v>
      </c>
    </row>
    <row r="1226" spans="1:15" x14ac:dyDescent="0.25">
      <c r="A1226" t="s">
        <v>1091</v>
      </c>
      <c r="B1226" t="s">
        <v>15</v>
      </c>
      <c r="C1226" t="s">
        <v>31</v>
      </c>
      <c r="D1226" t="s">
        <v>17</v>
      </c>
      <c r="E1226" t="s">
        <v>18</v>
      </c>
      <c r="F1226" t="s">
        <v>19</v>
      </c>
      <c r="G1226" t="s">
        <v>20</v>
      </c>
      <c r="J1226" t="s">
        <v>17</v>
      </c>
      <c r="K1226" t="str">
        <f>"10003972"</f>
        <v>10003972</v>
      </c>
      <c r="L1226" t="str">
        <f>"10003972"</f>
        <v>10003972</v>
      </c>
      <c r="M1226" t="s">
        <v>75</v>
      </c>
      <c r="N1226" s="1">
        <v>42872.839583333334</v>
      </c>
      <c r="O1226" t="s">
        <v>19</v>
      </c>
    </row>
    <row r="1227" spans="1:15" x14ac:dyDescent="0.25">
      <c r="A1227" t="s">
        <v>1092</v>
      </c>
      <c r="B1227" t="s">
        <v>15</v>
      </c>
      <c r="C1227" t="s">
        <v>31</v>
      </c>
      <c r="D1227" t="s">
        <v>17</v>
      </c>
      <c r="E1227" t="s">
        <v>18</v>
      </c>
      <c r="F1227" t="s">
        <v>19</v>
      </c>
      <c r="G1227" t="s">
        <v>20</v>
      </c>
      <c r="J1227" t="s">
        <v>17</v>
      </c>
      <c r="K1227" t="str">
        <f>"7168231450155"</f>
        <v>7168231450155</v>
      </c>
      <c r="L1227" t="str">
        <f>"31HDM4K015"</f>
        <v>31HDM4K015</v>
      </c>
      <c r="M1227" t="s">
        <v>21</v>
      </c>
      <c r="N1227" s="1">
        <v>44001.675000000003</v>
      </c>
      <c r="O1227" t="s">
        <v>19</v>
      </c>
    </row>
    <row r="1228" spans="1:15" x14ac:dyDescent="0.25">
      <c r="A1228" t="s">
        <v>1093</v>
      </c>
      <c r="B1228" t="s">
        <v>15</v>
      </c>
      <c r="C1228" t="s">
        <v>31</v>
      </c>
      <c r="D1228" t="s">
        <v>17</v>
      </c>
      <c r="E1228" t="s">
        <v>18</v>
      </c>
      <c r="F1228" t="s">
        <v>19</v>
      </c>
      <c r="G1228" t="s">
        <v>20</v>
      </c>
      <c r="J1228" t="s">
        <v>17</v>
      </c>
      <c r="K1228" t="str">
        <f>"7168231443157"</f>
        <v>7168231443157</v>
      </c>
      <c r="L1228" t="str">
        <f>"98080015"</f>
        <v>98080015</v>
      </c>
      <c r="M1228" t="s">
        <v>21</v>
      </c>
      <c r="N1228" s="1">
        <v>42894.745138888888</v>
      </c>
      <c r="O1228" t="s">
        <v>19</v>
      </c>
    </row>
    <row r="1229" spans="1:15" x14ac:dyDescent="0.25">
      <c r="A1229" t="s">
        <v>1094</v>
      </c>
      <c r="B1229" t="s">
        <v>15</v>
      </c>
      <c r="C1229" t="s">
        <v>31</v>
      </c>
      <c r="D1229" t="s">
        <v>17</v>
      </c>
      <c r="E1229" t="s">
        <v>18</v>
      </c>
      <c r="F1229" t="s">
        <v>19</v>
      </c>
      <c r="G1229" t="s">
        <v>20</v>
      </c>
      <c r="J1229" t="s">
        <v>17</v>
      </c>
      <c r="K1229" t="str">
        <f>"6931326001881"</f>
        <v>6931326001881</v>
      </c>
      <c r="L1229" t="str">
        <f>"40080015"</f>
        <v>40080015</v>
      </c>
      <c r="M1229" t="s">
        <v>21</v>
      </c>
      <c r="N1229" s="1">
        <v>43012.831944444442</v>
      </c>
      <c r="O1229" t="s">
        <v>19</v>
      </c>
    </row>
    <row r="1230" spans="1:15" x14ac:dyDescent="0.25">
      <c r="A1230" t="s">
        <v>1095</v>
      </c>
      <c r="B1230" t="s">
        <v>15</v>
      </c>
      <c r="C1230" t="s">
        <v>31</v>
      </c>
      <c r="D1230" t="s">
        <v>17</v>
      </c>
      <c r="E1230" t="s">
        <v>18</v>
      </c>
      <c r="F1230" t="s">
        <v>19</v>
      </c>
      <c r="G1230" t="s">
        <v>20</v>
      </c>
      <c r="J1230" t="s">
        <v>17</v>
      </c>
      <c r="K1230" t="str">
        <f>"18084536"</f>
        <v>18084536</v>
      </c>
      <c r="L1230" t="str">
        <f>"18084536"</f>
        <v>18084536</v>
      </c>
      <c r="M1230" t="s">
        <v>21</v>
      </c>
      <c r="N1230" s="1">
        <v>42881.777777777781</v>
      </c>
      <c r="O1230" t="s">
        <v>19</v>
      </c>
    </row>
    <row r="1231" spans="1:15" x14ac:dyDescent="0.25">
      <c r="A1231" t="s">
        <v>1096</v>
      </c>
      <c r="B1231" t="s">
        <v>15</v>
      </c>
      <c r="C1231" t="s">
        <v>31</v>
      </c>
      <c r="D1231" t="s">
        <v>17</v>
      </c>
      <c r="E1231" t="s">
        <v>18</v>
      </c>
      <c r="F1231" t="s">
        <v>19</v>
      </c>
      <c r="G1231" t="s">
        <v>20</v>
      </c>
      <c r="J1231" t="s">
        <v>17</v>
      </c>
      <c r="K1231" t="str">
        <f>"716829957097"</f>
        <v>716829957097</v>
      </c>
      <c r="L1231" t="str">
        <f>"31HDMEG180"</f>
        <v>31HDMEG180</v>
      </c>
      <c r="M1231" t="s">
        <v>21</v>
      </c>
      <c r="N1231" s="1">
        <v>43994.818055555559</v>
      </c>
      <c r="O1231" t="s">
        <v>19</v>
      </c>
    </row>
    <row r="1232" spans="1:15" x14ac:dyDescent="0.25">
      <c r="A1232" t="s">
        <v>1097</v>
      </c>
      <c r="B1232" t="s">
        <v>15</v>
      </c>
      <c r="C1232" t="s">
        <v>31</v>
      </c>
      <c r="D1232" t="s">
        <v>17</v>
      </c>
      <c r="E1232" t="s">
        <v>18</v>
      </c>
      <c r="F1232" t="s">
        <v>19</v>
      </c>
      <c r="G1232" t="s">
        <v>20</v>
      </c>
      <c r="J1232" t="s">
        <v>17</v>
      </c>
      <c r="K1232" t="str">
        <f>"766623306119"</f>
        <v>766623306119</v>
      </c>
      <c r="L1232" t="str">
        <f>"56086119"</f>
        <v>56086119</v>
      </c>
      <c r="M1232" t="s">
        <v>21</v>
      </c>
      <c r="N1232" s="1">
        <v>43985.825694444444</v>
      </c>
      <c r="O1232" t="s">
        <v>19</v>
      </c>
    </row>
    <row r="1233" spans="1:15" x14ac:dyDescent="0.25">
      <c r="A1233" t="s">
        <v>1098</v>
      </c>
      <c r="B1233" t="s">
        <v>15</v>
      </c>
      <c r="C1233" t="s">
        <v>31</v>
      </c>
      <c r="D1233" t="s">
        <v>17</v>
      </c>
      <c r="E1233" t="s">
        <v>18</v>
      </c>
      <c r="F1233" t="s">
        <v>19</v>
      </c>
      <c r="G1233" t="s">
        <v>20</v>
      </c>
      <c r="J1233" t="s">
        <v>17</v>
      </c>
      <c r="K1233" t="str">
        <f>"030878335744"</f>
        <v>030878335744</v>
      </c>
      <c r="L1233" t="str">
        <f>"31GEL33574"</f>
        <v>31GEL33574</v>
      </c>
      <c r="M1233" t="s">
        <v>21</v>
      </c>
      <c r="N1233" s="1">
        <v>43805.824305555558</v>
      </c>
      <c r="O1233" t="s">
        <v>19</v>
      </c>
    </row>
    <row r="1234" spans="1:15" x14ac:dyDescent="0.25">
      <c r="A1234" t="s">
        <v>1099</v>
      </c>
      <c r="B1234" t="s">
        <v>15</v>
      </c>
      <c r="C1234" t="s">
        <v>31</v>
      </c>
      <c r="D1234" t="s">
        <v>17</v>
      </c>
      <c r="E1234" t="s">
        <v>18</v>
      </c>
      <c r="F1234" t="s">
        <v>19</v>
      </c>
      <c r="G1234" t="s">
        <v>20</v>
      </c>
      <c r="J1234" t="s">
        <v>17</v>
      </c>
      <c r="K1234" t="str">
        <f>"850028002742"</f>
        <v>850028002742</v>
      </c>
      <c r="L1234" t="str">
        <f>"13080018"</f>
        <v>13080018</v>
      </c>
      <c r="M1234" t="s">
        <v>21</v>
      </c>
      <c r="N1234" s="1">
        <v>44390.663888888892</v>
      </c>
      <c r="O1234" t="s">
        <v>19</v>
      </c>
    </row>
    <row r="1235" spans="1:15" x14ac:dyDescent="0.25">
      <c r="A1235" t="s">
        <v>1100</v>
      </c>
      <c r="B1235" t="s">
        <v>15</v>
      </c>
      <c r="C1235" t="s">
        <v>31</v>
      </c>
      <c r="D1235" t="s">
        <v>17</v>
      </c>
      <c r="E1235" t="s">
        <v>18</v>
      </c>
      <c r="F1235" t="s">
        <v>19</v>
      </c>
      <c r="G1235" t="s">
        <v>20</v>
      </c>
      <c r="J1235" t="s">
        <v>17</v>
      </c>
      <c r="K1235" t="str">
        <f>"10002007"</f>
        <v>10002007</v>
      </c>
      <c r="L1235" t="str">
        <f>"10002007"</f>
        <v>10002007</v>
      </c>
      <c r="M1235" t="s">
        <v>21</v>
      </c>
      <c r="N1235" s="1">
        <v>43546.62777777778</v>
      </c>
      <c r="O1235" t="s">
        <v>19</v>
      </c>
    </row>
    <row r="1236" spans="1:15" x14ac:dyDescent="0.25">
      <c r="A1236" t="s">
        <v>1101</v>
      </c>
      <c r="B1236" t="s">
        <v>15</v>
      </c>
      <c r="C1236" t="s">
        <v>31</v>
      </c>
      <c r="D1236" t="s">
        <v>17</v>
      </c>
      <c r="E1236" t="s">
        <v>18</v>
      </c>
      <c r="F1236" t="s">
        <v>19</v>
      </c>
      <c r="G1236" t="s">
        <v>20</v>
      </c>
      <c r="J1236" t="s">
        <v>17</v>
      </c>
      <c r="K1236" t="str">
        <f>"7809601103652"</f>
        <v>7809601103652</v>
      </c>
      <c r="L1236" t="str">
        <f>"92082330"</f>
        <v>92082330</v>
      </c>
      <c r="M1236" t="s">
        <v>21</v>
      </c>
      <c r="N1236" s="1">
        <v>44453.633333333331</v>
      </c>
      <c r="O1236" t="s">
        <v>19</v>
      </c>
    </row>
    <row r="1237" spans="1:15" x14ac:dyDescent="0.25">
      <c r="A1237" t="s">
        <v>1102</v>
      </c>
      <c r="B1237" t="s">
        <v>15</v>
      </c>
      <c r="C1237" t="s">
        <v>31</v>
      </c>
      <c r="D1237" t="s">
        <v>17</v>
      </c>
      <c r="E1237" t="s">
        <v>18</v>
      </c>
      <c r="F1237" t="s">
        <v>19</v>
      </c>
      <c r="G1237" t="s">
        <v>20</v>
      </c>
      <c r="J1237" t="s">
        <v>17</v>
      </c>
      <c r="K1237" t="str">
        <f>"6931326001157"</f>
        <v>6931326001157</v>
      </c>
      <c r="L1237" t="str">
        <f>"40081157"</f>
        <v>40081157</v>
      </c>
      <c r="M1237" t="s">
        <v>21</v>
      </c>
      <c r="N1237" s="1">
        <v>44349.638194444444</v>
      </c>
      <c r="O1237" t="s">
        <v>19</v>
      </c>
    </row>
    <row r="1238" spans="1:15" x14ac:dyDescent="0.25">
      <c r="A1238" t="s">
        <v>1103</v>
      </c>
      <c r="B1238" t="s">
        <v>15</v>
      </c>
      <c r="C1238" t="s">
        <v>31</v>
      </c>
      <c r="D1238" t="s">
        <v>17</v>
      </c>
      <c r="E1238" t="s">
        <v>18</v>
      </c>
      <c r="F1238" t="s">
        <v>19</v>
      </c>
      <c r="G1238" t="s">
        <v>20</v>
      </c>
      <c r="J1238" t="s">
        <v>17</v>
      </c>
      <c r="K1238" t="str">
        <f>"9126"</f>
        <v>9126</v>
      </c>
      <c r="L1238" t="str">
        <f>"98080010"</f>
        <v>98080010</v>
      </c>
      <c r="M1238" t="s">
        <v>21</v>
      </c>
      <c r="N1238" s="1">
        <v>42872.849305555559</v>
      </c>
      <c r="O1238" t="s">
        <v>19</v>
      </c>
    </row>
    <row r="1239" spans="1:15" x14ac:dyDescent="0.25">
      <c r="A1239" t="s">
        <v>1104</v>
      </c>
      <c r="B1239" t="s">
        <v>15</v>
      </c>
      <c r="C1239" t="s">
        <v>31</v>
      </c>
      <c r="D1239" t="s">
        <v>17</v>
      </c>
      <c r="E1239" t="s">
        <v>18</v>
      </c>
      <c r="F1239" t="s">
        <v>19</v>
      </c>
      <c r="G1239" t="s">
        <v>20</v>
      </c>
      <c r="J1239" t="s">
        <v>17</v>
      </c>
      <c r="K1239" t="str">
        <f>"10012802"</f>
        <v>10012802</v>
      </c>
      <c r="L1239" t="str">
        <f>"10012802"</f>
        <v>10012802</v>
      </c>
      <c r="M1239" t="s">
        <v>21</v>
      </c>
      <c r="N1239" s="1">
        <v>43719.900694444441</v>
      </c>
      <c r="O1239" t="s">
        <v>19</v>
      </c>
    </row>
    <row r="1240" spans="1:15" x14ac:dyDescent="0.25">
      <c r="A1240" t="s">
        <v>1105</v>
      </c>
      <c r="B1240" t="s">
        <v>15</v>
      </c>
      <c r="C1240" t="s">
        <v>31</v>
      </c>
      <c r="D1240" t="s">
        <v>17</v>
      </c>
      <c r="E1240" t="s">
        <v>18</v>
      </c>
      <c r="F1240" t="s">
        <v>19</v>
      </c>
      <c r="G1240" t="s">
        <v>20</v>
      </c>
      <c r="J1240" t="s">
        <v>17</v>
      </c>
      <c r="K1240" t="str">
        <f>"6986698983402"</f>
        <v>6986698983402</v>
      </c>
      <c r="L1240" t="str">
        <f>"40083402"</f>
        <v>40083402</v>
      </c>
      <c r="M1240" t="s">
        <v>21</v>
      </c>
      <c r="N1240" s="1">
        <v>44349.782638888886</v>
      </c>
      <c r="O1240" t="s">
        <v>19</v>
      </c>
    </row>
    <row r="1241" spans="1:15" x14ac:dyDescent="0.25">
      <c r="A1241" t="s">
        <v>1106</v>
      </c>
      <c r="B1241" t="s">
        <v>15</v>
      </c>
      <c r="C1241" t="s">
        <v>31</v>
      </c>
      <c r="D1241" t="s">
        <v>17</v>
      </c>
      <c r="E1241" t="s">
        <v>18</v>
      </c>
      <c r="F1241" t="s">
        <v>19</v>
      </c>
      <c r="G1241" t="s">
        <v>20</v>
      </c>
      <c r="J1241" t="s">
        <v>17</v>
      </c>
      <c r="K1241" t="str">
        <f>"6986698983419"</f>
        <v>6986698983419</v>
      </c>
      <c r="L1241" t="str">
        <f>"40083419"</f>
        <v>40083419</v>
      </c>
      <c r="M1241" t="s">
        <v>21</v>
      </c>
      <c r="N1241" s="1">
        <v>44349.782638888886</v>
      </c>
      <c r="O1241" t="s">
        <v>19</v>
      </c>
    </row>
    <row r="1242" spans="1:15" x14ac:dyDescent="0.25">
      <c r="A1242" t="s">
        <v>1107</v>
      </c>
      <c r="B1242" t="s">
        <v>15</v>
      </c>
      <c r="C1242" t="s">
        <v>31</v>
      </c>
      <c r="D1242" t="s">
        <v>17</v>
      </c>
      <c r="E1242" t="s">
        <v>18</v>
      </c>
      <c r="F1242" t="s">
        <v>19</v>
      </c>
      <c r="G1242" t="s">
        <v>20</v>
      </c>
      <c r="J1242" t="s">
        <v>17</v>
      </c>
      <c r="K1242" t="str">
        <f>"6686441951077"</f>
        <v>6686441951077</v>
      </c>
      <c r="L1242" t="str">
        <f>"40082004"</f>
        <v>40082004</v>
      </c>
      <c r="M1242" t="s">
        <v>21</v>
      </c>
      <c r="N1242" s="1">
        <v>44435.654861111114</v>
      </c>
      <c r="O1242" t="s">
        <v>19</v>
      </c>
    </row>
    <row r="1243" spans="1:15" x14ac:dyDescent="0.25">
      <c r="A1243" t="s">
        <v>1108</v>
      </c>
      <c r="B1243" t="s">
        <v>15</v>
      </c>
      <c r="C1243" t="s">
        <v>31</v>
      </c>
      <c r="D1243" t="s">
        <v>17</v>
      </c>
      <c r="E1243" t="s">
        <v>18</v>
      </c>
      <c r="F1243" t="s">
        <v>19</v>
      </c>
      <c r="G1243" t="s">
        <v>20</v>
      </c>
      <c r="J1243" t="s">
        <v>17</v>
      </c>
      <c r="K1243" t="str">
        <f>"6931326001898"</f>
        <v>6931326001898</v>
      </c>
      <c r="L1243" t="str">
        <f>"40080003"</f>
        <v>40080003</v>
      </c>
      <c r="M1243" t="s">
        <v>21</v>
      </c>
      <c r="N1243" s="1">
        <v>42872.839583333334</v>
      </c>
      <c r="O1243" t="s">
        <v>19</v>
      </c>
    </row>
    <row r="1244" spans="1:15" x14ac:dyDescent="0.25">
      <c r="A1244" t="s">
        <v>1109</v>
      </c>
      <c r="B1244" t="s">
        <v>15</v>
      </c>
      <c r="C1244" t="s">
        <v>31</v>
      </c>
      <c r="D1244" t="s">
        <v>17</v>
      </c>
      <c r="E1244" t="s">
        <v>18</v>
      </c>
      <c r="F1244" t="s">
        <v>19</v>
      </c>
      <c r="G1244" t="s">
        <v>20</v>
      </c>
      <c r="J1244" t="s">
        <v>17</v>
      </c>
      <c r="K1244" t="str">
        <f>"766623306126"</f>
        <v>766623306126</v>
      </c>
      <c r="L1244" t="str">
        <f>"56086126"</f>
        <v>56086126</v>
      </c>
      <c r="M1244" t="s">
        <v>21</v>
      </c>
      <c r="N1244" s="1">
        <v>43985.826388888891</v>
      </c>
      <c r="O1244" t="s">
        <v>19</v>
      </c>
    </row>
    <row r="1245" spans="1:15" x14ac:dyDescent="0.25">
      <c r="A1245" t="s">
        <v>1110</v>
      </c>
      <c r="B1245" t="s">
        <v>15</v>
      </c>
      <c r="C1245" t="s">
        <v>31</v>
      </c>
      <c r="D1245" t="s">
        <v>17</v>
      </c>
      <c r="E1245" t="s">
        <v>18</v>
      </c>
      <c r="F1245" t="s">
        <v>19</v>
      </c>
      <c r="G1245" t="s">
        <v>20</v>
      </c>
      <c r="J1245" t="s">
        <v>17</v>
      </c>
      <c r="K1245" t="str">
        <f>"10009997"</f>
        <v>10009997</v>
      </c>
      <c r="L1245" t="str">
        <f>"10009997"</f>
        <v>10009997</v>
      </c>
      <c r="M1245" t="s">
        <v>84</v>
      </c>
      <c r="N1245" s="1">
        <v>43377.713888888888</v>
      </c>
      <c r="O1245" t="s">
        <v>19</v>
      </c>
    </row>
    <row r="1246" spans="1:15" x14ac:dyDescent="0.25">
      <c r="A1246" t="s">
        <v>1111</v>
      </c>
      <c r="B1246" t="s">
        <v>15</v>
      </c>
      <c r="C1246" t="s">
        <v>31</v>
      </c>
      <c r="D1246" t="s">
        <v>17</v>
      </c>
      <c r="E1246" t="s">
        <v>18</v>
      </c>
      <c r="F1246" t="s">
        <v>19</v>
      </c>
      <c r="G1246" t="s">
        <v>20</v>
      </c>
      <c r="J1246" t="s">
        <v>17</v>
      </c>
      <c r="K1246" t="str">
        <f>"7168299510952"</f>
        <v>7168299510952</v>
      </c>
      <c r="L1246" t="str">
        <f>"31HDMEG300"</f>
        <v>31HDMEG300</v>
      </c>
      <c r="M1246" t="s">
        <v>21</v>
      </c>
      <c r="N1246" s="1">
        <v>43994.818749999999</v>
      </c>
      <c r="O1246" t="s">
        <v>19</v>
      </c>
    </row>
    <row r="1247" spans="1:15" x14ac:dyDescent="0.25">
      <c r="A1247" t="s">
        <v>1112</v>
      </c>
      <c r="B1247" t="s">
        <v>15</v>
      </c>
      <c r="C1247" t="s">
        <v>31</v>
      </c>
      <c r="D1247" t="s">
        <v>17</v>
      </c>
      <c r="E1247" t="s">
        <v>18</v>
      </c>
      <c r="F1247" t="s">
        <v>19</v>
      </c>
      <c r="G1247" t="s">
        <v>20</v>
      </c>
      <c r="J1247" t="s">
        <v>17</v>
      </c>
      <c r="K1247" t="str">
        <f>"6931326001904"</f>
        <v>6931326001904</v>
      </c>
      <c r="L1247" t="str">
        <f>"40081904"</f>
        <v>40081904</v>
      </c>
      <c r="M1247" t="s">
        <v>21</v>
      </c>
      <c r="N1247" s="1">
        <v>44306.865277777775</v>
      </c>
      <c r="O1247" t="s">
        <v>19</v>
      </c>
    </row>
    <row r="1248" spans="1:15" x14ac:dyDescent="0.25">
      <c r="A1248" t="s">
        <v>1113</v>
      </c>
      <c r="B1248" t="s">
        <v>15</v>
      </c>
      <c r="C1248" t="s">
        <v>31</v>
      </c>
      <c r="D1248" t="s">
        <v>17</v>
      </c>
      <c r="E1248" t="s">
        <v>18</v>
      </c>
      <c r="F1248" t="s">
        <v>19</v>
      </c>
      <c r="G1248" t="s">
        <v>20</v>
      </c>
      <c r="J1248" t="s">
        <v>17</v>
      </c>
      <c r="K1248" t="str">
        <f>"766623323239"</f>
        <v>766623323239</v>
      </c>
      <c r="L1248" t="str">
        <f>"56083239"</f>
        <v>56083239</v>
      </c>
      <c r="M1248" t="s">
        <v>21</v>
      </c>
      <c r="N1248" s="1">
        <v>43985.834027777775</v>
      </c>
      <c r="O1248" t="s">
        <v>19</v>
      </c>
    </row>
    <row r="1249" spans="1:15" x14ac:dyDescent="0.25">
      <c r="A1249" t="s">
        <v>1114</v>
      </c>
      <c r="B1249" t="s">
        <v>15</v>
      </c>
      <c r="C1249" t="s">
        <v>31</v>
      </c>
      <c r="D1249" t="s">
        <v>17</v>
      </c>
      <c r="E1249" t="s">
        <v>18</v>
      </c>
      <c r="F1249" t="s">
        <v>19</v>
      </c>
      <c r="G1249" t="s">
        <v>20</v>
      </c>
      <c r="J1249" t="s">
        <v>17</v>
      </c>
      <c r="K1249" t="str">
        <f>"10010008"</f>
        <v>10010008</v>
      </c>
      <c r="L1249" t="str">
        <f>"10010008"</f>
        <v>10010008</v>
      </c>
      <c r="M1249" t="s">
        <v>75</v>
      </c>
      <c r="N1249" s="1">
        <v>42872.839583333334</v>
      </c>
      <c r="O1249" t="s">
        <v>19</v>
      </c>
    </row>
    <row r="1250" spans="1:15" x14ac:dyDescent="0.25">
      <c r="A1250" t="s">
        <v>1115</v>
      </c>
      <c r="B1250" t="s">
        <v>15</v>
      </c>
      <c r="C1250" t="s">
        <v>31</v>
      </c>
      <c r="D1250" t="s">
        <v>17</v>
      </c>
      <c r="E1250" t="s">
        <v>18</v>
      </c>
      <c r="F1250" t="s">
        <v>19</v>
      </c>
      <c r="G1250" t="s">
        <v>20</v>
      </c>
      <c r="J1250" t="s">
        <v>17</v>
      </c>
      <c r="K1250" t="str">
        <f>"9125"</f>
        <v>9125</v>
      </c>
      <c r="L1250" t="str">
        <f>"98080005"</f>
        <v>98080005</v>
      </c>
      <c r="M1250" t="s">
        <v>21</v>
      </c>
      <c r="N1250" s="1">
        <v>42872.849305555559</v>
      </c>
      <c r="O1250" t="s">
        <v>19</v>
      </c>
    </row>
    <row r="1251" spans="1:15" x14ac:dyDescent="0.25">
      <c r="A1251" t="s">
        <v>1116</v>
      </c>
      <c r="B1251" t="s">
        <v>15</v>
      </c>
      <c r="C1251" t="s">
        <v>31</v>
      </c>
      <c r="D1251" t="s">
        <v>17</v>
      </c>
      <c r="E1251" t="s">
        <v>18</v>
      </c>
      <c r="F1251" t="s">
        <v>19</v>
      </c>
      <c r="G1251" t="s">
        <v>20</v>
      </c>
      <c r="J1251" t="s">
        <v>17</v>
      </c>
      <c r="K1251" t="str">
        <f>"40080005"</f>
        <v>40080005</v>
      </c>
      <c r="L1251" t="str">
        <f>"40080005"</f>
        <v>40080005</v>
      </c>
      <c r="M1251" t="s">
        <v>21</v>
      </c>
      <c r="N1251" s="1">
        <v>42872.847222222219</v>
      </c>
      <c r="O1251" t="s">
        <v>19</v>
      </c>
    </row>
    <row r="1252" spans="1:15" x14ac:dyDescent="0.25">
      <c r="A1252" t="s">
        <v>1117</v>
      </c>
      <c r="B1252" t="s">
        <v>15</v>
      </c>
      <c r="C1252" t="s">
        <v>31</v>
      </c>
      <c r="D1252" t="s">
        <v>17</v>
      </c>
      <c r="E1252" t="s">
        <v>18</v>
      </c>
      <c r="F1252" t="s">
        <v>19</v>
      </c>
      <c r="G1252" t="s">
        <v>20</v>
      </c>
      <c r="J1252" t="s">
        <v>17</v>
      </c>
      <c r="K1252" t="str">
        <f>"2015100011717"</f>
        <v>2015100011717</v>
      </c>
      <c r="L1252" t="str">
        <f>"31HDMEG500"</f>
        <v>31HDMEG500</v>
      </c>
      <c r="M1252" t="s">
        <v>21</v>
      </c>
      <c r="N1252" s="1">
        <v>43994.818749999999</v>
      </c>
      <c r="O1252" t="s">
        <v>19</v>
      </c>
    </row>
    <row r="1253" spans="1:15" x14ac:dyDescent="0.25">
      <c r="A1253" t="s">
        <v>1118</v>
      </c>
      <c r="B1253" t="s">
        <v>15</v>
      </c>
      <c r="C1253" t="s">
        <v>31</v>
      </c>
      <c r="D1253" t="s">
        <v>17</v>
      </c>
      <c r="E1253" t="s">
        <v>18</v>
      </c>
      <c r="F1253" t="s">
        <v>19</v>
      </c>
      <c r="G1253" t="s">
        <v>20</v>
      </c>
      <c r="J1253" t="s">
        <v>17</v>
      </c>
      <c r="K1253" t="str">
        <f>"10002418"</f>
        <v>10002418</v>
      </c>
      <c r="L1253" t="str">
        <f>"10002418"</f>
        <v>10002418</v>
      </c>
      <c r="M1253" t="s">
        <v>21</v>
      </c>
      <c r="N1253" s="1">
        <v>43854.705555555556</v>
      </c>
      <c r="O1253" t="s">
        <v>19</v>
      </c>
    </row>
    <row r="1254" spans="1:15" x14ac:dyDescent="0.25">
      <c r="A1254" t="s">
        <v>1119</v>
      </c>
      <c r="B1254" t="s">
        <v>15</v>
      </c>
      <c r="C1254" t="s">
        <v>31</v>
      </c>
      <c r="D1254" t="s">
        <v>17</v>
      </c>
      <c r="E1254" t="s">
        <v>18</v>
      </c>
      <c r="F1254" t="s">
        <v>19</v>
      </c>
      <c r="G1254" t="s">
        <v>20</v>
      </c>
      <c r="J1254" t="s">
        <v>17</v>
      </c>
      <c r="K1254" t="str">
        <f>"798389163408"</f>
        <v>798389163408</v>
      </c>
      <c r="L1254" t="str">
        <f>"98020606"</f>
        <v>98020606</v>
      </c>
      <c r="M1254" t="s">
        <v>21</v>
      </c>
      <c r="N1254" s="1">
        <v>43985.87222222222</v>
      </c>
      <c r="O1254" t="s">
        <v>19</v>
      </c>
    </row>
    <row r="1255" spans="1:15" x14ac:dyDescent="0.25">
      <c r="A1255" t="s">
        <v>1120</v>
      </c>
      <c r="B1255" t="s">
        <v>15</v>
      </c>
      <c r="C1255" t="s">
        <v>31</v>
      </c>
      <c r="D1255" t="s">
        <v>17</v>
      </c>
      <c r="E1255" t="s">
        <v>18</v>
      </c>
      <c r="F1255" t="s">
        <v>19</v>
      </c>
      <c r="G1255" t="s">
        <v>20</v>
      </c>
      <c r="J1255" t="s">
        <v>17</v>
      </c>
      <c r="K1255" t="str">
        <f>"766623324427"</f>
        <v>766623324427</v>
      </c>
      <c r="L1255" t="str">
        <f>"56084427"</f>
        <v>56084427</v>
      </c>
      <c r="M1255" t="s">
        <v>21</v>
      </c>
      <c r="N1255" s="1">
        <v>43985.861111111109</v>
      </c>
      <c r="O1255" t="s">
        <v>19</v>
      </c>
    </row>
    <row r="1256" spans="1:15" x14ac:dyDescent="0.25">
      <c r="A1256" t="s">
        <v>1121</v>
      </c>
      <c r="B1256" t="s">
        <v>15</v>
      </c>
      <c r="C1256" t="s">
        <v>23</v>
      </c>
      <c r="D1256" t="s">
        <v>17</v>
      </c>
      <c r="E1256" t="s">
        <v>18</v>
      </c>
      <c r="F1256" t="s">
        <v>19</v>
      </c>
      <c r="G1256" t="s">
        <v>20</v>
      </c>
      <c r="J1256" t="s">
        <v>17</v>
      </c>
      <c r="K1256" t="str">
        <f>"5620000025190"</f>
        <v>5620000025190</v>
      </c>
      <c r="L1256" t="str">
        <f>"28082519"</f>
        <v>28082519</v>
      </c>
      <c r="M1256" t="s">
        <v>84</v>
      </c>
      <c r="N1256" s="1">
        <v>43266.959027777775</v>
      </c>
      <c r="O1256" t="s">
        <v>19</v>
      </c>
    </row>
    <row r="1257" spans="1:15" x14ac:dyDescent="0.25">
      <c r="A1257" t="s">
        <v>1122</v>
      </c>
      <c r="B1257" t="s">
        <v>15</v>
      </c>
      <c r="C1257" t="s">
        <v>31</v>
      </c>
      <c r="D1257" t="s">
        <v>17</v>
      </c>
      <c r="E1257" t="s">
        <v>18</v>
      </c>
      <c r="F1257" t="s">
        <v>19</v>
      </c>
      <c r="G1257" t="s">
        <v>20</v>
      </c>
      <c r="J1257" t="s">
        <v>17</v>
      </c>
      <c r="K1257" t="str">
        <f>"7895623000406"</f>
        <v>7895623000406</v>
      </c>
      <c r="L1257" t="str">
        <f>"66080040"</f>
        <v>66080040</v>
      </c>
      <c r="M1257" t="s">
        <v>21</v>
      </c>
      <c r="N1257" s="1">
        <v>44392.879166666666</v>
      </c>
      <c r="O1257" t="s">
        <v>19</v>
      </c>
    </row>
    <row r="1258" spans="1:15" x14ac:dyDescent="0.25">
      <c r="A1258" t="s">
        <v>1123</v>
      </c>
      <c r="B1258" t="s">
        <v>15</v>
      </c>
      <c r="C1258" t="s">
        <v>31</v>
      </c>
      <c r="D1258" t="s">
        <v>17</v>
      </c>
      <c r="E1258" t="s">
        <v>18</v>
      </c>
      <c r="F1258" t="s">
        <v>19</v>
      </c>
      <c r="G1258" t="s">
        <v>20</v>
      </c>
      <c r="J1258" t="s">
        <v>17</v>
      </c>
      <c r="K1258" t="str">
        <f>"7858816011009"</f>
        <v>7858816011009</v>
      </c>
      <c r="L1258" t="str">
        <f>"87081100"</f>
        <v>87081100</v>
      </c>
      <c r="M1258" t="s">
        <v>84</v>
      </c>
      <c r="N1258" s="1">
        <v>42872.847222222219</v>
      </c>
      <c r="O1258" t="s">
        <v>19</v>
      </c>
    </row>
    <row r="1259" spans="1:15" x14ac:dyDescent="0.25">
      <c r="A1259" t="s">
        <v>1124</v>
      </c>
      <c r="B1259" t="s">
        <v>15</v>
      </c>
      <c r="C1259" t="s">
        <v>31</v>
      </c>
      <c r="D1259" t="s">
        <v>17</v>
      </c>
      <c r="E1259" t="s">
        <v>18</v>
      </c>
      <c r="F1259" t="s">
        <v>19</v>
      </c>
      <c r="G1259" t="s">
        <v>20</v>
      </c>
      <c r="J1259" t="s">
        <v>17</v>
      </c>
      <c r="K1259" t="str">
        <f>"7858816059902"</f>
        <v>7858816059902</v>
      </c>
      <c r="L1259" t="str">
        <f>"87085990"</f>
        <v>87085990</v>
      </c>
      <c r="M1259" t="s">
        <v>21</v>
      </c>
      <c r="N1259" s="1">
        <v>43853.676388888889</v>
      </c>
      <c r="O1259" t="s">
        <v>19</v>
      </c>
    </row>
    <row r="1260" spans="1:15" x14ac:dyDescent="0.25">
      <c r="A1260" t="s">
        <v>1125</v>
      </c>
      <c r="B1260" t="s">
        <v>15</v>
      </c>
      <c r="C1260" t="s">
        <v>23</v>
      </c>
      <c r="D1260" t="s">
        <v>17</v>
      </c>
      <c r="E1260" t="s">
        <v>18</v>
      </c>
      <c r="F1260" t="s">
        <v>19</v>
      </c>
      <c r="G1260" t="s">
        <v>20</v>
      </c>
      <c r="J1260" t="s">
        <v>17</v>
      </c>
      <c r="K1260" t="str">
        <f>"6924494002002"</f>
        <v>6924494002002</v>
      </c>
      <c r="L1260" t="str">
        <f>"110660020"</f>
        <v>110660020</v>
      </c>
      <c r="M1260" t="s">
        <v>75</v>
      </c>
      <c r="N1260" s="1">
        <v>42872.847222222219</v>
      </c>
      <c r="O1260" t="s">
        <v>19</v>
      </c>
    </row>
    <row r="1261" spans="1:15" x14ac:dyDescent="0.25">
      <c r="A1261" t="s">
        <v>1126</v>
      </c>
      <c r="B1261" t="s">
        <v>15</v>
      </c>
      <c r="C1261" t="s">
        <v>23</v>
      </c>
      <c r="D1261" t="s">
        <v>17</v>
      </c>
      <c r="E1261" t="s">
        <v>18</v>
      </c>
      <c r="F1261" t="s">
        <v>19</v>
      </c>
      <c r="G1261" t="s">
        <v>20</v>
      </c>
      <c r="J1261" t="s">
        <v>17</v>
      </c>
      <c r="K1261" t="str">
        <f>"79080720"</f>
        <v>79080720</v>
      </c>
      <c r="L1261" t="str">
        <f>"79080720"</f>
        <v>79080720</v>
      </c>
      <c r="M1261" t="s">
        <v>75</v>
      </c>
      <c r="N1261" s="1">
        <v>42872.847222222219</v>
      </c>
      <c r="O1261" t="s">
        <v>19</v>
      </c>
    </row>
    <row r="1262" spans="1:15" x14ac:dyDescent="0.25">
      <c r="A1262" t="s">
        <v>1127</v>
      </c>
      <c r="B1262" t="s">
        <v>15</v>
      </c>
      <c r="C1262" t="s">
        <v>23</v>
      </c>
      <c r="D1262" t="s">
        <v>17</v>
      </c>
      <c r="E1262" t="s">
        <v>18</v>
      </c>
      <c r="F1262" t="s">
        <v>19</v>
      </c>
      <c r="G1262" t="s">
        <v>20</v>
      </c>
      <c r="J1262" t="s">
        <v>17</v>
      </c>
      <c r="K1262" t="str">
        <f>"86080700"</f>
        <v>86080700</v>
      </c>
      <c r="L1262" t="str">
        <f>"86080700"</f>
        <v>86080700</v>
      </c>
      <c r="M1262" t="s">
        <v>84</v>
      </c>
      <c r="N1262" s="1">
        <v>43280.718055555553</v>
      </c>
      <c r="O1262" t="s">
        <v>19</v>
      </c>
    </row>
    <row r="1263" spans="1:15" x14ac:dyDescent="0.25">
      <c r="A1263" t="s">
        <v>1128</v>
      </c>
      <c r="B1263" t="s">
        <v>15</v>
      </c>
      <c r="C1263" t="s">
        <v>23</v>
      </c>
      <c r="D1263" t="s">
        <v>17</v>
      </c>
      <c r="E1263" t="s">
        <v>18</v>
      </c>
      <c r="F1263" t="s">
        <v>19</v>
      </c>
      <c r="G1263" t="s">
        <v>20</v>
      </c>
      <c r="J1263" t="s">
        <v>17</v>
      </c>
      <c r="K1263" t="str">
        <f>"6789033343400"</f>
        <v>6789033343400</v>
      </c>
      <c r="L1263" t="str">
        <f>"10081221"</f>
        <v>10081221</v>
      </c>
      <c r="M1263" t="s">
        <v>84</v>
      </c>
      <c r="N1263" s="1">
        <v>43084.859722222223</v>
      </c>
      <c r="O1263" t="s">
        <v>19</v>
      </c>
    </row>
    <row r="1264" spans="1:15" x14ac:dyDescent="0.25">
      <c r="A1264" t="s">
        <v>1129</v>
      </c>
      <c r="B1264" t="s">
        <v>15</v>
      </c>
      <c r="C1264" t="s">
        <v>23</v>
      </c>
      <c r="D1264" t="s">
        <v>17</v>
      </c>
      <c r="E1264" t="s">
        <v>18</v>
      </c>
      <c r="F1264" t="s">
        <v>19</v>
      </c>
      <c r="G1264" t="s">
        <v>20</v>
      </c>
      <c r="J1264" t="s">
        <v>17</v>
      </c>
      <c r="K1264" t="str">
        <f>"5626890042828"</f>
        <v>5626890042828</v>
      </c>
      <c r="L1264" t="str">
        <f>"280893055"</f>
        <v>280893055</v>
      </c>
      <c r="M1264" t="s">
        <v>84</v>
      </c>
      <c r="N1264" s="1">
        <v>43335.875694444447</v>
      </c>
      <c r="O1264" t="s">
        <v>19</v>
      </c>
    </row>
    <row r="1265" spans="1:15" x14ac:dyDescent="0.25">
      <c r="A1265" t="s">
        <v>1130</v>
      </c>
      <c r="B1265" t="s">
        <v>15</v>
      </c>
      <c r="C1265" t="s">
        <v>23</v>
      </c>
      <c r="D1265" t="s">
        <v>17</v>
      </c>
      <c r="E1265" t="s">
        <v>18</v>
      </c>
      <c r="F1265" t="s">
        <v>19</v>
      </c>
      <c r="G1265" t="s">
        <v>20</v>
      </c>
      <c r="J1265" t="s">
        <v>17</v>
      </c>
      <c r="K1265" t="str">
        <f>"10000147"</f>
        <v>10000147</v>
      </c>
      <c r="L1265" t="str">
        <f>"10000147"</f>
        <v>10000147</v>
      </c>
      <c r="M1265" t="s">
        <v>21</v>
      </c>
      <c r="N1265" s="1">
        <v>42872.847222222219</v>
      </c>
      <c r="O1265" t="s">
        <v>19</v>
      </c>
    </row>
    <row r="1266" spans="1:15" x14ac:dyDescent="0.25">
      <c r="A1266" t="s">
        <v>1131</v>
      </c>
      <c r="B1266" t="s">
        <v>15</v>
      </c>
      <c r="C1266" t="s">
        <v>23</v>
      </c>
      <c r="D1266" t="s">
        <v>17</v>
      </c>
      <c r="E1266" t="s">
        <v>18</v>
      </c>
      <c r="F1266" t="s">
        <v>19</v>
      </c>
      <c r="G1266" t="s">
        <v>20</v>
      </c>
      <c r="J1266" t="s">
        <v>17</v>
      </c>
      <c r="K1266" t="str">
        <f>"10000661"</f>
        <v>10000661</v>
      </c>
      <c r="L1266" t="str">
        <f>"10000661"</f>
        <v>10000661</v>
      </c>
      <c r="M1266" t="s">
        <v>75</v>
      </c>
      <c r="N1266" s="1">
        <v>42872.839583333334</v>
      </c>
      <c r="O1266" t="s">
        <v>19</v>
      </c>
    </row>
    <row r="1267" spans="1:15" x14ac:dyDescent="0.25">
      <c r="A1267" t="s">
        <v>1132</v>
      </c>
      <c r="B1267" t="s">
        <v>15</v>
      </c>
      <c r="C1267" t="s">
        <v>23</v>
      </c>
      <c r="D1267" t="s">
        <v>17</v>
      </c>
      <c r="E1267" t="s">
        <v>18</v>
      </c>
      <c r="F1267" t="s">
        <v>19</v>
      </c>
      <c r="G1267" t="s">
        <v>20</v>
      </c>
      <c r="J1267" t="s">
        <v>17</v>
      </c>
      <c r="K1267" t="str">
        <f>"46170714"</f>
        <v>46170714</v>
      </c>
      <c r="L1267" t="str">
        <f>"46170714"</f>
        <v>46170714</v>
      </c>
      <c r="M1267" t="s">
        <v>75</v>
      </c>
      <c r="N1267" s="1">
        <v>42872.839583333334</v>
      </c>
      <c r="O1267" t="s">
        <v>19</v>
      </c>
    </row>
    <row r="1268" spans="1:15" x14ac:dyDescent="0.25">
      <c r="A1268" t="s">
        <v>1133</v>
      </c>
      <c r="B1268" t="s">
        <v>15</v>
      </c>
      <c r="C1268" t="s">
        <v>23</v>
      </c>
      <c r="D1268" t="s">
        <v>17</v>
      </c>
      <c r="E1268" t="s">
        <v>18</v>
      </c>
      <c r="F1268" t="s">
        <v>19</v>
      </c>
      <c r="G1268" t="s">
        <v>20</v>
      </c>
      <c r="J1268" t="s">
        <v>17</v>
      </c>
      <c r="K1268" t="str">
        <f>"46170715"</f>
        <v>46170715</v>
      </c>
      <c r="L1268" t="str">
        <f>"46170715"</f>
        <v>46170715</v>
      </c>
      <c r="M1268" t="s">
        <v>75</v>
      </c>
      <c r="N1268" s="1">
        <v>42872.839583333334</v>
      </c>
      <c r="O1268" t="s">
        <v>19</v>
      </c>
    </row>
    <row r="1269" spans="1:15" x14ac:dyDescent="0.25">
      <c r="A1269" t="s">
        <v>1133</v>
      </c>
      <c r="B1269" t="s">
        <v>15</v>
      </c>
      <c r="C1269" t="s">
        <v>23</v>
      </c>
      <c r="D1269" t="s">
        <v>17</v>
      </c>
      <c r="E1269" t="s">
        <v>18</v>
      </c>
      <c r="F1269" t="s">
        <v>19</v>
      </c>
      <c r="G1269" t="s">
        <v>20</v>
      </c>
      <c r="J1269" t="s">
        <v>17</v>
      </c>
      <c r="K1269" t="str">
        <f>"3325201511641"</f>
        <v>3325201511641</v>
      </c>
      <c r="L1269" t="str">
        <f>"41080715"</f>
        <v>41080715</v>
      </c>
      <c r="M1269" t="s">
        <v>75</v>
      </c>
      <c r="N1269" s="1">
        <v>42895.72152777778</v>
      </c>
      <c r="O1269" t="s">
        <v>19</v>
      </c>
    </row>
    <row r="1270" spans="1:15" x14ac:dyDescent="0.25">
      <c r="A1270" t="s">
        <v>1134</v>
      </c>
      <c r="B1270" t="s">
        <v>15</v>
      </c>
      <c r="C1270" t="s">
        <v>23</v>
      </c>
      <c r="D1270" t="s">
        <v>17</v>
      </c>
      <c r="E1270" t="s">
        <v>18</v>
      </c>
      <c r="F1270" t="s">
        <v>19</v>
      </c>
      <c r="G1270" t="s">
        <v>20</v>
      </c>
      <c r="J1270" t="s">
        <v>17</v>
      </c>
      <c r="K1270" t="str">
        <f>"3008894"</f>
        <v>3008894</v>
      </c>
      <c r="L1270" t="str">
        <f>"3008894"</f>
        <v>3008894</v>
      </c>
      <c r="M1270" t="s">
        <v>75</v>
      </c>
      <c r="N1270" s="1">
        <v>42872.839583333334</v>
      </c>
      <c r="O1270" t="s">
        <v>19</v>
      </c>
    </row>
    <row r="1271" spans="1:15" x14ac:dyDescent="0.25">
      <c r="A1271" t="s">
        <v>1135</v>
      </c>
      <c r="B1271" t="s">
        <v>15</v>
      </c>
      <c r="C1271" t="s">
        <v>23</v>
      </c>
      <c r="D1271" t="s">
        <v>17</v>
      </c>
      <c r="E1271" t="s">
        <v>18</v>
      </c>
      <c r="F1271" t="s">
        <v>19</v>
      </c>
      <c r="G1271" t="s">
        <v>20</v>
      </c>
      <c r="J1271" t="s">
        <v>17</v>
      </c>
      <c r="K1271" t="str">
        <f>"41080717"</f>
        <v>41080717</v>
      </c>
      <c r="L1271" t="str">
        <f>"41080717"</f>
        <v>41080717</v>
      </c>
      <c r="M1271" t="s">
        <v>75</v>
      </c>
      <c r="N1271" s="1">
        <v>42895.729861111111</v>
      </c>
      <c r="O1271" t="s">
        <v>19</v>
      </c>
    </row>
    <row r="1272" spans="1:15" x14ac:dyDescent="0.25">
      <c r="A1272" t="s">
        <v>1136</v>
      </c>
      <c r="B1272" t="s">
        <v>15</v>
      </c>
      <c r="C1272" t="s">
        <v>23</v>
      </c>
      <c r="D1272" t="s">
        <v>17</v>
      </c>
      <c r="E1272" t="s">
        <v>18</v>
      </c>
      <c r="F1272" t="s">
        <v>19</v>
      </c>
      <c r="G1272" t="s">
        <v>20</v>
      </c>
      <c r="J1272" t="s">
        <v>17</v>
      </c>
      <c r="K1272" t="str">
        <f>"6974680032337"</f>
        <v>6974680032337</v>
      </c>
      <c r="L1272" t="str">
        <f>"10084198"</f>
        <v>10084198</v>
      </c>
      <c r="M1272" t="s">
        <v>75</v>
      </c>
      <c r="N1272" s="1">
        <v>42872.847222222219</v>
      </c>
      <c r="O1272" t="s">
        <v>19</v>
      </c>
    </row>
    <row r="1273" spans="1:15" x14ac:dyDescent="0.25">
      <c r="A1273" t="s">
        <v>1137</v>
      </c>
      <c r="B1273" t="s">
        <v>15</v>
      </c>
      <c r="C1273" t="s">
        <v>23</v>
      </c>
      <c r="D1273" t="s">
        <v>17</v>
      </c>
      <c r="E1273" t="s">
        <v>18</v>
      </c>
      <c r="F1273" t="s">
        <v>19</v>
      </c>
      <c r="G1273" t="s">
        <v>20</v>
      </c>
      <c r="J1273" t="s">
        <v>17</v>
      </c>
      <c r="K1273" t="str">
        <f>"86080717"</f>
        <v>86080717</v>
      </c>
      <c r="L1273" t="str">
        <f>"86080717"</f>
        <v>86080717</v>
      </c>
      <c r="M1273" t="s">
        <v>75</v>
      </c>
      <c r="N1273" s="1">
        <v>42965.655555555553</v>
      </c>
      <c r="O1273" t="s">
        <v>19</v>
      </c>
    </row>
    <row r="1274" spans="1:15" x14ac:dyDescent="0.25">
      <c r="A1274" t="s">
        <v>1138</v>
      </c>
      <c r="B1274" t="s">
        <v>15</v>
      </c>
      <c r="C1274" t="s">
        <v>23</v>
      </c>
      <c r="D1274" t="s">
        <v>17</v>
      </c>
      <c r="E1274" t="s">
        <v>18</v>
      </c>
      <c r="F1274" t="s">
        <v>19</v>
      </c>
      <c r="G1274" t="s">
        <v>20</v>
      </c>
      <c r="J1274" t="s">
        <v>17</v>
      </c>
      <c r="K1274" t="str">
        <f>"88090716"</f>
        <v>88090716</v>
      </c>
      <c r="L1274" t="str">
        <f>"88090716"</f>
        <v>88090716</v>
      </c>
      <c r="M1274" t="s">
        <v>75</v>
      </c>
      <c r="N1274" s="1">
        <v>42872.847222222219</v>
      </c>
      <c r="O1274" t="s">
        <v>19</v>
      </c>
    </row>
    <row r="1275" spans="1:15" x14ac:dyDescent="0.25">
      <c r="A1275" t="s">
        <v>1139</v>
      </c>
      <c r="B1275" t="s">
        <v>15</v>
      </c>
      <c r="C1275" t="s">
        <v>23</v>
      </c>
      <c r="D1275" t="s">
        <v>17</v>
      </c>
      <c r="E1275" t="s">
        <v>18</v>
      </c>
      <c r="F1275" t="s">
        <v>19</v>
      </c>
      <c r="G1275" t="s">
        <v>20</v>
      </c>
      <c r="J1275" t="s">
        <v>17</v>
      </c>
      <c r="K1275" t="str">
        <f>"6988889995553"</f>
        <v>6988889995553</v>
      </c>
      <c r="L1275" t="str">
        <f>"10004198"</f>
        <v>10004198</v>
      </c>
      <c r="M1275" t="s">
        <v>21</v>
      </c>
      <c r="N1275" s="1">
        <v>42872.839583333334</v>
      </c>
      <c r="O1275" t="s">
        <v>19</v>
      </c>
    </row>
    <row r="1276" spans="1:15" x14ac:dyDescent="0.25">
      <c r="A1276" t="s">
        <v>1140</v>
      </c>
      <c r="B1276" t="s">
        <v>15</v>
      </c>
      <c r="C1276" t="s">
        <v>23</v>
      </c>
      <c r="D1276" t="s">
        <v>17</v>
      </c>
      <c r="E1276" t="s">
        <v>18</v>
      </c>
      <c r="F1276" t="s">
        <v>19</v>
      </c>
      <c r="G1276" t="s">
        <v>20</v>
      </c>
      <c r="J1276" t="s">
        <v>17</v>
      </c>
      <c r="K1276" t="str">
        <f>"300810495"</f>
        <v>300810495</v>
      </c>
      <c r="L1276" t="str">
        <f>"300810495"</f>
        <v>300810495</v>
      </c>
      <c r="M1276" t="s">
        <v>75</v>
      </c>
      <c r="N1276" s="1">
        <v>42872.849305555559</v>
      </c>
      <c r="O1276" t="s">
        <v>19</v>
      </c>
    </row>
    <row r="1277" spans="1:15" x14ac:dyDescent="0.25">
      <c r="A1277" t="s">
        <v>1141</v>
      </c>
      <c r="B1277" t="s">
        <v>15</v>
      </c>
      <c r="C1277" t="s">
        <v>23</v>
      </c>
      <c r="D1277" t="s">
        <v>17</v>
      </c>
      <c r="E1277" t="s">
        <v>18</v>
      </c>
      <c r="F1277" t="s">
        <v>19</v>
      </c>
      <c r="G1277" t="s">
        <v>20</v>
      </c>
      <c r="J1277" t="s">
        <v>17</v>
      </c>
      <c r="K1277" t="str">
        <f>"10001205"</f>
        <v>10001205</v>
      </c>
      <c r="L1277" t="str">
        <f>"10001205"</f>
        <v>10001205</v>
      </c>
      <c r="M1277" t="s">
        <v>75</v>
      </c>
      <c r="N1277" s="1">
        <v>42872.839583333334</v>
      </c>
      <c r="O1277" t="s">
        <v>19</v>
      </c>
    </row>
    <row r="1278" spans="1:15" x14ac:dyDescent="0.25">
      <c r="A1278" t="s">
        <v>1142</v>
      </c>
      <c r="B1278" t="s">
        <v>15</v>
      </c>
      <c r="C1278" t="s">
        <v>23</v>
      </c>
      <c r="D1278" t="s">
        <v>17</v>
      </c>
      <c r="E1278" t="s">
        <v>18</v>
      </c>
      <c r="F1278" t="s">
        <v>19</v>
      </c>
      <c r="G1278" t="s">
        <v>20</v>
      </c>
      <c r="J1278" t="s">
        <v>17</v>
      </c>
      <c r="K1278" t="str">
        <f>"8017040505725"</f>
        <v>8017040505725</v>
      </c>
      <c r="L1278" t="str">
        <f>"30089414"</f>
        <v>30089414</v>
      </c>
      <c r="M1278" t="s">
        <v>75</v>
      </c>
      <c r="N1278" s="1">
        <v>42872.849305555559</v>
      </c>
      <c r="O1278" t="s">
        <v>19</v>
      </c>
    </row>
    <row r="1279" spans="1:15" x14ac:dyDescent="0.25">
      <c r="A1279" t="s">
        <v>1143</v>
      </c>
      <c r="B1279" t="s">
        <v>15</v>
      </c>
      <c r="C1279" t="s">
        <v>23</v>
      </c>
      <c r="D1279" t="s">
        <v>17</v>
      </c>
      <c r="E1279" t="s">
        <v>18</v>
      </c>
      <c r="F1279" t="s">
        <v>19</v>
      </c>
      <c r="G1279" t="s">
        <v>20</v>
      </c>
      <c r="J1279" t="s">
        <v>17</v>
      </c>
      <c r="K1279" t="str">
        <f>"66791339"</f>
        <v>66791339</v>
      </c>
      <c r="L1279" t="str">
        <f>"66791339"</f>
        <v>66791339</v>
      </c>
      <c r="M1279" t="s">
        <v>75</v>
      </c>
      <c r="N1279" s="1">
        <v>42872.847222222219</v>
      </c>
      <c r="O1279" t="s">
        <v>19</v>
      </c>
    </row>
    <row r="1280" spans="1:15" x14ac:dyDescent="0.25">
      <c r="A1280" t="s">
        <v>1144</v>
      </c>
      <c r="B1280" t="s">
        <v>15</v>
      </c>
      <c r="C1280" t="s">
        <v>23</v>
      </c>
      <c r="D1280" t="s">
        <v>17</v>
      </c>
      <c r="E1280" t="s">
        <v>18</v>
      </c>
      <c r="F1280" t="s">
        <v>19</v>
      </c>
      <c r="G1280" t="s">
        <v>20</v>
      </c>
      <c r="J1280" t="s">
        <v>17</v>
      </c>
      <c r="K1280" t="str">
        <f>"1719121"</f>
        <v>1719121</v>
      </c>
      <c r="L1280" t="str">
        <f>"76080285"</f>
        <v>76080285</v>
      </c>
      <c r="M1280" t="s">
        <v>75</v>
      </c>
      <c r="N1280" s="1">
        <v>43006.65</v>
      </c>
      <c r="O1280" t="s">
        <v>19</v>
      </c>
    </row>
    <row r="1281" spans="1:15" x14ac:dyDescent="0.25">
      <c r="A1281" t="s">
        <v>1145</v>
      </c>
      <c r="B1281" t="s">
        <v>15</v>
      </c>
      <c r="C1281" t="s">
        <v>23</v>
      </c>
      <c r="D1281" t="s">
        <v>17</v>
      </c>
      <c r="E1281" t="s">
        <v>18</v>
      </c>
      <c r="F1281" t="s">
        <v>19</v>
      </c>
      <c r="G1281" t="s">
        <v>20</v>
      </c>
      <c r="J1281" t="s">
        <v>17</v>
      </c>
      <c r="K1281" t="str">
        <f>"303010495"</f>
        <v>303010495</v>
      </c>
      <c r="L1281" t="str">
        <f>"303010495"</f>
        <v>303010495</v>
      </c>
      <c r="M1281" t="s">
        <v>75</v>
      </c>
      <c r="N1281" s="1">
        <v>42872.849305555559</v>
      </c>
      <c r="O1281" t="s">
        <v>19</v>
      </c>
    </row>
    <row r="1282" spans="1:15" x14ac:dyDescent="0.25">
      <c r="A1282" t="s">
        <v>1146</v>
      </c>
      <c r="B1282" t="s">
        <v>15</v>
      </c>
      <c r="C1282" t="s">
        <v>23</v>
      </c>
      <c r="D1282" t="s">
        <v>17</v>
      </c>
      <c r="E1282" t="s">
        <v>18</v>
      </c>
      <c r="F1282" t="s">
        <v>19</v>
      </c>
      <c r="G1282" t="s">
        <v>20</v>
      </c>
      <c r="J1282" t="s">
        <v>17</v>
      </c>
      <c r="K1282" t="str">
        <f>"86080716"</f>
        <v>86080716</v>
      </c>
      <c r="L1282" t="str">
        <f>"86080716"</f>
        <v>86080716</v>
      </c>
      <c r="M1282" t="s">
        <v>75</v>
      </c>
      <c r="N1282" s="1">
        <v>42936.736111111109</v>
      </c>
      <c r="O1282" t="s">
        <v>19</v>
      </c>
    </row>
    <row r="1283" spans="1:15" x14ac:dyDescent="0.25">
      <c r="A1283" t="s">
        <v>1147</v>
      </c>
      <c r="B1283" t="s">
        <v>15</v>
      </c>
      <c r="C1283" t="s">
        <v>23</v>
      </c>
      <c r="D1283" t="s">
        <v>17</v>
      </c>
      <c r="E1283" t="s">
        <v>18</v>
      </c>
      <c r="F1283" t="s">
        <v>19</v>
      </c>
      <c r="G1283" t="s">
        <v>20</v>
      </c>
      <c r="J1283" t="s">
        <v>17</v>
      </c>
      <c r="K1283" t="str">
        <f>"87000259"</f>
        <v>87000259</v>
      </c>
      <c r="L1283" t="str">
        <f>"87000259"</f>
        <v>87000259</v>
      </c>
      <c r="M1283" t="s">
        <v>75</v>
      </c>
      <c r="N1283" s="1">
        <v>42872.847222222219</v>
      </c>
      <c r="O1283" t="s">
        <v>19</v>
      </c>
    </row>
    <row r="1284" spans="1:15" x14ac:dyDescent="0.25">
      <c r="A1284" t="s">
        <v>1148</v>
      </c>
      <c r="B1284" t="s">
        <v>15</v>
      </c>
      <c r="C1284" t="s">
        <v>23</v>
      </c>
      <c r="D1284" t="s">
        <v>17</v>
      </c>
      <c r="E1284" t="s">
        <v>18</v>
      </c>
      <c r="F1284" t="s">
        <v>19</v>
      </c>
      <c r="G1284" t="s">
        <v>20</v>
      </c>
      <c r="J1284" t="s">
        <v>17</v>
      </c>
      <c r="K1284" t="str">
        <f>"005140"</f>
        <v>005140</v>
      </c>
      <c r="L1284" t="str">
        <f>"33080715"</f>
        <v>33080715</v>
      </c>
      <c r="M1284" t="s">
        <v>75</v>
      </c>
      <c r="N1284" s="1">
        <v>43046.627083333333</v>
      </c>
      <c r="O1284" t="s">
        <v>19</v>
      </c>
    </row>
    <row r="1285" spans="1:15" x14ac:dyDescent="0.25">
      <c r="A1285" t="s">
        <v>1149</v>
      </c>
      <c r="B1285" t="s">
        <v>15</v>
      </c>
      <c r="C1285" t="s">
        <v>23</v>
      </c>
      <c r="D1285" t="s">
        <v>17</v>
      </c>
      <c r="E1285" t="s">
        <v>18</v>
      </c>
      <c r="F1285" t="s">
        <v>19</v>
      </c>
      <c r="G1285" t="s">
        <v>20</v>
      </c>
      <c r="J1285" t="s">
        <v>17</v>
      </c>
      <c r="K1285" t="str">
        <f>"79ORGMD819"</f>
        <v>79ORGMD819</v>
      </c>
      <c r="L1285" t="str">
        <f>"79ORGMD819"</f>
        <v>79ORGMD819</v>
      </c>
      <c r="M1285" t="s">
        <v>21</v>
      </c>
      <c r="N1285" s="1">
        <v>44265.724999999999</v>
      </c>
      <c r="O1285" t="s">
        <v>19</v>
      </c>
    </row>
    <row r="1286" spans="1:15" x14ac:dyDescent="0.25">
      <c r="A1286" t="s">
        <v>1150</v>
      </c>
      <c r="B1286" t="s">
        <v>15</v>
      </c>
      <c r="C1286" t="s">
        <v>31</v>
      </c>
      <c r="D1286" t="s">
        <v>17</v>
      </c>
      <c r="E1286" t="s">
        <v>18</v>
      </c>
      <c r="F1286" t="s">
        <v>19</v>
      </c>
      <c r="G1286" t="s">
        <v>20</v>
      </c>
      <c r="J1286" t="s">
        <v>17</v>
      </c>
      <c r="K1286" t="str">
        <f>"40088853"</f>
        <v>40088853</v>
      </c>
      <c r="L1286" t="str">
        <f>"40088853"</f>
        <v>40088853</v>
      </c>
      <c r="M1286" t="s">
        <v>21</v>
      </c>
      <c r="N1286" s="1">
        <v>44306.877083333333</v>
      </c>
      <c r="O1286" t="s">
        <v>19</v>
      </c>
    </row>
    <row r="1287" spans="1:15" x14ac:dyDescent="0.25">
      <c r="A1287" t="s">
        <v>1151</v>
      </c>
      <c r="B1287" t="s">
        <v>15</v>
      </c>
      <c r="C1287" t="s">
        <v>23</v>
      </c>
      <c r="D1287" t="s">
        <v>17</v>
      </c>
      <c r="E1287" t="s">
        <v>18</v>
      </c>
      <c r="F1287" t="s">
        <v>19</v>
      </c>
      <c r="G1287" t="s">
        <v>20</v>
      </c>
      <c r="J1287" t="s">
        <v>17</v>
      </c>
      <c r="K1287" t="str">
        <f>"8435350768430"</f>
        <v>8435350768430</v>
      </c>
      <c r="L1287" t="str">
        <f>"85080103"</f>
        <v>85080103</v>
      </c>
      <c r="M1287" t="s">
        <v>84</v>
      </c>
      <c r="N1287" s="1">
        <v>43347.85</v>
      </c>
      <c r="O1287" t="s">
        <v>19</v>
      </c>
    </row>
    <row r="1288" spans="1:15" x14ac:dyDescent="0.25">
      <c r="A1288" t="s">
        <v>1152</v>
      </c>
      <c r="B1288" t="s">
        <v>15</v>
      </c>
      <c r="C1288" t="s">
        <v>23</v>
      </c>
      <c r="D1288" t="s">
        <v>17</v>
      </c>
      <c r="E1288" t="s">
        <v>18</v>
      </c>
      <c r="F1288" t="s">
        <v>19</v>
      </c>
      <c r="G1288" t="s">
        <v>20</v>
      </c>
      <c r="J1288" t="s">
        <v>17</v>
      </c>
      <c r="K1288" t="str">
        <f>"860807253"</f>
        <v>860807253</v>
      </c>
      <c r="L1288" t="str">
        <f>"860807253"</f>
        <v>860807253</v>
      </c>
      <c r="M1288" t="s">
        <v>75</v>
      </c>
      <c r="N1288" s="1">
        <v>43136.652777777781</v>
      </c>
      <c r="O1288" t="s">
        <v>19</v>
      </c>
    </row>
    <row r="1289" spans="1:15" x14ac:dyDescent="0.25">
      <c r="A1289" t="s">
        <v>1153</v>
      </c>
      <c r="B1289" t="s">
        <v>15</v>
      </c>
      <c r="C1289" t="s">
        <v>23</v>
      </c>
      <c r="D1289" t="s">
        <v>17</v>
      </c>
      <c r="E1289" t="s">
        <v>18</v>
      </c>
      <c r="F1289" t="s">
        <v>19</v>
      </c>
      <c r="G1289" t="s">
        <v>20</v>
      </c>
      <c r="J1289" t="s">
        <v>17</v>
      </c>
      <c r="K1289" t="str">
        <f>"33085140"</f>
        <v>33085140</v>
      </c>
      <c r="L1289" t="str">
        <f>"33085140"</f>
        <v>33085140</v>
      </c>
      <c r="M1289" t="s">
        <v>75</v>
      </c>
      <c r="N1289" s="1">
        <v>43131.675694444442</v>
      </c>
      <c r="O1289" t="s">
        <v>19</v>
      </c>
    </row>
    <row r="1290" spans="1:15" x14ac:dyDescent="0.25">
      <c r="A1290" t="s">
        <v>1154</v>
      </c>
      <c r="B1290" t="s">
        <v>15</v>
      </c>
      <c r="C1290" t="s">
        <v>23</v>
      </c>
      <c r="D1290" t="s">
        <v>17</v>
      </c>
      <c r="E1290" t="s">
        <v>18</v>
      </c>
      <c r="F1290" t="s">
        <v>19</v>
      </c>
      <c r="G1290" t="s">
        <v>20</v>
      </c>
      <c r="J1290" t="s">
        <v>17</v>
      </c>
      <c r="K1290" t="str">
        <f>"7858816066870"</f>
        <v>7858816066870</v>
      </c>
      <c r="L1290" t="str">
        <f>"87086687"</f>
        <v>87086687</v>
      </c>
      <c r="M1290" t="s">
        <v>21</v>
      </c>
      <c r="N1290" s="1">
        <v>43853.65347222222</v>
      </c>
      <c r="O1290" t="s">
        <v>19</v>
      </c>
    </row>
    <row r="1291" spans="1:15" x14ac:dyDescent="0.25">
      <c r="A1291" t="s">
        <v>1155</v>
      </c>
      <c r="B1291" t="s">
        <v>15</v>
      </c>
      <c r="C1291" t="s">
        <v>23</v>
      </c>
      <c r="D1291" t="s">
        <v>17</v>
      </c>
      <c r="E1291" t="s">
        <v>18</v>
      </c>
      <c r="F1291" t="s">
        <v>19</v>
      </c>
      <c r="G1291" t="s">
        <v>20</v>
      </c>
      <c r="J1291" t="s">
        <v>17</v>
      </c>
      <c r="K1291" t="str">
        <f>"49081400"</f>
        <v>49081400</v>
      </c>
      <c r="L1291" t="str">
        <f>"49081400"</f>
        <v>49081400</v>
      </c>
      <c r="M1291" t="s">
        <v>75</v>
      </c>
      <c r="N1291" s="1">
        <v>42894.763194444444</v>
      </c>
      <c r="O1291" t="s">
        <v>19</v>
      </c>
    </row>
    <row r="1292" spans="1:15" x14ac:dyDescent="0.25">
      <c r="A1292" t="s">
        <v>1156</v>
      </c>
      <c r="B1292" t="s">
        <v>15</v>
      </c>
      <c r="C1292" t="s">
        <v>23</v>
      </c>
      <c r="D1292" t="s">
        <v>17</v>
      </c>
      <c r="E1292" t="s">
        <v>18</v>
      </c>
      <c r="F1292" t="s">
        <v>19</v>
      </c>
      <c r="G1292" t="s">
        <v>20</v>
      </c>
      <c r="J1292" t="s">
        <v>17</v>
      </c>
      <c r="K1292" t="str">
        <f>"49080716"</f>
        <v>49080716</v>
      </c>
      <c r="L1292" t="str">
        <f>"49080716"</f>
        <v>49080716</v>
      </c>
      <c r="M1292" t="s">
        <v>75</v>
      </c>
      <c r="N1292" s="1">
        <v>42894.736111111109</v>
      </c>
      <c r="O1292" t="s">
        <v>19</v>
      </c>
    </row>
    <row r="1293" spans="1:15" x14ac:dyDescent="0.25">
      <c r="A1293" t="s">
        <v>1157</v>
      </c>
      <c r="B1293" t="s">
        <v>15</v>
      </c>
      <c r="C1293" t="s">
        <v>23</v>
      </c>
      <c r="D1293" t="s">
        <v>17</v>
      </c>
      <c r="E1293" t="s">
        <v>18</v>
      </c>
      <c r="F1293" t="s">
        <v>19</v>
      </c>
      <c r="G1293" t="s">
        <v>20</v>
      </c>
      <c r="J1293" t="s">
        <v>17</v>
      </c>
      <c r="K1293" t="str">
        <f>"507241"</f>
        <v>507241</v>
      </c>
      <c r="L1293" t="str">
        <f>"76127241"</f>
        <v>76127241</v>
      </c>
      <c r="M1293" t="s">
        <v>75</v>
      </c>
      <c r="N1293" s="1">
        <v>43132.758333333331</v>
      </c>
      <c r="O1293" t="s">
        <v>19</v>
      </c>
    </row>
    <row r="1294" spans="1:15" x14ac:dyDescent="0.25">
      <c r="A1294" t="s">
        <v>1158</v>
      </c>
      <c r="B1294" t="s">
        <v>15</v>
      </c>
      <c r="C1294" t="s">
        <v>23</v>
      </c>
      <c r="D1294" t="s">
        <v>17</v>
      </c>
      <c r="E1294" t="s">
        <v>18</v>
      </c>
      <c r="F1294" t="s">
        <v>19</v>
      </c>
      <c r="G1294" t="s">
        <v>20</v>
      </c>
      <c r="J1294" t="s">
        <v>18</v>
      </c>
      <c r="K1294" t="str">
        <f>"7858816016332"</f>
        <v>7858816016332</v>
      </c>
      <c r="L1294" t="str">
        <f>"87081633"</f>
        <v>87081633</v>
      </c>
      <c r="M1294" t="s">
        <v>84</v>
      </c>
      <c r="N1294" s="1">
        <v>43369.915972222225</v>
      </c>
      <c r="O1294" t="s">
        <v>19</v>
      </c>
    </row>
    <row r="1295" spans="1:15" x14ac:dyDescent="0.25">
      <c r="A1295" t="s">
        <v>1159</v>
      </c>
      <c r="B1295" t="s">
        <v>15</v>
      </c>
      <c r="C1295" t="s">
        <v>31</v>
      </c>
      <c r="D1295" t="s">
        <v>17</v>
      </c>
      <c r="E1295" t="s">
        <v>18</v>
      </c>
      <c r="F1295" t="s">
        <v>19</v>
      </c>
      <c r="G1295" t="s">
        <v>20</v>
      </c>
      <c r="J1295" t="s">
        <v>17</v>
      </c>
      <c r="K1295" t="str">
        <f>"8712581622558"</f>
        <v>8712581622558</v>
      </c>
      <c r="L1295" t="str">
        <f>"98081604"</f>
        <v>98081604</v>
      </c>
      <c r="M1295" t="s">
        <v>75</v>
      </c>
      <c r="N1295" s="1">
        <v>43236.681944444441</v>
      </c>
      <c r="O1295" t="s">
        <v>19</v>
      </c>
    </row>
    <row r="1296" spans="1:15" x14ac:dyDescent="0.25">
      <c r="A1296" t="s">
        <v>1160</v>
      </c>
      <c r="B1296" t="s">
        <v>15</v>
      </c>
      <c r="C1296" t="s">
        <v>23</v>
      </c>
      <c r="D1296" t="s">
        <v>17</v>
      </c>
      <c r="E1296" t="s">
        <v>18</v>
      </c>
      <c r="F1296" t="s">
        <v>19</v>
      </c>
      <c r="G1296" t="s">
        <v>20</v>
      </c>
      <c r="J1296" t="s">
        <v>17</v>
      </c>
      <c r="K1296" t="str">
        <f>"45170500"</f>
        <v>45170500</v>
      </c>
      <c r="L1296" t="str">
        <f>"45170500"</f>
        <v>45170500</v>
      </c>
      <c r="M1296" t="s">
        <v>75</v>
      </c>
      <c r="N1296" s="1">
        <v>42872.839583333334</v>
      </c>
      <c r="O1296" t="s">
        <v>19</v>
      </c>
    </row>
    <row r="1297" spans="1:15" x14ac:dyDescent="0.25">
      <c r="A1297" t="s">
        <v>1161</v>
      </c>
      <c r="B1297" t="s">
        <v>15</v>
      </c>
      <c r="C1297" t="s">
        <v>35</v>
      </c>
      <c r="D1297" t="s">
        <v>17</v>
      </c>
      <c r="E1297" t="s">
        <v>18</v>
      </c>
      <c r="F1297" t="s">
        <v>19</v>
      </c>
      <c r="G1297" t="s">
        <v>20</v>
      </c>
      <c r="J1297" t="s">
        <v>17</v>
      </c>
      <c r="K1297" t="str">
        <f>"4710007713204"</f>
        <v>4710007713204</v>
      </c>
      <c r="L1297" t="str">
        <f>"65083204"</f>
        <v>65083204</v>
      </c>
      <c r="M1297" t="s">
        <v>75</v>
      </c>
      <c r="N1297" s="1">
        <v>43029.656944444447</v>
      </c>
      <c r="O1297" t="s">
        <v>19</v>
      </c>
    </row>
    <row r="1298" spans="1:15" x14ac:dyDescent="0.25">
      <c r="A1298" t="s">
        <v>1162</v>
      </c>
      <c r="B1298" t="s">
        <v>15</v>
      </c>
      <c r="C1298" t="s">
        <v>31</v>
      </c>
      <c r="D1298" t="s">
        <v>17</v>
      </c>
      <c r="E1298" t="s">
        <v>18</v>
      </c>
      <c r="F1298" t="s">
        <v>19</v>
      </c>
      <c r="G1298" t="s">
        <v>20</v>
      </c>
      <c r="J1298" t="s">
        <v>17</v>
      </c>
      <c r="K1298" t="str">
        <f>"7858816052118"</f>
        <v>7858816052118</v>
      </c>
      <c r="L1298" t="str">
        <f>"87085211"</f>
        <v>87085211</v>
      </c>
      <c r="M1298" t="s">
        <v>84</v>
      </c>
      <c r="N1298" s="1">
        <v>43446.875694444447</v>
      </c>
      <c r="O1298" t="s">
        <v>19</v>
      </c>
    </row>
    <row r="1299" spans="1:15" x14ac:dyDescent="0.25">
      <c r="A1299" t="s">
        <v>1163</v>
      </c>
      <c r="B1299" t="s">
        <v>15</v>
      </c>
      <c r="C1299" t="s">
        <v>31</v>
      </c>
      <c r="D1299" t="s">
        <v>17</v>
      </c>
      <c r="E1299" t="s">
        <v>18</v>
      </c>
      <c r="F1299" t="s">
        <v>19</v>
      </c>
      <c r="G1299" t="s">
        <v>20</v>
      </c>
      <c r="J1299" t="s">
        <v>17</v>
      </c>
      <c r="K1299" t="str">
        <f>"8712581622565"</f>
        <v>8712581622565</v>
      </c>
      <c r="L1299" t="str">
        <f>"98082472"</f>
        <v>98082472</v>
      </c>
      <c r="M1299" t="s">
        <v>84</v>
      </c>
      <c r="N1299" s="1">
        <v>43404.622916666667</v>
      </c>
      <c r="O1299" t="s">
        <v>19</v>
      </c>
    </row>
    <row r="1300" spans="1:15" x14ac:dyDescent="0.25">
      <c r="A1300" t="s">
        <v>1164</v>
      </c>
      <c r="B1300" t="s">
        <v>15</v>
      </c>
      <c r="C1300" t="s">
        <v>31</v>
      </c>
      <c r="D1300" t="s">
        <v>17</v>
      </c>
      <c r="E1300" t="s">
        <v>18</v>
      </c>
      <c r="F1300" t="s">
        <v>19</v>
      </c>
      <c r="G1300" t="s">
        <v>20</v>
      </c>
      <c r="J1300" t="s">
        <v>17</v>
      </c>
      <c r="K1300" t="str">
        <f>"5620000931774"</f>
        <v>5620000931774</v>
      </c>
      <c r="L1300" t="str">
        <f>"280893177"</f>
        <v>280893177</v>
      </c>
      <c r="M1300" t="s">
        <v>84</v>
      </c>
      <c r="N1300" s="1">
        <v>43335.851388888892</v>
      </c>
      <c r="O1300" t="s">
        <v>19</v>
      </c>
    </row>
    <row r="1301" spans="1:15" x14ac:dyDescent="0.25">
      <c r="A1301" t="s">
        <v>1165</v>
      </c>
      <c r="B1301" t="s">
        <v>15</v>
      </c>
      <c r="C1301" t="s">
        <v>31</v>
      </c>
      <c r="D1301" t="s">
        <v>17</v>
      </c>
      <c r="E1301" t="s">
        <v>18</v>
      </c>
      <c r="F1301" t="s">
        <v>19</v>
      </c>
      <c r="G1301" t="s">
        <v>20</v>
      </c>
      <c r="J1301" t="s">
        <v>17</v>
      </c>
      <c r="K1301" t="str">
        <f>"6686996002392"</f>
        <v>6686996002392</v>
      </c>
      <c r="L1301" t="str">
        <f>"40080920"</f>
        <v>40080920</v>
      </c>
      <c r="M1301" t="s">
        <v>21</v>
      </c>
      <c r="N1301" s="1">
        <v>44225.831250000003</v>
      </c>
      <c r="O1301" t="s">
        <v>19</v>
      </c>
    </row>
    <row r="1302" spans="1:15" x14ac:dyDescent="0.25">
      <c r="A1302" t="s">
        <v>1166</v>
      </c>
      <c r="B1302" t="s">
        <v>15</v>
      </c>
      <c r="C1302" t="s">
        <v>31</v>
      </c>
      <c r="D1302" t="s">
        <v>17</v>
      </c>
      <c r="E1302" t="s">
        <v>18</v>
      </c>
      <c r="F1302" t="s">
        <v>19</v>
      </c>
      <c r="G1302" t="s">
        <v>20</v>
      </c>
      <c r="J1302" t="s">
        <v>17</v>
      </c>
      <c r="K1302" t="str">
        <f>"6686996002408"</f>
        <v>6686996002408</v>
      </c>
      <c r="L1302" t="str">
        <f>"40082029"</f>
        <v>40082029</v>
      </c>
      <c r="M1302" t="s">
        <v>21</v>
      </c>
      <c r="N1302" s="1">
        <v>44225.831944444442</v>
      </c>
      <c r="O1302" t="s">
        <v>19</v>
      </c>
    </row>
    <row r="1303" spans="1:15" x14ac:dyDescent="0.25">
      <c r="A1303" t="s">
        <v>1167</v>
      </c>
      <c r="B1303" t="s">
        <v>15</v>
      </c>
      <c r="C1303" t="s">
        <v>31</v>
      </c>
      <c r="D1303" t="s">
        <v>17</v>
      </c>
      <c r="E1303" t="s">
        <v>18</v>
      </c>
      <c r="F1303" t="s">
        <v>19</v>
      </c>
      <c r="G1303" t="s">
        <v>20</v>
      </c>
      <c r="J1303" t="s">
        <v>17</v>
      </c>
      <c r="K1303" t="str">
        <f>"10080575"</f>
        <v>10080575</v>
      </c>
      <c r="L1303" t="str">
        <f>"10080575"</f>
        <v>10080575</v>
      </c>
      <c r="M1303" t="s">
        <v>75</v>
      </c>
      <c r="N1303" s="1">
        <v>43110.945833333331</v>
      </c>
      <c r="O1303" t="s">
        <v>19</v>
      </c>
    </row>
    <row r="1304" spans="1:15" x14ac:dyDescent="0.25">
      <c r="A1304" t="s">
        <v>1168</v>
      </c>
      <c r="B1304" t="s">
        <v>15</v>
      </c>
      <c r="C1304" t="s">
        <v>31</v>
      </c>
      <c r="D1304" t="s">
        <v>17</v>
      </c>
      <c r="E1304" t="s">
        <v>18</v>
      </c>
      <c r="F1304" t="s">
        <v>19</v>
      </c>
      <c r="G1304" t="s">
        <v>20</v>
      </c>
      <c r="J1304" t="s">
        <v>17</v>
      </c>
      <c r="K1304" t="str">
        <f>"7858816060113"</f>
        <v>7858816060113</v>
      </c>
      <c r="L1304" t="str">
        <f>"87086011"</f>
        <v>87086011</v>
      </c>
      <c r="M1304" t="s">
        <v>21</v>
      </c>
      <c r="N1304" s="1">
        <v>43889.864583333336</v>
      </c>
      <c r="O1304" t="s">
        <v>19</v>
      </c>
    </row>
    <row r="1305" spans="1:15" x14ac:dyDescent="0.25">
      <c r="A1305" t="s">
        <v>1169</v>
      </c>
      <c r="B1305" t="s">
        <v>15</v>
      </c>
      <c r="C1305" t="s">
        <v>31</v>
      </c>
      <c r="D1305" t="s">
        <v>17</v>
      </c>
      <c r="E1305" t="s">
        <v>18</v>
      </c>
      <c r="F1305" t="s">
        <v>19</v>
      </c>
      <c r="G1305" t="s">
        <v>20</v>
      </c>
      <c r="J1305" t="s">
        <v>17</v>
      </c>
      <c r="K1305" t="str">
        <f>"7858816044731"</f>
        <v>7858816044731</v>
      </c>
      <c r="L1305" t="str">
        <f>"87084473"</f>
        <v>87084473</v>
      </c>
      <c r="M1305" t="s">
        <v>84</v>
      </c>
      <c r="N1305" s="1">
        <v>43281.686805555553</v>
      </c>
      <c r="O1305" t="s">
        <v>19</v>
      </c>
    </row>
    <row r="1306" spans="1:15" x14ac:dyDescent="0.25">
      <c r="A1306" t="s">
        <v>1170</v>
      </c>
      <c r="B1306" t="s">
        <v>15</v>
      </c>
      <c r="C1306" t="s">
        <v>31</v>
      </c>
      <c r="D1306" t="s">
        <v>17</v>
      </c>
      <c r="E1306" t="s">
        <v>18</v>
      </c>
      <c r="F1306" t="s">
        <v>19</v>
      </c>
      <c r="G1306" t="s">
        <v>20</v>
      </c>
      <c r="J1306" t="s">
        <v>17</v>
      </c>
      <c r="K1306" t="str">
        <f>"8765301244561"</f>
        <v>8765301244561</v>
      </c>
      <c r="L1306" t="str">
        <f>"31TLK00218"</f>
        <v>31TLK00218</v>
      </c>
      <c r="M1306" t="s">
        <v>21</v>
      </c>
      <c r="N1306" s="1">
        <v>43805.822222222225</v>
      </c>
      <c r="O1306" t="s">
        <v>19</v>
      </c>
    </row>
    <row r="1307" spans="1:15" x14ac:dyDescent="0.25">
      <c r="A1307" t="s">
        <v>1171</v>
      </c>
      <c r="B1307" t="s">
        <v>15</v>
      </c>
      <c r="C1307" t="s">
        <v>23</v>
      </c>
      <c r="D1307" t="s">
        <v>17</v>
      </c>
      <c r="E1307" t="s">
        <v>18</v>
      </c>
      <c r="F1307" t="s">
        <v>19</v>
      </c>
      <c r="G1307" t="s">
        <v>20</v>
      </c>
      <c r="J1307" t="s">
        <v>17</v>
      </c>
      <c r="K1307" t="str">
        <f>"57080700"</f>
        <v>57080700</v>
      </c>
      <c r="L1307" t="str">
        <f>"57080700"</f>
        <v>57080700</v>
      </c>
      <c r="M1307" t="s">
        <v>21</v>
      </c>
      <c r="N1307" s="1">
        <v>43064.776388888888</v>
      </c>
      <c r="O1307" t="s">
        <v>19</v>
      </c>
    </row>
    <row r="1308" spans="1:15" x14ac:dyDescent="0.25">
      <c r="A1308" t="s">
        <v>1172</v>
      </c>
      <c r="B1308" t="s">
        <v>15</v>
      </c>
      <c r="C1308" t="s">
        <v>23</v>
      </c>
      <c r="D1308" t="s">
        <v>17</v>
      </c>
      <c r="E1308" t="s">
        <v>18</v>
      </c>
      <c r="F1308" t="s">
        <v>19</v>
      </c>
      <c r="G1308" t="s">
        <v>20</v>
      </c>
      <c r="J1308" t="s">
        <v>17</v>
      </c>
      <c r="K1308" t="str">
        <f>"6922175183354"</f>
        <v>6922175183354</v>
      </c>
      <c r="L1308" t="str">
        <f>"110110184"</f>
        <v>110110184</v>
      </c>
      <c r="M1308" t="s">
        <v>75</v>
      </c>
      <c r="N1308" s="1">
        <v>42872.847222222219</v>
      </c>
      <c r="O1308" t="s">
        <v>19</v>
      </c>
    </row>
    <row r="1309" spans="1:15" x14ac:dyDescent="0.25">
      <c r="A1309" t="s">
        <v>1173</v>
      </c>
      <c r="B1309" t="s">
        <v>15</v>
      </c>
      <c r="C1309" t="s">
        <v>23</v>
      </c>
      <c r="D1309" t="s">
        <v>17</v>
      </c>
      <c r="E1309" t="s">
        <v>18</v>
      </c>
      <c r="F1309" t="s">
        <v>19</v>
      </c>
      <c r="G1309" t="s">
        <v>20</v>
      </c>
      <c r="J1309" t="s">
        <v>17</v>
      </c>
      <c r="K1309" t="str">
        <f>"87011955"</f>
        <v>87011955</v>
      </c>
      <c r="L1309" t="str">
        <f>"87011955"</f>
        <v>87011955</v>
      </c>
      <c r="M1309" t="s">
        <v>75</v>
      </c>
      <c r="N1309" s="1">
        <v>42872.847222222219</v>
      </c>
      <c r="O1309" t="s">
        <v>19</v>
      </c>
    </row>
    <row r="1310" spans="1:15" x14ac:dyDescent="0.25">
      <c r="A1310" t="s">
        <v>1174</v>
      </c>
      <c r="B1310" t="s">
        <v>15</v>
      </c>
      <c r="C1310" t="s">
        <v>31</v>
      </c>
      <c r="D1310" t="s">
        <v>17</v>
      </c>
      <c r="E1310" t="s">
        <v>18</v>
      </c>
      <c r="F1310" t="s">
        <v>19</v>
      </c>
      <c r="G1310" t="s">
        <v>20</v>
      </c>
      <c r="J1310" t="s">
        <v>17</v>
      </c>
      <c r="K1310" t="str">
        <f>"5620000011216"</f>
        <v>5620000011216</v>
      </c>
      <c r="L1310" t="str">
        <f>"28081121"</f>
        <v>28081121</v>
      </c>
      <c r="M1310" t="s">
        <v>84</v>
      </c>
      <c r="N1310" s="1">
        <v>43335.849305555559</v>
      </c>
      <c r="O1310" t="s">
        <v>19</v>
      </c>
    </row>
    <row r="1311" spans="1:15" x14ac:dyDescent="0.25">
      <c r="A1311" t="s">
        <v>1175</v>
      </c>
      <c r="B1311" t="s">
        <v>15</v>
      </c>
      <c r="C1311" t="s">
        <v>31</v>
      </c>
      <c r="D1311" t="s">
        <v>17</v>
      </c>
      <c r="E1311" t="s">
        <v>18</v>
      </c>
      <c r="F1311" t="s">
        <v>19</v>
      </c>
      <c r="G1311" t="s">
        <v>20</v>
      </c>
      <c r="J1311" t="s">
        <v>17</v>
      </c>
      <c r="K1311" t="str">
        <f>"5626890011084"</f>
        <v>5626890011084</v>
      </c>
      <c r="L1311" t="str">
        <f>"280893061"</f>
        <v>280893061</v>
      </c>
      <c r="M1311" t="s">
        <v>84</v>
      </c>
      <c r="N1311" s="1">
        <v>43335.849305555559</v>
      </c>
      <c r="O1311" t="s">
        <v>19</v>
      </c>
    </row>
    <row r="1312" spans="1:15" x14ac:dyDescent="0.25">
      <c r="A1312" t="s">
        <v>1176</v>
      </c>
      <c r="B1312" t="s">
        <v>15</v>
      </c>
      <c r="C1312" t="s">
        <v>31</v>
      </c>
      <c r="D1312" t="s">
        <v>17</v>
      </c>
      <c r="E1312" t="s">
        <v>18</v>
      </c>
      <c r="F1312" t="s">
        <v>19</v>
      </c>
      <c r="G1312" t="s">
        <v>20</v>
      </c>
      <c r="J1312" t="s">
        <v>17</v>
      </c>
      <c r="K1312" t="str">
        <f>"6686996001500"</f>
        <v>6686996001500</v>
      </c>
      <c r="L1312" t="str">
        <f>"40081500"</f>
        <v>40081500</v>
      </c>
      <c r="M1312" t="s">
        <v>21</v>
      </c>
      <c r="N1312" s="1">
        <v>44225.830555555556</v>
      </c>
      <c r="O1312" t="s">
        <v>19</v>
      </c>
    </row>
    <row r="1313" spans="1:15" x14ac:dyDescent="0.25">
      <c r="A1313" t="s">
        <v>1177</v>
      </c>
      <c r="B1313" t="s">
        <v>15</v>
      </c>
      <c r="C1313" t="s">
        <v>31</v>
      </c>
      <c r="D1313" t="s">
        <v>17</v>
      </c>
      <c r="E1313" t="s">
        <v>18</v>
      </c>
      <c r="F1313" t="s">
        <v>19</v>
      </c>
      <c r="G1313" t="s">
        <v>20</v>
      </c>
      <c r="J1313" t="s">
        <v>17</v>
      </c>
      <c r="K1313" t="str">
        <f>"766623333405"</f>
        <v>766623333405</v>
      </c>
      <c r="L1313" t="str">
        <f>"56083405"</f>
        <v>56083405</v>
      </c>
      <c r="M1313" t="s">
        <v>21</v>
      </c>
      <c r="N1313" s="1">
        <v>43985.810416666667</v>
      </c>
      <c r="O1313" t="s">
        <v>19</v>
      </c>
    </row>
    <row r="1314" spans="1:15" x14ac:dyDescent="0.25">
      <c r="A1314" t="s">
        <v>1178</v>
      </c>
      <c r="B1314" t="s">
        <v>15</v>
      </c>
      <c r="C1314" t="s">
        <v>31</v>
      </c>
      <c r="D1314" t="s">
        <v>17</v>
      </c>
      <c r="E1314" t="s">
        <v>18</v>
      </c>
      <c r="F1314" t="s">
        <v>19</v>
      </c>
      <c r="G1314" t="s">
        <v>20</v>
      </c>
      <c r="J1314" t="s">
        <v>17</v>
      </c>
      <c r="K1314" t="str">
        <f>"798302167155"</f>
        <v>798302167155</v>
      </c>
      <c r="L1314" t="str">
        <f>"92080307"</f>
        <v>92080307</v>
      </c>
      <c r="M1314" t="s">
        <v>21</v>
      </c>
      <c r="N1314" s="1">
        <v>43746.894444444442</v>
      </c>
      <c r="O1314" t="s">
        <v>19</v>
      </c>
    </row>
    <row r="1315" spans="1:15" x14ac:dyDescent="0.25">
      <c r="A1315" t="s">
        <v>1179</v>
      </c>
      <c r="B1315" t="s">
        <v>15</v>
      </c>
      <c r="C1315" t="s">
        <v>31</v>
      </c>
      <c r="D1315" t="s">
        <v>17</v>
      </c>
      <c r="E1315" t="s">
        <v>18</v>
      </c>
      <c r="F1315" t="s">
        <v>19</v>
      </c>
      <c r="G1315" t="s">
        <v>20</v>
      </c>
      <c r="J1315" t="s">
        <v>17</v>
      </c>
      <c r="K1315" t="str">
        <f>"798302167117"</f>
        <v>798302167117</v>
      </c>
      <c r="L1315" t="str">
        <f>"92080303"</f>
        <v>92080303</v>
      </c>
      <c r="M1315" t="s">
        <v>21</v>
      </c>
      <c r="N1315" s="1">
        <v>43746.883333333331</v>
      </c>
      <c r="O1315" t="s">
        <v>19</v>
      </c>
    </row>
    <row r="1316" spans="1:15" x14ac:dyDescent="0.25">
      <c r="A1316" t="s">
        <v>1180</v>
      </c>
      <c r="B1316" t="s">
        <v>15</v>
      </c>
      <c r="C1316" t="s">
        <v>31</v>
      </c>
      <c r="D1316" t="s">
        <v>17</v>
      </c>
      <c r="E1316" t="s">
        <v>18</v>
      </c>
      <c r="F1316" t="s">
        <v>19</v>
      </c>
      <c r="G1316" t="s">
        <v>20</v>
      </c>
      <c r="J1316" t="s">
        <v>17</v>
      </c>
      <c r="K1316" t="str">
        <f>"766623340458"</f>
        <v>766623340458</v>
      </c>
      <c r="L1316" t="str">
        <f>"56080458"</f>
        <v>56080458</v>
      </c>
      <c r="M1316" t="s">
        <v>21</v>
      </c>
      <c r="N1316" s="1">
        <v>43985.811111111114</v>
      </c>
      <c r="O1316" t="s">
        <v>19</v>
      </c>
    </row>
    <row r="1317" spans="1:15" x14ac:dyDescent="0.25">
      <c r="A1317" t="s">
        <v>1181</v>
      </c>
      <c r="B1317" t="s">
        <v>15</v>
      </c>
      <c r="C1317" t="s">
        <v>31</v>
      </c>
      <c r="D1317" t="s">
        <v>17</v>
      </c>
      <c r="E1317" t="s">
        <v>18</v>
      </c>
      <c r="F1317" t="s">
        <v>19</v>
      </c>
      <c r="G1317" t="s">
        <v>20</v>
      </c>
      <c r="J1317" t="s">
        <v>17</v>
      </c>
      <c r="K1317" t="str">
        <f>"10006565"</f>
        <v>10006565</v>
      </c>
      <c r="L1317" t="str">
        <f>"10006565"</f>
        <v>10006565</v>
      </c>
      <c r="M1317" t="s">
        <v>84</v>
      </c>
      <c r="N1317" s="1">
        <v>43546.640277777777</v>
      </c>
      <c r="O1317" t="s">
        <v>19</v>
      </c>
    </row>
    <row r="1318" spans="1:15" x14ac:dyDescent="0.25">
      <c r="A1318" t="s">
        <v>1182</v>
      </c>
      <c r="B1318" t="s">
        <v>15</v>
      </c>
      <c r="C1318" t="s">
        <v>31</v>
      </c>
      <c r="D1318" t="s">
        <v>17</v>
      </c>
      <c r="E1318" t="s">
        <v>18</v>
      </c>
      <c r="F1318" t="s">
        <v>19</v>
      </c>
      <c r="G1318" t="s">
        <v>20</v>
      </c>
      <c r="J1318" t="s">
        <v>17</v>
      </c>
      <c r="K1318" t="str">
        <f>"7858816014918"</f>
        <v>7858816014918</v>
      </c>
      <c r="L1318" t="str">
        <f>"87081491"</f>
        <v>87081491</v>
      </c>
      <c r="M1318" t="s">
        <v>21</v>
      </c>
      <c r="N1318" s="1">
        <v>43889.866666666669</v>
      </c>
      <c r="O1318" t="s">
        <v>19</v>
      </c>
    </row>
    <row r="1319" spans="1:15" x14ac:dyDescent="0.25">
      <c r="A1319" t="s">
        <v>1183</v>
      </c>
      <c r="B1319" t="s">
        <v>15</v>
      </c>
      <c r="C1319" t="s">
        <v>31</v>
      </c>
      <c r="D1319" t="s">
        <v>17</v>
      </c>
      <c r="E1319" t="s">
        <v>18</v>
      </c>
      <c r="F1319" t="s">
        <v>19</v>
      </c>
      <c r="G1319" t="s">
        <v>20</v>
      </c>
      <c r="J1319" t="s">
        <v>17</v>
      </c>
      <c r="K1319" t="str">
        <f>"10002775"</f>
        <v>10002775</v>
      </c>
      <c r="L1319" t="str">
        <f>"10002775"</f>
        <v>10002775</v>
      </c>
      <c r="M1319" t="s">
        <v>84</v>
      </c>
      <c r="N1319" s="1">
        <v>43496.616666666669</v>
      </c>
      <c r="O1319" t="s">
        <v>19</v>
      </c>
    </row>
    <row r="1320" spans="1:15" x14ac:dyDescent="0.25">
      <c r="A1320" t="s">
        <v>1184</v>
      </c>
      <c r="B1320" t="s">
        <v>15</v>
      </c>
      <c r="C1320" t="s">
        <v>23</v>
      </c>
      <c r="D1320" t="s">
        <v>17</v>
      </c>
      <c r="E1320" t="s">
        <v>18</v>
      </c>
      <c r="F1320" t="s">
        <v>19</v>
      </c>
      <c r="G1320" t="s">
        <v>20</v>
      </c>
      <c r="J1320" t="s">
        <v>17</v>
      </c>
      <c r="K1320" t="str">
        <f>"10110142"</f>
        <v>10110142</v>
      </c>
      <c r="L1320" t="str">
        <f>"10110142"</f>
        <v>10110142</v>
      </c>
      <c r="M1320" t="s">
        <v>75</v>
      </c>
      <c r="N1320" s="1">
        <v>42872.839583333334</v>
      </c>
      <c r="O1320" t="s">
        <v>19</v>
      </c>
    </row>
    <row r="1321" spans="1:15" x14ac:dyDescent="0.25">
      <c r="A1321" t="s">
        <v>1185</v>
      </c>
      <c r="B1321" t="s">
        <v>15</v>
      </c>
      <c r="C1321" t="s">
        <v>23</v>
      </c>
      <c r="D1321" t="s">
        <v>17</v>
      </c>
      <c r="E1321" t="s">
        <v>18</v>
      </c>
      <c r="F1321" t="s">
        <v>19</v>
      </c>
      <c r="G1321" t="s">
        <v>20</v>
      </c>
      <c r="J1321" t="s">
        <v>17</v>
      </c>
      <c r="K1321" t="str">
        <f>"42600130"</f>
        <v>42600130</v>
      </c>
      <c r="L1321" t="str">
        <f>"42600130"</f>
        <v>42600130</v>
      </c>
      <c r="M1321" t="s">
        <v>75</v>
      </c>
      <c r="N1321" s="1">
        <v>42872.839583333334</v>
      </c>
      <c r="O1321" t="s">
        <v>19</v>
      </c>
    </row>
    <row r="1322" spans="1:15" x14ac:dyDescent="0.25">
      <c r="A1322" t="s">
        <v>1186</v>
      </c>
      <c r="B1322" t="s">
        <v>15</v>
      </c>
      <c r="C1322" t="s">
        <v>23</v>
      </c>
      <c r="D1322" t="s">
        <v>17</v>
      </c>
      <c r="E1322" t="s">
        <v>18</v>
      </c>
      <c r="F1322" t="s">
        <v>19</v>
      </c>
      <c r="G1322" t="s">
        <v>20</v>
      </c>
      <c r="J1322" t="s">
        <v>17</v>
      </c>
      <c r="K1322" t="str">
        <f>"4558522025255"</f>
        <v>4558522025255</v>
      </c>
      <c r="L1322" t="str">
        <f>"10082520"</f>
        <v>10082520</v>
      </c>
      <c r="M1322" t="s">
        <v>75</v>
      </c>
      <c r="N1322" s="1">
        <v>43034.650694444441</v>
      </c>
      <c r="O1322" t="s">
        <v>19</v>
      </c>
    </row>
    <row r="1323" spans="1:15" x14ac:dyDescent="0.25">
      <c r="A1323" t="s">
        <v>1187</v>
      </c>
      <c r="B1323" t="s">
        <v>15</v>
      </c>
      <c r="C1323" t="s">
        <v>31</v>
      </c>
      <c r="D1323" t="s">
        <v>17</v>
      </c>
      <c r="E1323" t="s">
        <v>18</v>
      </c>
      <c r="F1323" t="s">
        <v>19</v>
      </c>
      <c r="G1323" t="s">
        <v>20</v>
      </c>
      <c r="J1323" t="s">
        <v>17</v>
      </c>
      <c r="K1323" t="str">
        <f>"4558522785180"</f>
        <v>4558522785180</v>
      </c>
      <c r="L1323" t="str">
        <f>"10082149"</f>
        <v>10082149</v>
      </c>
      <c r="M1323" t="s">
        <v>75</v>
      </c>
      <c r="N1323" s="1">
        <v>43034.647222222222</v>
      </c>
      <c r="O1323" t="s">
        <v>19</v>
      </c>
    </row>
    <row r="1324" spans="1:15" x14ac:dyDescent="0.25">
      <c r="A1324" t="s">
        <v>1188</v>
      </c>
      <c r="B1324" t="s">
        <v>15</v>
      </c>
      <c r="C1324" t="s">
        <v>23</v>
      </c>
      <c r="D1324" t="s">
        <v>17</v>
      </c>
      <c r="E1324" t="s">
        <v>18</v>
      </c>
      <c r="F1324" t="s">
        <v>19</v>
      </c>
      <c r="G1324" t="s">
        <v>20</v>
      </c>
      <c r="J1324" t="s">
        <v>17</v>
      </c>
      <c r="K1324" t="str">
        <f>"87000336"</f>
        <v>87000336</v>
      </c>
      <c r="L1324" t="str">
        <f>"87000336"</f>
        <v>87000336</v>
      </c>
      <c r="M1324" t="s">
        <v>75</v>
      </c>
      <c r="N1324" s="1">
        <v>42872.847222222219</v>
      </c>
      <c r="O1324" t="s">
        <v>19</v>
      </c>
    </row>
    <row r="1325" spans="1:15" x14ac:dyDescent="0.25">
      <c r="A1325" t="s">
        <v>1189</v>
      </c>
      <c r="B1325" t="s">
        <v>15</v>
      </c>
      <c r="C1325" t="s">
        <v>23</v>
      </c>
      <c r="D1325" t="s">
        <v>17</v>
      </c>
      <c r="E1325" t="s">
        <v>18</v>
      </c>
      <c r="F1325" t="s">
        <v>19</v>
      </c>
      <c r="G1325" t="s">
        <v>20</v>
      </c>
      <c r="J1325" t="s">
        <v>17</v>
      </c>
      <c r="K1325" t="str">
        <f>"87001034"</f>
        <v>87001034</v>
      </c>
      <c r="L1325" t="str">
        <f>"87001034"</f>
        <v>87001034</v>
      </c>
      <c r="M1325" t="s">
        <v>75</v>
      </c>
      <c r="N1325" s="1">
        <v>42872.847222222219</v>
      </c>
      <c r="O1325" t="s">
        <v>19</v>
      </c>
    </row>
    <row r="1326" spans="1:15" x14ac:dyDescent="0.25">
      <c r="A1326" t="s">
        <v>1190</v>
      </c>
      <c r="B1326" t="s">
        <v>15</v>
      </c>
      <c r="C1326" t="s">
        <v>23</v>
      </c>
      <c r="D1326" t="s">
        <v>17</v>
      </c>
      <c r="E1326" t="s">
        <v>18</v>
      </c>
      <c r="F1326" t="s">
        <v>19</v>
      </c>
      <c r="G1326" t="s">
        <v>20</v>
      </c>
      <c r="J1326" t="s">
        <v>17</v>
      </c>
      <c r="K1326" t="str">
        <f>"10003429"</f>
        <v>10003429</v>
      </c>
      <c r="L1326" t="str">
        <f>"10003429"</f>
        <v>10003429</v>
      </c>
      <c r="M1326" t="s">
        <v>75</v>
      </c>
      <c r="N1326" s="1">
        <v>42872.839583333334</v>
      </c>
      <c r="O1326" t="s">
        <v>19</v>
      </c>
    </row>
    <row r="1327" spans="1:15" x14ac:dyDescent="0.25">
      <c r="A1327" t="s">
        <v>1191</v>
      </c>
      <c r="B1327" t="s">
        <v>15</v>
      </c>
      <c r="C1327" t="s">
        <v>23</v>
      </c>
      <c r="D1327" t="s">
        <v>17</v>
      </c>
      <c r="E1327" t="s">
        <v>18</v>
      </c>
      <c r="F1327" t="s">
        <v>19</v>
      </c>
      <c r="G1327" t="s">
        <v>20</v>
      </c>
      <c r="J1327" t="s">
        <v>17</v>
      </c>
      <c r="K1327" t="str">
        <f>"10004014"</f>
        <v>10004014</v>
      </c>
      <c r="L1327" t="str">
        <f>"10004014"</f>
        <v>10004014</v>
      </c>
      <c r="M1327" t="s">
        <v>75</v>
      </c>
      <c r="N1327" s="1">
        <v>42872.839583333334</v>
      </c>
      <c r="O1327" t="s">
        <v>19</v>
      </c>
    </row>
    <row r="1328" spans="1:15" x14ac:dyDescent="0.25">
      <c r="A1328" t="s">
        <v>1192</v>
      </c>
      <c r="B1328" t="s">
        <v>15</v>
      </c>
      <c r="C1328" t="s">
        <v>23</v>
      </c>
      <c r="D1328" t="s">
        <v>17</v>
      </c>
      <c r="E1328" t="s">
        <v>18</v>
      </c>
      <c r="F1328" t="s">
        <v>19</v>
      </c>
      <c r="G1328" t="s">
        <v>20</v>
      </c>
      <c r="J1328" t="s">
        <v>17</v>
      </c>
      <c r="K1328" t="str">
        <f>"10017004"</f>
        <v>10017004</v>
      </c>
      <c r="L1328" t="str">
        <f>"10017004"</f>
        <v>10017004</v>
      </c>
      <c r="M1328" t="s">
        <v>75</v>
      </c>
      <c r="N1328" s="1">
        <v>42872.839583333334</v>
      </c>
      <c r="O1328" t="s">
        <v>19</v>
      </c>
    </row>
    <row r="1329" spans="1:15" x14ac:dyDescent="0.25">
      <c r="A1329" t="s">
        <v>1193</v>
      </c>
      <c r="B1329" t="s">
        <v>15</v>
      </c>
      <c r="C1329" t="s">
        <v>31</v>
      </c>
      <c r="D1329" t="s">
        <v>17</v>
      </c>
      <c r="E1329" t="s">
        <v>18</v>
      </c>
      <c r="F1329" t="s">
        <v>19</v>
      </c>
      <c r="G1329" t="s">
        <v>20</v>
      </c>
      <c r="J1329" t="s">
        <v>17</v>
      </c>
      <c r="K1329" t="str">
        <f>"98081111"</f>
        <v>98081111</v>
      </c>
      <c r="L1329" t="str">
        <f>"98081111"</f>
        <v>98081111</v>
      </c>
      <c r="M1329" t="s">
        <v>84</v>
      </c>
      <c r="N1329" s="1">
        <v>43531.594444444447</v>
      </c>
      <c r="O1329" t="s">
        <v>19</v>
      </c>
    </row>
    <row r="1330" spans="1:15" x14ac:dyDescent="0.25">
      <c r="A1330" t="s">
        <v>1194</v>
      </c>
      <c r="B1330" t="s">
        <v>15</v>
      </c>
      <c r="C1330" t="s">
        <v>31</v>
      </c>
      <c r="D1330" t="s">
        <v>17</v>
      </c>
      <c r="E1330" t="s">
        <v>18</v>
      </c>
      <c r="F1330" t="s">
        <v>19</v>
      </c>
      <c r="G1330" t="s">
        <v>20</v>
      </c>
      <c r="J1330" t="s">
        <v>17</v>
      </c>
      <c r="K1330" t="str">
        <f>"6924494001074"</f>
        <v>6924494001074</v>
      </c>
      <c r="L1330" t="str">
        <f>"32N0000205"</f>
        <v>32N0000205</v>
      </c>
      <c r="M1330" t="s">
        <v>21</v>
      </c>
      <c r="N1330" s="1">
        <v>43994.821527777778</v>
      </c>
      <c r="O1330" t="s">
        <v>19</v>
      </c>
    </row>
    <row r="1331" spans="1:15" x14ac:dyDescent="0.25">
      <c r="A1331" t="s">
        <v>1195</v>
      </c>
      <c r="B1331" t="s">
        <v>15</v>
      </c>
      <c r="C1331" t="s">
        <v>31</v>
      </c>
      <c r="D1331" t="s">
        <v>17</v>
      </c>
      <c r="E1331" t="s">
        <v>18</v>
      </c>
      <c r="F1331" t="s">
        <v>19</v>
      </c>
      <c r="G1331" t="s">
        <v>20</v>
      </c>
      <c r="J1331" t="s">
        <v>17</v>
      </c>
      <c r="K1331" t="str">
        <f>"716829982563"</f>
        <v>716829982563</v>
      </c>
      <c r="L1331" t="str">
        <f>"32N00BL000"</f>
        <v>32N00BL000</v>
      </c>
      <c r="M1331" t="s">
        <v>21</v>
      </c>
      <c r="N1331" s="1">
        <v>44001.590277777781</v>
      </c>
      <c r="O1331" t="s">
        <v>19</v>
      </c>
    </row>
    <row r="1332" spans="1:15" x14ac:dyDescent="0.25">
      <c r="A1332" t="s">
        <v>1196</v>
      </c>
      <c r="B1332" t="s">
        <v>15</v>
      </c>
      <c r="C1332" t="s">
        <v>31</v>
      </c>
      <c r="D1332" t="s">
        <v>17</v>
      </c>
      <c r="E1332" t="s">
        <v>18</v>
      </c>
      <c r="F1332" t="s">
        <v>19</v>
      </c>
      <c r="G1332" t="s">
        <v>20</v>
      </c>
      <c r="J1332" t="s">
        <v>17</v>
      </c>
      <c r="K1332" t="str">
        <f>"6999017662117"</f>
        <v>6999017662117</v>
      </c>
      <c r="L1332" t="str">
        <f>"40082117"</f>
        <v>40082117</v>
      </c>
      <c r="M1332" t="s">
        <v>21</v>
      </c>
      <c r="N1332" s="1">
        <v>42872.839583333334</v>
      </c>
      <c r="O1332" t="s">
        <v>19</v>
      </c>
    </row>
    <row r="1333" spans="1:15" x14ac:dyDescent="0.25">
      <c r="A1333" t="s">
        <v>1197</v>
      </c>
      <c r="B1333" t="s">
        <v>15</v>
      </c>
      <c r="C1333" t="s">
        <v>31</v>
      </c>
      <c r="D1333" t="s">
        <v>17</v>
      </c>
      <c r="E1333" t="s">
        <v>18</v>
      </c>
      <c r="F1333" t="s">
        <v>19</v>
      </c>
      <c r="G1333" t="s">
        <v>20</v>
      </c>
      <c r="J1333" t="s">
        <v>17</v>
      </c>
      <c r="K1333" t="str">
        <f>"6925871640428"</f>
        <v>6925871640428</v>
      </c>
      <c r="L1333" t="str">
        <f>"22084042"</f>
        <v>22084042</v>
      </c>
      <c r="M1333" t="s">
        <v>21</v>
      </c>
      <c r="N1333" s="1">
        <v>44352.709722222222</v>
      </c>
      <c r="O1333" t="s">
        <v>19</v>
      </c>
    </row>
    <row r="1334" spans="1:15" x14ac:dyDescent="0.25">
      <c r="A1334" t="s">
        <v>1198</v>
      </c>
      <c r="B1334" t="s">
        <v>15</v>
      </c>
      <c r="C1334" t="s">
        <v>31</v>
      </c>
      <c r="D1334" t="s">
        <v>17</v>
      </c>
      <c r="E1334" t="s">
        <v>18</v>
      </c>
      <c r="F1334" t="s">
        <v>19</v>
      </c>
      <c r="G1334" t="s">
        <v>20</v>
      </c>
      <c r="J1334" t="s">
        <v>17</v>
      </c>
      <c r="K1334" t="str">
        <f>"7858816041150"</f>
        <v>7858816041150</v>
      </c>
      <c r="L1334" t="str">
        <f>"87084115"</f>
        <v>87084115</v>
      </c>
      <c r="M1334" t="s">
        <v>21</v>
      </c>
      <c r="N1334" s="1">
        <v>44356.941666666666</v>
      </c>
      <c r="O1334" t="s">
        <v>19</v>
      </c>
    </row>
    <row r="1335" spans="1:15" x14ac:dyDescent="0.25">
      <c r="A1335" t="s">
        <v>1199</v>
      </c>
      <c r="B1335" t="s">
        <v>15</v>
      </c>
      <c r="C1335" t="s">
        <v>31</v>
      </c>
      <c r="D1335" t="s">
        <v>17</v>
      </c>
      <c r="E1335" t="s">
        <v>18</v>
      </c>
      <c r="F1335" t="s">
        <v>19</v>
      </c>
      <c r="G1335" t="s">
        <v>20</v>
      </c>
      <c r="J1335" t="s">
        <v>17</v>
      </c>
      <c r="K1335" t="str">
        <f>"7858816053221"</f>
        <v>7858816053221</v>
      </c>
      <c r="L1335" t="str">
        <f>"87085322"</f>
        <v>87085322</v>
      </c>
      <c r="M1335" t="s">
        <v>21</v>
      </c>
      <c r="N1335" s="1">
        <v>43819.617361111108</v>
      </c>
      <c r="O1335" t="s">
        <v>19</v>
      </c>
    </row>
    <row r="1336" spans="1:15" x14ac:dyDescent="0.25">
      <c r="A1336" t="s">
        <v>1200</v>
      </c>
      <c r="B1336" t="s">
        <v>15</v>
      </c>
      <c r="C1336" t="s">
        <v>31</v>
      </c>
      <c r="D1336" t="s">
        <v>17</v>
      </c>
      <c r="E1336" t="s">
        <v>18</v>
      </c>
      <c r="F1336" t="s">
        <v>19</v>
      </c>
      <c r="G1336" t="s">
        <v>20</v>
      </c>
      <c r="J1336" t="s">
        <v>17</v>
      </c>
      <c r="K1336" t="str">
        <f>"7858816085192"</f>
        <v>7858816085192</v>
      </c>
      <c r="L1336" t="str">
        <f>"87088519"</f>
        <v>87088519</v>
      </c>
      <c r="M1336" t="s">
        <v>21</v>
      </c>
      <c r="N1336" s="1">
        <v>44404.737500000003</v>
      </c>
      <c r="O1336" t="s">
        <v>19</v>
      </c>
    </row>
    <row r="1337" spans="1:15" x14ac:dyDescent="0.25">
      <c r="A1337" t="s">
        <v>1201</v>
      </c>
      <c r="B1337" t="s">
        <v>15</v>
      </c>
      <c r="C1337" t="s">
        <v>31</v>
      </c>
      <c r="D1337" t="s">
        <v>17</v>
      </c>
      <c r="E1337" t="s">
        <v>18</v>
      </c>
      <c r="F1337" t="s">
        <v>19</v>
      </c>
      <c r="G1337" t="s">
        <v>20</v>
      </c>
      <c r="J1337" t="s">
        <v>17</v>
      </c>
      <c r="K1337" t="str">
        <f>"798302162426"</f>
        <v>798302162426</v>
      </c>
      <c r="L1337" t="str">
        <f>"92080212"</f>
        <v>92080212</v>
      </c>
      <c r="M1337" t="s">
        <v>21</v>
      </c>
      <c r="N1337" s="1">
        <v>43985.870138888888</v>
      </c>
      <c r="O1337" t="s">
        <v>19</v>
      </c>
    </row>
    <row r="1338" spans="1:15" x14ac:dyDescent="0.25">
      <c r="A1338" t="s">
        <v>1202</v>
      </c>
      <c r="B1338" t="s">
        <v>15</v>
      </c>
      <c r="C1338" t="s">
        <v>31</v>
      </c>
      <c r="D1338" t="s">
        <v>17</v>
      </c>
      <c r="E1338" t="s">
        <v>18</v>
      </c>
      <c r="F1338" t="s">
        <v>19</v>
      </c>
      <c r="G1338" t="s">
        <v>20</v>
      </c>
      <c r="J1338" t="s">
        <v>17</v>
      </c>
      <c r="K1338" t="str">
        <f>"6905631119005"</f>
        <v>6905631119005</v>
      </c>
      <c r="L1338" t="str">
        <f>"400811900"</f>
        <v>400811900</v>
      </c>
      <c r="M1338" t="s">
        <v>21</v>
      </c>
      <c r="N1338" s="1">
        <v>42872.839583333334</v>
      </c>
      <c r="O1338" t="s">
        <v>19</v>
      </c>
    </row>
    <row r="1339" spans="1:15" x14ac:dyDescent="0.25">
      <c r="A1339" t="s">
        <v>1203</v>
      </c>
      <c r="B1339" t="s">
        <v>15</v>
      </c>
      <c r="C1339" t="s">
        <v>31</v>
      </c>
      <c r="D1339" t="s">
        <v>17</v>
      </c>
      <c r="E1339" t="s">
        <v>18</v>
      </c>
      <c r="F1339" t="s">
        <v>19</v>
      </c>
      <c r="G1339" t="s">
        <v>20</v>
      </c>
      <c r="J1339" t="s">
        <v>17</v>
      </c>
      <c r="K1339" t="str">
        <f>"7858816085185"</f>
        <v>7858816085185</v>
      </c>
      <c r="L1339" t="str">
        <f>"87088518"</f>
        <v>87088518</v>
      </c>
      <c r="M1339" t="s">
        <v>21</v>
      </c>
      <c r="N1339" s="1">
        <v>44404.738194444442</v>
      </c>
      <c r="O1339" t="s">
        <v>19</v>
      </c>
    </row>
    <row r="1340" spans="1:15" x14ac:dyDescent="0.25">
      <c r="A1340" t="s">
        <v>1204</v>
      </c>
      <c r="B1340" t="s">
        <v>15</v>
      </c>
      <c r="C1340" t="s">
        <v>31</v>
      </c>
      <c r="D1340" t="s">
        <v>17</v>
      </c>
      <c r="E1340" t="s">
        <v>18</v>
      </c>
      <c r="F1340" t="s">
        <v>19</v>
      </c>
      <c r="G1340" t="s">
        <v>20</v>
      </c>
      <c r="J1340" t="s">
        <v>17</v>
      </c>
      <c r="K1340" t="str">
        <f>"10000142"</f>
        <v>10000142</v>
      </c>
      <c r="L1340" t="str">
        <f>"10000142"</f>
        <v>10000142</v>
      </c>
      <c r="M1340" t="s">
        <v>75</v>
      </c>
      <c r="N1340" s="1">
        <v>42872.839583333334</v>
      </c>
      <c r="O1340" t="s">
        <v>19</v>
      </c>
    </row>
    <row r="1341" spans="1:15" x14ac:dyDescent="0.25">
      <c r="A1341" t="s">
        <v>1204</v>
      </c>
      <c r="B1341" t="s">
        <v>15</v>
      </c>
      <c r="C1341" t="s">
        <v>23</v>
      </c>
      <c r="D1341" t="s">
        <v>17</v>
      </c>
      <c r="E1341" t="s">
        <v>18</v>
      </c>
      <c r="F1341" t="s">
        <v>19</v>
      </c>
      <c r="G1341" t="s">
        <v>20</v>
      </c>
      <c r="J1341" t="s">
        <v>17</v>
      </c>
      <c r="K1341" t="str">
        <f>"100000142"</f>
        <v>100000142</v>
      </c>
      <c r="L1341" t="str">
        <f>"100000142"</f>
        <v>100000142</v>
      </c>
      <c r="M1341" t="s">
        <v>75</v>
      </c>
      <c r="N1341" s="1">
        <v>42872.847222222219</v>
      </c>
      <c r="O1341" t="s">
        <v>19</v>
      </c>
    </row>
    <row r="1342" spans="1:15" x14ac:dyDescent="0.25">
      <c r="A1342" t="s">
        <v>1205</v>
      </c>
      <c r="B1342" t="s">
        <v>15</v>
      </c>
      <c r="C1342" t="s">
        <v>31</v>
      </c>
      <c r="D1342" t="s">
        <v>17</v>
      </c>
      <c r="E1342" t="s">
        <v>18</v>
      </c>
      <c r="F1342" t="s">
        <v>19</v>
      </c>
      <c r="G1342" t="s">
        <v>20</v>
      </c>
      <c r="J1342" t="s">
        <v>17</v>
      </c>
      <c r="K1342" t="str">
        <f>"7809601103683"</f>
        <v>7809601103683</v>
      </c>
      <c r="L1342" t="str">
        <f>"92083110"</f>
        <v>92083110</v>
      </c>
      <c r="M1342" t="s">
        <v>21</v>
      </c>
      <c r="N1342" s="1">
        <v>44453.634722222225</v>
      </c>
      <c r="O1342" t="s">
        <v>19</v>
      </c>
    </row>
    <row r="1343" spans="1:15" x14ac:dyDescent="0.25">
      <c r="A1343" t="s">
        <v>1206</v>
      </c>
      <c r="B1343" t="s">
        <v>15</v>
      </c>
      <c r="C1343" t="s">
        <v>31</v>
      </c>
      <c r="D1343" t="s">
        <v>17</v>
      </c>
      <c r="E1343" t="s">
        <v>18</v>
      </c>
      <c r="F1343" t="s">
        <v>19</v>
      </c>
      <c r="G1343" t="s">
        <v>20</v>
      </c>
      <c r="J1343" t="s">
        <v>17</v>
      </c>
      <c r="K1343" t="str">
        <f>"7168279539256"</f>
        <v>7168279539256</v>
      </c>
      <c r="L1343" t="str">
        <f>"79PLC539BK"</f>
        <v>79PLC539BK</v>
      </c>
      <c r="M1343" t="s">
        <v>21</v>
      </c>
      <c r="N1343" s="1">
        <v>44001.588194444441</v>
      </c>
      <c r="O1343" t="s">
        <v>19</v>
      </c>
    </row>
    <row r="1344" spans="1:15" x14ac:dyDescent="0.25">
      <c r="A1344" t="s">
        <v>1207</v>
      </c>
      <c r="B1344" t="s">
        <v>15</v>
      </c>
      <c r="C1344" t="s">
        <v>31</v>
      </c>
      <c r="D1344" t="s">
        <v>17</v>
      </c>
      <c r="E1344" t="s">
        <v>18</v>
      </c>
      <c r="F1344" t="s">
        <v>19</v>
      </c>
      <c r="G1344" t="s">
        <v>20</v>
      </c>
      <c r="J1344" t="s">
        <v>17</v>
      </c>
      <c r="K1344" t="str">
        <f>"6925871603041"</f>
        <v>6925871603041</v>
      </c>
      <c r="L1344" t="str">
        <f>"22084049"</f>
        <v>22084049</v>
      </c>
      <c r="M1344" t="s">
        <v>21</v>
      </c>
      <c r="N1344" s="1">
        <v>44352.711111111108</v>
      </c>
      <c r="O1344" t="s">
        <v>19</v>
      </c>
    </row>
    <row r="1345" spans="1:15" x14ac:dyDescent="0.25">
      <c r="A1345" t="s">
        <v>1208</v>
      </c>
      <c r="B1345" t="s">
        <v>15</v>
      </c>
      <c r="C1345" t="s">
        <v>31</v>
      </c>
      <c r="D1345" t="s">
        <v>17</v>
      </c>
      <c r="E1345" t="s">
        <v>18</v>
      </c>
      <c r="F1345" t="s">
        <v>19</v>
      </c>
      <c r="G1345" t="s">
        <v>20</v>
      </c>
      <c r="J1345" t="s">
        <v>17</v>
      </c>
      <c r="K1345" t="str">
        <f>"766623352857"</f>
        <v>766623352857</v>
      </c>
      <c r="L1345" t="str">
        <f>"56082857"</f>
        <v>56082857</v>
      </c>
      <c r="M1345" t="s">
        <v>21</v>
      </c>
      <c r="N1345" s="1">
        <v>44037.636805555558</v>
      </c>
      <c r="O1345" t="s">
        <v>19</v>
      </c>
    </row>
    <row r="1346" spans="1:15" x14ac:dyDescent="0.25">
      <c r="A1346" t="s">
        <v>1208</v>
      </c>
      <c r="B1346" t="s">
        <v>15</v>
      </c>
      <c r="C1346" t="s">
        <v>31</v>
      </c>
      <c r="D1346" t="s">
        <v>17</v>
      </c>
      <c r="E1346" t="s">
        <v>18</v>
      </c>
      <c r="F1346" t="s">
        <v>19</v>
      </c>
      <c r="G1346" t="s">
        <v>20</v>
      </c>
      <c r="J1346" t="s">
        <v>17</v>
      </c>
      <c r="K1346" t="str">
        <f>"766623334594"</f>
        <v>766623334594</v>
      </c>
      <c r="L1346" t="str">
        <f>"56084594"</f>
        <v>56084594</v>
      </c>
      <c r="M1346" t="s">
        <v>21</v>
      </c>
      <c r="N1346" s="1">
        <v>44037.637499999997</v>
      </c>
      <c r="O1346" t="s">
        <v>19</v>
      </c>
    </row>
    <row r="1347" spans="1:15" x14ac:dyDescent="0.25">
      <c r="A1347" t="s">
        <v>1209</v>
      </c>
      <c r="B1347" t="s">
        <v>15</v>
      </c>
      <c r="C1347" t="s">
        <v>31</v>
      </c>
      <c r="D1347" t="s">
        <v>17</v>
      </c>
      <c r="E1347" t="s">
        <v>18</v>
      </c>
      <c r="F1347" t="s">
        <v>19</v>
      </c>
      <c r="G1347" t="s">
        <v>20</v>
      </c>
      <c r="J1347" t="s">
        <v>17</v>
      </c>
      <c r="K1347" t="str">
        <f>"716829762264"</f>
        <v>716829762264</v>
      </c>
      <c r="L1347" t="str">
        <f>"32N0040205"</f>
        <v>32N0040205</v>
      </c>
      <c r="M1347" t="s">
        <v>21</v>
      </c>
      <c r="N1347" s="1">
        <v>44001.586805555555</v>
      </c>
      <c r="O1347" t="s">
        <v>19</v>
      </c>
    </row>
    <row r="1348" spans="1:15" x14ac:dyDescent="0.25">
      <c r="A1348" t="s">
        <v>1210</v>
      </c>
      <c r="B1348" t="s">
        <v>15</v>
      </c>
      <c r="C1348" t="s">
        <v>31</v>
      </c>
      <c r="D1348" t="s">
        <v>17</v>
      </c>
      <c r="E1348" t="s">
        <v>18</v>
      </c>
      <c r="F1348" t="s">
        <v>19</v>
      </c>
      <c r="G1348" t="s">
        <v>20</v>
      </c>
      <c r="J1348" t="s">
        <v>17</v>
      </c>
      <c r="K1348" t="str">
        <f>"716829762066"</f>
        <v>716829762066</v>
      </c>
      <c r="L1348" t="str">
        <f>"32N0040203"</f>
        <v>32N0040203</v>
      </c>
      <c r="M1348" t="s">
        <v>21</v>
      </c>
      <c r="N1348" s="1">
        <v>44001.586111111108</v>
      </c>
      <c r="O1348" t="s">
        <v>19</v>
      </c>
    </row>
    <row r="1349" spans="1:15" x14ac:dyDescent="0.25">
      <c r="A1349" t="s">
        <v>1211</v>
      </c>
      <c r="B1349" t="s">
        <v>15</v>
      </c>
      <c r="C1349" t="s">
        <v>31</v>
      </c>
      <c r="D1349" t="s">
        <v>17</v>
      </c>
      <c r="E1349" t="s">
        <v>18</v>
      </c>
      <c r="F1349" t="s">
        <v>19</v>
      </c>
      <c r="G1349" t="s">
        <v>20</v>
      </c>
      <c r="J1349" t="s">
        <v>17</v>
      </c>
      <c r="K1349" t="str">
        <f>"716829762165"</f>
        <v>716829762165</v>
      </c>
      <c r="L1349" t="str">
        <f>"32N0040204"</f>
        <v>32N0040204</v>
      </c>
      <c r="M1349" t="s">
        <v>21</v>
      </c>
      <c r="N1349" s="1">
        <v>44001.585416666669</v>
      </c>
      <c r="O1349" t="s">
        <v>19</v>
      </c>
    </row>
    <row r="1350" spans="1:15" x14ac:dyDescent="0.25">
      <c r="A1350" t="s">
        <v>1212</v>
      </c>
      <c r="B1350" t="s">
        <v>15</v>
      </c>
      <c r="C1350" t="s">
        <v>31</v>
      </c>
      <c r="D1350" t="s">
        <v>17</v>
      </c>
      <c r="E1350" t="s">
        <v>18</v>
      </c>
      <c r="F1350" t="s">
        <v>19</v>
      </c>
      <c r="G1350" t="s">
        <v>20</v>
      </c>
      <c r="J1350" t="s">
        <v>17</v>
      </c>
      <c r="K1350" t="str">
        <f>"680988500442"</f>
        <v>680988500442</v>
      </c>
      <c r="L1350" t="str">
        <f>"79MGEL5044"</f>
        <v>79MGEL5044</v>
      </c>
      <c r="M1350" t="s">
        <v>21</v>
      </c>
      <c r="N1350" s="1">
        <v>43994.834722222222</v>
      </c>
      <c r="O1350" t="s">
        <v>19</v>
      </c>
    </row>
    <row r="1351" spans="1:15" x14ac:dyDescent="0.25">
      <c r="A1351" t="s">
        <v>1213</v>
      </c>
      <c r="B1351" t="s">
        <v>15</v>
      </c>
      <c r="C1351" t="s">
        <v>31</v>
      </c>
      <c r="D1351" t="s">
        <v>17</v>
      </c>
      <c r="E1351" t="s">
        <v>18</v>
      </c>
      <c r="F1351" t="s">
        <v>19</v>
      </c>
      <c r="G1351" t="s">
        <v>20</v>
      </c>
      <c r="J1351" t="s">
        <v>17</v>
      </c>
      <c r="K1351" t="str">
        <f>"030878335249"</f>
        <v>030878335249</v>
      </c>
      <c r="L1351" t="str">
        <f>"31GEL33524"</f>
        <v>31GEL33524</v>
      </c>
      <c r="M1351" t="s">
        <v>21</v>
      </c>
      <c r="N1351" s="1">
        <v>43994.836111111108</v>
      </c>
      <c r="O1351" t="s">
        <v>19</v>
      </c>
    </row>
    <row r="1352" spans="1:15" x14ac:dyDescent="0.25">
      <c r="A1352" t="s">
        <v>1214</v>
      </c>
      <c r="B1352" t="s">
        <v>15</v>
      </c>
      <c r="C1352" t="s">
        <v>31</v>
      </c>
      <c r="D1352" t="s">
        <v>17</v>
      </c>
      <c r="E1352" t="s">
        <v>18</v>
      </c>
      <c r="F1352" t="s">
        <v>19</v>
      </c>
      <c r="G1352" t="s">
        <v>20</v>
      </c>
      <c r="J1352" t="s">
        <v>17</v>
      </c>
      <c r="K1352" t="str">
        <f>"716829932193"</f>
        <v>716829932193</v>
      </c>
      <c r="L1352" t="str">
        <f>"32N00BL018"</f>
        <v>32N00BL018</v>
      </c>
      <c r="M1352" t="s">
        <v>21</v>
      </c>
      <c r="N1352" s="1">
        <v>44001.59097222222</v>
      </c>
      <c r="O1352" t="s">
        <v>19</v>
      </c>
    </row>
    <row r="1353" spans="1:15" x14ac:dyDescent="0.25">
      <c r="A1353" t="s">
        <v>1215</v>
      </c>
      <c r="B1353" t="s">
        <v>15</v>
      </c>
      <c r="C1353" t="s">
        <v>23</v>
      </c>
      <c r="D1353" t="s">
        <v>17</v>
      </c>
      <c r="E1353" t="s">
        <v>18</v>
      </c>
      <c r="F1353" t="s">
        <v>19</v>
      </c>
      <c r="G1353" t="s">
        <v>20</v>
      </c>
      <c r="J1353" t="s">
        <v>17</v>
      </c>
      <c r="K1353" t="str">
        <f>"10082751"</f>
        <v>10082751</v>
      </c>
      <c r="L1353" t="str">
        <f>"10082751"</f>
        <v>10082751</v>
      </c>
      <c r="M1353" t="s">
        <v>75</v>
      </c>
      <c r="N1353" s="1">
        <v>43146.898611111108</v>
      </c>
      <c r="O1353" t="s">
        <v>19</v>
      </c>
    </row>
    <row r="1354" spans="1:15" x14ac:dyDescent="0.25">
      <c r="A1354" t="s">
        <v>1216</v>
      </c>
      <c r="B1354" t="s">
        <v>15</v>
      </c>
      <c r="C1354" t="s">
        <v>31</v>
      </c>
      <c r="D1354" t="s">
        <v>17</v>
      </c>
      <c r="E1354" t="s">
        <v>18</v>
      </c>
      <c r="F1354" t="s">
        <v>19</v>
      </c>
      <c r="G1354" t="s">
        <v>20</v>
      </c>
      <c r="J1354" t="s">
        <v>17</v>
      </c>
      <c r="K1354" t="str">
        <f>"7858816085208"</f>
        <v>7858816085208</v>
      </c>
      <c r="L1354" t="str">
        <f>"87088520"</f>
        <v>87088520</v>
      </c>
      <c r="M1354" t="s">
        <v>21</v>
      </c>
      <c r="N1354" s="1">
        <v>44404.736111111109</v>
      </c>
      <c r="O1354" t="s">
        <v>19</v>
      </c>
    </row>
    <row r="1355" spans="1:15" x14ac:dyDescent="0.25">
      <c r="A1355" t="s">
        <v>1217</v>
      </c>
      <c r="B1355" t="s">
        <v>15</v>
      </c>
      <c r="C1355" t="s">
        <v>23</v>
      </c>
      <c r="D1355" t="s">
        <v>17</v>
      </c>
      <c r="E1355" t="s">
        <v>18</v>
      </c>
      <c r="F1355" t="s">
        <v>19</v>
      </c>
      <c r="G1355" t="s">
        <v>20</v>
      </c>
      <c r="J1355" t="s">
        <v>17</v>
      </c>
      <c r="K1355" t="str">
        <f>"10003576"</f>
        <v>10003576</v>
      </c>
      <c r="L1355" t="str">
        <f>"10003576"</f>
        <v>10003576</v>
      </c>
      <c r="M1355" t="s">
        <v>75</v>
      </c>
      <c r="N1355" s="1">
        <v>42872.839583333334</v>
      </c>
      <c r="O1355" t="s">
        <v>19</v>
      </c>
    </row>
    <row r="1356" spans="1:15" x14ac:dyDescent="0.25">
      <c r="A1356" t="s">
        <v>1218</v>
      </c>
      <c r="B1356" t="s">
        <v>15</v>
      </c>
      <c r="C1356" t="s">
        <v>23</v>
      </c>
      <c r="D1356" t="s">
        <v>17</v>
      </c>
      <c r="E1356" t="s">
        <v>18</v>
      </c>
      <c r="F1356" t="s">
        <v>19</v>
      </c>
      <c r="G1356" t="s">
        <v>20</v>
      </c>
      <c r="J1356" t="s">
        <v>17</v>
      </c>
      <c r="K1356" t="str">
        <f>"10080142"</f>
        <v>10080142</v>
      </c>
      <c r="L1356" t="str">
        <f>"10080142"</f>
        <v>10080142</v>
      </c>
      <c r="M1356" t="s">
        <v>75</v>
      </c>
      <c r="N1356" s="1">
        <v>43146.88958333333</v>
      </c>
      <c r="O1356" t="s">
        <v>19</v>
      </c>
    </row>
    <row r="1357" spans="1:15" x14ac:dyDescent="0.25">
      <c r="A1357" t="s">
        <v>1219</v>
      </c>
      <c r="B1357" t="s">
        <v>15</v>
      </c>
      <c r="C1357" t="s">
        <v>23</v>
      </c>
      <c r="D1357" t="s">
        <v>17</v>
      </c>
      <c r="E1357" t="s">
        <v>18</v>
      </c>
      <c r="F1357" t="s">
        <v>19</v>
      </c>
      <c r="G1357" t="s">
        <v>20</v>
      </c>
      <c r="J1357" t="s">
        <v>17</v>
      </c>
      <c r="K1357" t="str">
        <f>"9786988876066"</f>
        <v>9786988876066</v>
      </c>
      <c r="L1357" t="str">
        <f>"10000606"</f>
        <v>10000606</v>
      </c>
      <c r="M1357" t="s">
        <v>75</v>
      </c>
      <c r="N1357" s="1">
        <v>42872.839583333334</v>
      </c>
      <c r="O1357" t="s">
        <v>19</v>
      </c>
    </row>
    <row r="1358" spans="1:15" x14ac:dyDescent="0.25">
      <c r="A1358" t="s">
        <v>1220</v>
      </c>
      <c r="B1358" t="s">
        <v>15</v>
      </c>
      <c r="C1358" t="s">
        <v>23</v>
      </c>
      <c r="D1358" t="s">
        <v>17</v>
      </c>
      <c r="E1358" t="s">
        <v>18</v>
      </c>
      <c r="F1358" t="s">
        <v>19</v>
      </c>
      <c r="G1358" t="s">
        <v>20</v>
      </c>
      <c r="J1358" t="s">
        <v>17</v>
      </c>
      <c r="K1358" t="str">
        <f>"10000598"</f>
        <v>10000598</v>
      </c>
      <c r="L1358" t="str">
        <f>"10000598"</f>
        <v>10000598</v>
      </c>
      <c r="M1358" t="s">
        <v>75</v>
      </c>
      <c r="N1358" s="1">
        <v>42872.839583333334</v>
      </c>
      <c r="O1358" t="s">
        <v>19</v>
      </c>
    </row>
    <row r="1359" spans="1:15" x14ac:dyDescent="0.25">
      <c r="A1359" t="s">
        <v>1221</v>
      </c>
      <c r="B1359" t="s">
        <v>15</v>
      </c>
      <c r="C1359" t="s">
        <v>23</v>
      </c>
      <c r="D1359" t="s">
        <v>17</v>
      </c>
      <c r="E1359" t="s">
        <v>18</v>
      </c>
      <c r="F1359" t="s">
        <v>19</v>
      </c>
      <c r="G1359" t="s">
        <v>20</v>
      </c>
      <c r="J1359" t="s">
        <v>17</v>
      </c>
      <c r="K1359" t="str">
        <f>"5626890013576"</f>
        <v>5626890013576</v>
      </c>
      <c r="L1359" t="str">
        <f>"28081357"</f>
        <v>28081357</v>
      </c>
      <c r="M1359" t="s">
        <v>84</v>
      </c>
      <c r="N1359" s="1">
        <v>43335.847222222219</v>
      </c>
      <c r="O1359" t="s">
        <v>19</v>
      </c>
    </row>
    <row r="1360" spans="1:15" x14ac:dyDescent="0.25">
      <c r="A1360" t="s">
        <v>1222</v>
      </c>
      <c r="B1360" t="s">
        <v>15</v>
      </c>
      <c r="C1360" t="s">
        <v>31</v>
      </c>
      <c r="D1360" t="s">
        <v>17</v>
      </c>
      <c r="E1360" t="s">
        <v>18</v>
      </c>
      <c r="F1360" t="s">
        <v>19</v>
      </c>
      <c r="G1360" t="s">
        <v>20</v>
      </c>
      <c r="J1360" t="s">
        <v>17</v>
      </c>
      <c r="K1360" t="str">
        <f>"2020050060364"</f>
        <v>2020050060364</v>
      </c>
      <c r="L1360" t="str">
        <f>"18086036"</f>
        <v>18086036</v>
      </c>
      <c r="M1360" t="s">
        <v>21</v>
      </c>
      <c r="N1360" s="1">
        <v>43350.820138888892</v>
      </c>
      <c r="O1360" t="s">
        <v>19</v>
      </c>
    </row>
    <row r="1361" spans="1:15" x14ac:dyDescent="0.25">
      <c r="A1361" t="s">
        <v>1223</v>
      </c>
      <c r="B1361" t="s">
        <v>15</v>
      </c>
      <c r="C1361" t="s">
        <v>31</v>
      </c>
      <c r="D1361" t="s">
        <v>17</v>
      </c>
      <c r="E1361" t="s">
        <v>18</v>
      </c>
      <c r="F1361" t="s">
        <v>19</v>
      </c>
      <c r="G1361" t="s">
        <v>20</v>
      </c>
      <c r="J1361" t="s">
        <v>17</v>
      </c>
      <c r="K1361" t="str">
        <f>"2020050060371"</f>
        <v>2020050060371</v>
      </c>
      <c r="L1361" t="str">
        <f>"18086037"</f>
        <v>18086037</v>
      </c>
      <c r="M1361" t="s">
        <v>21</v>
      </c>
      <c r="N1361" s="1">
        <v>43126.65347222222</v>
      </c>
      <c r="O1361" t="s">
        <v>19</v>
      </c>
    </row>
    <row r="1362" spans="1:15" x14ac:dyDescent="0.25">
      <c r="A1362" t="s">
        <v>1224</v>
      </c>
      <c r="B1362" t="s">
        <v>15</v>
      </c>
      <c r="C1362" t="s">
        <v>31</v>
      </c>
      <c r="D1362" t="s">
        <v>17</v>
      </c>
      <c r="E1362" t="s">
        <v>18</v>
      </c>
      <c r="F1362" t="s">
        <v>19</v>
      </c>
      <c r="G1362" t="s">
        <v>20</v>
      </c>
      <c r="J1362" t="s">
        <v>17</v>
      </c>
      <c r="K1362" t="str">
        <f>"2020050061118"</f>
        <v>2020050061118</v>
      </c>
      <c r="L1362" t="str">
        <f>"18086111"</f>
        <v>18086111</v>
      </c>
      <c r="M1362" t="s">
        <v>21</v>
      </c>
      <c r="N1362" s="1">
        <v>42880.882638888892</v>
      </c>
      <c r="O1362" t="s">
        <v>19</v>
      </c>
    </row>
    <row r="1363" spans="1:15" x14ac:dyDescent="0.25">
      <c r="A1363" t="s">
        <v>1225</v>
      </c>
      <c r="B1363" t="s">
        <v>15</v>
      </c>
      <c r="C1363" t="s">
        <v>31</v>
      </c>
      <c r="D1363" t="s">
        <v>17</v>
      </c>
      <c r="E1363" t="s">
        <v>18</v>
      </c>
      <c r="F1363" t="s">
        <v>19</v>
      </c>
      <c r="G1363" t="s">
        <v>20</v>
      </c>
      <c r="J1363" t="s">
        <v>17</v>
      </c>
      <c r="K1363" t="str">
        <f>"2020050061125"</f>
        <v>2020050061125</v>
      </c>
      <c r="L1363" t="str">
        <f>"18086112"</f>
        <v>18086112</v>
      </c>
      <c r="M1363" t="s">
        <v>21</v>
      </c>
      <c r="N1363" s="1">
        <v>43609.811805555553</v>
      </c>
      <c r="O1363" t="s">
        <v>19</v>
      </c>
    </row>
    <row r="1364" spans="1:15" x14ac:dyDescent="0.25">
      <c r="A1364" t="s">
        <v>1226</v>
      </c>
      <c r="B1364" t="s">
        <v>15</v>
      </c>
      <c r="C1364" t="s">
        <v>31</v>
      </c>
      <c r="D1364" t="s">
        <v>17</v>
      </c>
      <c r="E1364" t="s">
        <v>18</v>
      </c>
      <c r="F1364" t="s">
        <v>19</v>
      </c>
      <c r="G1364" t="s">
        <v>20</v>
      </c>
      <c r="J1364" t="s">
        <v>17</v>
      </c>
      <c r="K1364" t="str">
        <f>"2020050061132"</f>
        <v>2020050061132</v>
      </c>
      <c r="L1364" t="str">
        <f>"18086113"</f>
        <v>18086113</v>
      </c>
      <c r="M1364" t="s">
        <v>21</v>
      </c>
      <c r="N1364" s="1">
        <v>42895.731944444444</v>
      </c>
      <c r="O1364" t="s">
        <v>19</v>
      </c>
    </row>
    <row r="1365" spans="1:15" x14ac:dyDescent="0.25">
      <c r="A1365" t="s">
        <v>1227</v>
      </c>
      <c r="B1365" t="s">
        <v>15</v>
      </c>
      <c r="C1365" t="s">
        <v>31</v>
      </c>
      <c r="D1365" t="s">
        <v>17</v>
      </c>
      <c r="E1365" t="s">
        <v>18</v>
      </c>
      <c r="F1365" t="s">
        <v>19</v>
      </c>
      <c r="G1365" t="s">
        <v>20</v>
      </c>
      <c r="J1365" t="s">
        <v>17</v>
      </c>
      <c r="K1365" t="str">
        <f>"2020050061156"</f>
        <v>2020050061156</v>
      </c>
      <c r="L1365" t="str">
        <f>"18086115"</f>
        <v>18086115</v>
      </c>
      <c r="M1365" t="s">
        <v>21</v>
      </c>
      <c r="N1365" s="1">
        <v>42872.839583333334</v>
      </c>
      <c r="O1365" t="s">
        <v>19</v>
      </c>
    </row>
    <row r="1366" spans="1:15" x14ac:dyDescent="0.25">
      <c r="A1366" t="s">
        <v>1228</v>
      </c>
      <c r="B1366" t="s">
        <v>15</v>
      </c>
      <c r="C1366" t="s">
        <v>31</v>
      </c>
      <c r="D1366" t="s">
        <v>17</v>
      </c>
      <c r="E1366" t="s">
        <v>18</v>
      </c>
      <c r="F1366" t="s">
        <v>19</v>
      </c>
      <c r="G1366" t="s">
        <v>20</v>
      </c>
      <c r="J1366" t="s">
        <v>17</v>
      </c>
      <c r="K1366" t="str">
        <f>"2020050061163"</f>
        <v>2020050061163</v>
      </c>
      <c r="L1366" t="str">
        <f>"18086116"</f>
        <v>18086116</v>
      </c>
      <c r="M1366" t="s">
        <v>21</v>
      </c>
      <c r="N1366" s="1">
        <v>42872.839583333334</v>
      </c>
      <c r="O1366" t="s">
        <v>19</v>
      </c>
    </row>
    <row r="1367" spans="1:15" x14ac:dyDescent="0.25">
      <c r="A1367" t="s">
        <v>1229</v>
      </c>
      <c r="B1367" t="s">
        <v>15</v>
      </c>
      <c r="C1367" t="s">
        <v>31</v>
      </c>
      <c r="D1367" t="s">
        <v>17</v>
      </c>
      <c r="E1367" t="s">
        <v>18</v>
      </c>
      <c r="F1367" t="s">
        <v>19</v>
      </c>
      <c r="G1367" t="s">
        <v>20</v>
      </c>
      <c r="J1367" t="s">
        <v>17</v>
      </c>
      <c r="K1367" t="str">
        <f>"2020050061170"</f>
        <v>2020050061170</v>
      </c>
      <c r="L1367" t="str">
        <f>"18086117"</f>
        <v>18086117</v>
      </c>
      <c r="M1367" t="s">
        <v>21</v>
      </c>
      <c r="N1367" s="1">
        <v>42872.849305555559</v>
      </c>
      <c r="O1367" t="s">
        <v>19</v>
      </c>
    </row>
    <row r="1368" spans="1:15" x14ac:dyDescent="0.25">
      <c r="A1368" t="s">
        <v>1230</v>
      </c>
      <c r="B1368" t="s">
        <v>15</v>
      </c>
      <c r="C1368" t="s">
        <v>31</v>
      </c>
      <c r="D1368" t="s">
        <v>17</v>
      </c>
      <c r="E1368" t="s">
        <v>18</v>
      </c>
      <c r="F1368" t="s">
        <v>19</v>
      </c>
      <c r="G1368" t="s">
        <v>20</v>
      </c>
      <c r="J1368" t="s">
        <v>17</v>
      </c>
      <c r="K1368" t="str">
        <f>"2020050061187"</f>
        <v>2020050061187</v>
      </c>
      <c r="L1368" t="str">
        <f>"18086118"</f>
        <v>18086118</v>
      </c>
      <c r="M1368" t="s">
        <v>21</v>
      </c>
      <c r="N1368" s="1">
        <v>42872.839583333334</v>
      </c>
      <c r="O1368" t="s">
        <v>19</v>
      </c>
    </row>
    <row r="1369" spans="1:15" x14ac:dyDescent="0.25">
      <c r="A1369" t="s">
        <v>1231</v>
      </c>
      <c r="B1369" t="s">
        <v>15</v>
      </c>
      <c r="C1369" t="s">
        <v>31</v>
      </c>
      <c r="D1369" t="s">
        <v>17</v>
      </c>
      <c r="E1369" t="s">
        <v>18</v>
      </c>
      <c r="F1369" t="s">
        <v>19</v>
      </c>
      <c r="G1369" t="s">
        <v>20</v>
      </c>
      <c r="J1369" t="s">
        <v>17</v>
      </c>
      <c r="K1369" t="str">
        <f>"2020050061194"</f>
        <v>2020050061194</v>
      </c>
      <c r="L1369" t="str">
        <f>"18086119"</f>
        <v>18086119</v>
      </c>
      <c r="M1369" t="s">
        <v>21</v>
      </c>
      <c r="N1369" s="1">
        <v>42872.849305555559</v>
      </c>
      <c r="O1369" t="s">
        <v>19</v>
      </c>
    </row>
    <row r="1370" spans="1:15" x14ac:dyDescent="0.25">
      <c r="A1370" t="s">
        <v>1232</v>
      </c>
      <c r="B1370" t="s">
        <v>15</v>
      </c>
      <c r="C1370" t="s">
        <v>31</v>
      </c>
      <c r="D1370" t="s">
        <v>17</v>
      </c>
      <c r="E1370" t="s">
        <v>18</v>
      </c>
      <c r="F1370" t="s">
        <v>19</v>
      </c>
      <c r="G1370" t="s">
        <v>20</v>
      </c>
      <c r="J1370" t="s">
        <v>17</v>
      </c>
      <c r="K1370" t="str">
        <f>"2020050061149"</f>
        <v>2020050061149</v>
      </c>
      <c r="L1370" t="str">
        <f>"18086114"</f>
        <v>18086114</v>
      </c>
      <c r="M1370" t="s">
        <v>21</v>
      </c>
      <c r="N1370" s="1">
        <v>42898.979166666664</v>
      </c>
      <c r="O1370" t="s">
        <v>19</v>
      </c>
    </row>
    <row r="1371" spans="1:15" x14ac:dyDescent="0.25">
      <c r="A1371" t="s">
        <v>1233</v>
      </c>
      <c r="B1371" t="s">
        <v>15</v>
      </c>
      <c r="C1371" t="s">
        <v>23</v>
      </c>
      <c r="D1371" t="s">
        <v>17</v>
      </c>
      <c r="E1371" t="s">
        <v>18</v>
      </c>
      <c r="F1371" t="s">
        <v>19</v>
      </c>
      <c r="G1371" t="s">
        <v>20</v>
      </c>
      <c r="J1371" t="s">
        <v>17</v>
      </c>
      <c r="K1371" t="str">
        <f>"10081109"</f>
        <v>10081109</v>
      </c>
      <c r="L1371" t="str">
        <f>"10081109"</f>
        <v>10081109</v>
      </c>
      <c r="M1371" t="s">
        <v>75</v>
      </c>
      <c r="N1371" s="1">
        <v>42908.670138888891</v>
      </c>
      <c r="O1371" t="s">
        <v>19</v>
      </c>
    </row>
    <row r="1372" spans="1:15" x14ac:dyDescent="0.25">
      <c r="A1372" t="s">
        <v>1234</v>
      </c>
      <c r="B1372" t="s">
        <v>15</v>
      </c>
      <c r="C1372" t="s">
        <v>31</v>
      </c>
      <c r="D1372" t="s">
        <v>17</v>
      </c>
      <c r="E1372" t="s">
        <v>18</v>
      </c>
      <c r="F1372" t="s">
        <v>19</v>
      </c>
      <c r="G1372" t="s">
        <v>20</v>
      </c>
      <c r="J1372" t="s">
        <v>17</v>
      </c>
      <c r="K1372" t="str">
        <f>"6999586966159"</f>
        <v>6999586966159</v>
      </c>
      <c r="L1372" t="str">
        <f>"10111660"</f>
        <v>10111660</v>
      </c>
      <c r="M1372" t="s">
        <v>21</v>
      </c>
      <c r="N1372" s="1">
        <v>43819.9</v>
      </c>
      <c r="O1372" t="s">
        <v>19</v>
      </c>
    </row>
    <row r="1373" spans="1:15" x14ac:dyDescent="0.25">
      <c r="A1373" t="s">
        <v>1235</v>
      </c>
      <c r="B1373" t="s">
        <v>15</v>
      </c>
      <c r="C1373" t="s">
        <v>23</v>
      </c>
      <c r="D1373" t="s">
        <v>17</v>
      </c>
      <c r="E1373" t="s">
        <v>18</v>
      </c>
      <c r="F1373" t="s">
        <v>19</v>
      </c>
      <c r="G1373" t="s">
        <v>20</v>
      </c>
      <c r="J1373" t="s">
        <v>17</v>
      </c>
      <c r="K1373" t="str">
        <f>"10001562"</f>
        <v>10001562</v>
      </c>
      <c r="L1373" t="str">
        <f>"10001562"</f>
        <v>10001562</v>
      </c>
      <c r="M1373" t="s">
        <v>75</v>
      </c>
      <c r="N1373" s="1">
        <v>42872.839583333334</v>
      </c>
      <c r="O1373" t="s">
        <v>19</v>
      </c>
    </row>
    <row r="1374" spans="1:15" x14ac:dyDescent="0.25">
      <c r="A1374" t="s">
        <v>1236</v>
      </c>
      <c r="B1374" t="s">
        <v>15</v>
      </c>
      <c r="C1374" t="s">
        <v>31</v>
      </c>
      <c r="D1374" t="s">
        <v>17</v>
      </c>
      <c r="E1374" t="s">
        <v>18</v>
      </c>
      <c r="F1374" t="s">
        <v>19</v>
      </c>
      <c r="G1374" t="s">
        <v>20</v>
      </c>
      <c r="J1374" t="s">
        <v>17</v>
      </c>
      <c r="K1374" t="str">
        <f>"10001661"</f>
        <v>10001661</v>
      </c>
      <c r="L1374" t="str">
        <f>"10001661"</f>
        <v>10001661</v>
      </c>
      <c r="M1374" t="s">
        <v>21</v>
      </c>
      <c r="N1374" s="1">
        <v>43647.867361111108</v>
      </c>
      <c r="O1374" t="s">
        <v>19</v>
      </c>
    </row>
    <row r="1375" spans="1:15" x14ac:dyDescent="0.25">
      <c r="A1375" t="s">
        <v>1237</v>
      </c>
      <c r="B1375" t="s">
        <v>15</v>
      </c>
      <c r="C1375" t="s">
        <v>23</v>
      </c>
      <c r="D1375" t="s">
        <v>17</v>
      </c>
      <c r="E1375" t="s">
        <v>18</v>
      </c>
      <c r="F1375" t="s">
        <v>19</v>
      </c>
      <c r="G1375" t="s">
        <v>20</v>
      </c>
      <c r="J1375" t="s">
        <v>17</v>
      </c>
      <c r="K1375" t="str">
        <f>"10001701"</f>
        <v>10001701</v>
      </c>
      <c r="L1375" t="str">
        <f>"10001701"</f>
        <v>10001701</v>
      </c>
      <c r="M1375" t="s">
        <v>84</v>
      </c>
      <c r="N1375" s="1">
        <v>43470.774305555555</v>
      </c>
      <c r="O1375" t="s">
        <v>19</v>
      </c>
    </row>
    <row r="1376" spans="1:15" x14ac:dyDescent="0.25">
      <c r="A1376" t="s">
        <v>1238</v>
      </c>
      <c r="B1376" t="s">
        <v>15</v>
      </c>
      <c r="C1376" t="s">
        <v>31</v>
      </c>
      <c r="D1376" t="s">
        <v>17</v>
      </c>
      <c r="E1376" t="s">
        <v>18</v>
      </c>
      <c r="F1376" t="s">
        <v>19</v>
      </c>
      <c r="G1376" t="s">
        <v>20</v>
      </c>
      <c r="J1376" t="s">
        <v>17</v>
      </c>
      <c r="K1376" t="str">
        <f>"030878335720"</f>
        <v>030878335720</v>
      </c>
      <c r="L1376" t="str">
        <f>"10001710"</f>
        <v>10001710</v>
      </c>
      <c r="M1376" t="s">
        <v>21</v>
      </c>
      <c r="N1376" s="1">
        <v>43893.669444444444</v>
      </c>
      <c r="O1376" t="s">
        <v>19</v>
      </c>
    </row>
    <row r="1377" spans="1:15" x14ac:dyDescent="0.25">
      <c r="A1377" t="s">
        <v>1239</v>
      </c>
      <c r="B1377" t="s">
        <v>15</v>
      </c>
      <c r="C1377" t="s">
        <v>31</v>
      </c>
      <c r="D1377" t="s">
        <v>17</v>
      </c>
      <c r="E1377" t="s">
        <v>18</v>
      </c>
      <c r="F1377" t="s">
        <v>19</v>
      </c>
      <c r="G1377" t="s">
        <v>20</v>
      </c>
      <c r="J1377" t="s">
        <v>17</v>
      </c>
      <c r="K1377" t="str">
        <f>"10002335"</f>
        <v>10002335</v>
      </c>
      <c r="L1377" t="str">
        <f>"10002335"</f>
        <v>10002335</v>
      </c>
      <c r="M1377" t="s">
        <v>84</v>
      </c>
      <c r="N1377" s="1">
        <v>43532.898611111108</v>
      </c>
      <c r="O1377" t="s">
        <v>19</v>
      </c>
    </row>
    <row r="1378" spans="1:15" x14ac:dyDescent="0.25">
      <c r="A1378" t="s">
        <v>1240</v>
      </c>
      <c r="B1378" t="s">
        <v>15</v>
      </c>
      <c r="C1378" t="s">
        <v>31</v>
      </c>
      <c r="D1378" t="s">
        <v>17</v>
      </c>
      <c r="E1378" t="s">
        <v>18</v>
      </c>
      <c r="F1378" t="s">
        <v>19</v>
      </c>
      <c r="G1378" t="s">
        <v>20</v>
      </c>
      <c r="J1378" t="s">
        <v>17</v>
      </c>
      <c r="K1378" t="str">
        <f>"6999958569032"</f>
        <v>6999958569032</v>
      </c>
      <c r="L1378" t="str">
        <f>"10002591"</f>
        <v>10002591</v>
      </c>
      <c r="M1378" t="s">
        <v>21</v>
      </c>
      <c r="N1378" s="1">
        <v>43854.697222222225</v>
      </c>
      <c r="O1378" t="s">
        <v>19</v>
      </c>
    </row>
    <row r="1379" spans="1:15" x14ac:dyDescent="0.25">
      <c r="A1379" t="s">
        <v>1241</v>
      </c>
      <c r="B1379" t="s">
        <v>15</v>
      </c>
      <c r="C1379" t="s">
        <v>31</v>
      </c>
      <c r="D1379" t="s">
        <v>17</v>
      </c>
      <c r="E1379" t="s">
        <v>18</v>
      </c>
      <c r="F1379" t="s">
        <v>19</v>
      </c>
      <c r="G1379" t="s">
        <v>20</v>
      </c>
      <c r="J1379" t="s">
        <v>17</v>
      </c>
      <c r="K1379" t="str">
        <f>"10002688"</f>
        <v>10002688</v>
      </c>
      <c r="L1379" t="str">
        <f>"10002688"</f>
        <v>10002688</v>
      </c>
      <c r="M1379" t="s">
        <v>84</v>
      </c>
      <c r="N1379" s="1">
        <v>43470.779861111114</v>
      </c>
      <c r="O1379" t="s">
        <v>19</v>
      </c>
    </row>
    <row r="1380" spans="1:15" x14ac:dyDescent="0.25">
      <c r="A1380" t="s">
        <v>1242</v>
      </c>
      <c r="B1380" t="s">
        <v>15</v>
      </c>
      <c r="C1380" t="s">
        <v>31</v>
      </c>
      <c r="D1380" t="s">
        <v>17</v>
      </c>
      <c r="E1380" t="s">
        <v>18</v>
      </c>
      <c r="F1380" t="s">
        <v>19</v>
      </c>
      <c r="G1380" t="s">
        <v>20</v>
      </c>
      <c r="J1380" t="s">
        <v>17</v>
      </c>
      <c r="K1380" t="str">
        <f>"692436574257"</f>
        <v>692436574257</v>
      </c>
      <c r="L1380" t="str">
        <f>"10003689"</f>
        <v>10003689</v>
      </c>
      <c r="M1380" t="s">
        <v>21</v>
      </c>
      <c r="N1380" s="1">
        <v>43532.897222222222</v>
      </c>
      <c r="O1380" t="s">
        <v>19</v>
      </c>
    </row>
    <row r="1381" spans="1:15" x14ac:dyDescent="0.25">
      <c r="A1381" t="s">
        <v>1243</v>
      </c>
      <c r="B1381" t="s">
        <v>15</v>
      </c>
      <c r="C1381" t="s">
        <v>31</v>
      </c>
      <c r="D1381" t="s">
        <v>17</v>
      </c>
      <c r="E1381" t="s">
        <v>18</v>
      </c>
      <c r="F1381" t="s">
        <v>19</v>
      </c>
      <c r="G1381" t="s">
        <v>20</v>
      </c>
      <c r="J1381" t="s">
        <v>17</v>
      </c>
      <c r="K1381" t="str">
        <f>"6918888888563"</f>
        <v>6918888888563</v>
      </c>
      <c r="L1381" t="str">
        <f>"40080001"</f>
        <v>40080001</v>
      </c>
      <c r="M1381" t="s">
        <v>21</v>
      </c>
      <c r="N1381" s="1">
        <v>44225.816666666666</v>
      </c>
      <c r="O1381" t="s">
        <v>19</v>
      </c>
    </row>
    <row r="1382" spans="1:15" x14ac:dyDescent="0.25">
      <c r="A1382" t="s">
        <v>1244</v>
      </c>
      <c r="B1382" t="s">
        <v>15</v>
      </c>
      <c r="C1382" t="s">
        <v>23</v>
      </c>
      <c r="D1382" t="s">
        <v>17</v>
      </c>
      <c r="E1382" t="s">
        <v>18</v>
      </c>
      <c r="F1382" t="s">
        <v>19</v>
      </c>
      <c r="G1382" t="s">
        <v>20</v>
      </c>
      <c r="J1382" t="s">
        <v>17</v>
      </c>
      <c r="K1382" t="str">
        <f>"10003966"</f>
        <v>10003966</v>
      </c>
      <c r="L1382" t="str">
        <f>"10003966"</f>
        <v>10003966</v>
      </c>
      <c r="M1382" t="s">
        <v>75</v>
      </c>
      <c r="N1382" s="1">
        <v>43216.881944444445</v>
      </c>
      <c r="O1382" t="s">
        <v>19</v>
      </c>
    </row>
    <row r="1383" spans="1:15" x14ac:dyDescent="0.25">
      <c r="A1383" t="s">
        <v>1245</v>
      </c>
      <c r="B1383" t="s">
        <v>15</v>
      </c>
      <c r="C1383" t="s">
        <v>31</v>
      </c>
      <c r="D1383" t="s">
        <v>17</v>
      </c>
      <c r="E1383" t="s">
        <v>18</v>
      </c>
      <c r="F1383" t="s">
        <v>19</v>
      </c>
      <c r="G1383" t="s">
        <v>20</v>
      </c>
      <c r="J1383" t="s">
        <v>17</v>
      </c>
      <c r="K1383" t="str">
        <f>"680988391927"</f>
        <v>680988391927</v>
      </c>
      <c r="L1383" t="str">
        <f>"10001694"</f>
        <v>10001694</v>
      </c>
      <c r="M1383" t="s">
        <v>84</v>
      </c>
      <c r="N1383" s="1">
        <v>43571.972222222219</v>
      </c>
      <c r="O1383" t="s">
        <v>19</v>
      </c>
    </row>
    <row r="1384" spans="1:15" x14ac:dyDescent="0.25">
      <c r="A1384" t="s">
        <v>1246</v>
      </c>
      <c r="B1384" t="s">
        <v>15</v>
      </c>
      <c r="C1384" t="s">
        <v>31</v>
      </c>
      <c r="D1384" t="s">
        <v>17</v>
      </c>
      <c r="E1384" t="s">
        <v>18</v>
      </c>
      <c r="F1384" t="s">
        <v>19</v>
      </c>
      <c r="G1384" t="s">
        <v>20</v>
      </c>
      <c r="J1384" t="s">
        <v>17</v>
      </c>
      <c r="K1384" t="str">
        <f>"98081100"</f>
        <v>98081100</v>
      </c>
      <c r="L1384" t="str">
        <f>"98081100"</f>
        <v>98081100</v>
      </c>
      <c r="M1384" t="s">
        <v>21</v>
      </c>
      <c r="N1384" s="1">
        <v>42872.839583333334</v>
      </c>
      <c r="O1384" t="s">
        <v>19</v>
      </c>
    </row>
    <row r="1385" spans="1:15" x14ac:dyDescent="0.25">
      <c r="A1385" t="s">
        <v>1247</v>
      </c>
      <c r="B1385" t="s">
        <v>15</v>
      </c>
      <c r="C1385" t="s">
        <v>31</v>
      </c>
      <c r="D1385" t="s">
        <v>17</v>
      </c>
      <c r="E1385" t="s">
        <v>18</v>
      </c>
      <c r="F1385" t="s">
        <v>19</v>
      </c>
      <c r="G1385" t="s">
        <v>20</v>
      </c>
      <c r="J1385" t="s">
        <v>17</v>
      </c>
      <c r="K1385" t="str">
        <f>"7858816021206"</f>
        <v>7858816021206</v>
      </c>
      <c r="L1385" t="str">
        <f>"87082120"</f>
        <v>87082120</v>
      </c>
      <c r="M1385" t="s">
        <v>21</v>
      </c>
      <c r="N1385" s="1">
        <v>43853.658333333333</v>
      </c>
      <c r="O1385" t="s">
        <v>19</v>
      </c>
    </row>
    <row r="1386" spans="1:15" x14ac:dyDescent="0.25">
      <c r="A1386" t="s">
        <v>1248</v>
      </c>
      <c r="B1386" t="s">
        <v>15</v>
      </c>
      <c r="C1386" t="s">
        <v>31</v>
      </c>
      <c r="D1386" t="s">
        <v>17</v>
      </c>
      <c r="E1386" t="s">
        <v>18</v>
      </c>
      <c r="F1386" t="s">
        <v>19</v>
      </c>
      <c r="G1386" t="s">
        <v>20</v>
      </c>
      <c r="J1386" t="s">
        <v>17</v>
      </c>
      <c r="K1386" t="str">
        <f>"7858816048074"</f>
        <v>7858816048074</v>
      </c>
      <c r="L1386" t="str">
        <f>"87084807"</f>
        <v>87084807</v>
      </c>
      <c r="M1386" t="s">
        <v>21</v>
      </c>
      <c r="N1386" s="1">
        <v>43889.869444444441</v>
      </c>
      <c r="O1386" t="s">
        <v>19</v>
      </c>
    </row>
    <row r="1387" spans="1:15" x14ac:dyDescent="0.25">
      <c r="A1387" t="s">
        <v>1249</v>
      </c>
      <c r="B1387" t="s">
        <v>15</v>
      </c>
      <c r="C1387" t="s">
        <v>31</v>
      </c>
      <c r="D1387" t="s">
        <v>17</v>
      </c>
      <c r="E1387" t="s">
        <v>18</v>
      </c>
      <c r="F1387" t="s">
        <v>19</v>
      </c>
      <c r="G1387" t="s">
        <v>20</v>
      </c>
      <c r="J1387" t="s">
        <v>17</v>
      </c>
      <c r="K1387" t="str">
        <f>"7858816054273"</f>
        <v>7858816054273</v>
      </c>
      <c r="L1387" t="str">
        <f>"87085427"</f>
        <v>87085427</v>
      </c>
      <c r="M1387" t="s">
        <v>84</v>
      </c>
      <c r="N1387" s="1">
        <v>43463.70416666667</v>
      </c>
      <c r="O1387" t="s">
        <v>19</v>
      </c>
    </row>
    <row r="1388" spans="1:15" x14ac:dyDescent="0.25">
      <c r="A1388" t="s">
        <v>1250</v>
      </c>
      <c r="B1388" t="s">
        <v>15</v>
      </c>
      <c r="C1388" t="s">
        <v>31</v>
      </c>
      <c r="D1388" t="s">
        <v>17</v>
      </c>
      <c r="E1388" t="s">
        <v>18</v>
      </c>
      <c r="F1388" t="s">
        <v>19</v>
      </c>
      <c r="G1388" t="s">
        <v>20</v>
      </c>
      <c r="J1388" t="s">
        <v>17</v>
      </c>
      <c r="K1388" t="str">
        <f>"7858816065255"</f>
        <v>7858816065255</v>
      </c>
      <c r="L1388" t="str">
        <f>"87086525"</f>
        <v>87086525</v>
      </c>
      <c r="M1388" t="s">
        <v>21</v>
      </c>
      <c r="N1388" s="1">
        <v>43889.893750000003</v>
      </c>
      <c r="O1388" t="s">
        <v>19</v>
      </c>
    </row>
    <row r="1389" spans="1:15" x14ac:dyDescent="0.25">
      <c r="A1389" t="s">
        <v>1251</v>
      </c>
      <c r="B1389" t="s">
        <v>15</v>
      </c>
      <c r="C1389" t="s">
        <v>31</v>
      </c>
      <c r="D1389" t="s">
        <v>17</v>
      </c>
      <c r="E1389" t="s">
        <v>18</v>
      </c>
      <c r="F1389" t="s">
        <v>19</v>
      </c>
      <c r="G1389" t="s">
        <v>20</v>
      </c>
      <c r="J1389" t="s">
        <v>17</v>
      </c>
      <c r="K1389" t="str">
        <f>"7858816078026"</f>
        <v>7858816078026</v>
      </c>
      <c r="L1389" t="str">
        <f>"87087802"</f>
        <v>87087802</v>
      </c>
      <c r="M1389" t="s">
        <v>21</v>
      </c>
      <c r="N1389" s="1">
        <v>43889.869444444441</v>
      </c>
      <c r="O1389" t="s">
        <v>19</v>
      </c>
    </row>
    <row r="1390" spans="1:15" x14ac:dyDescent="0.25">
      <c r="A1390" t="s">
        <v>1252</v>
      </c>
      <c r="B1390" t="s">
        <v>15</v>
      </c>
      <c r="C1390" t="s">
        <v>23</v>
      </c>
      <c r="D1390" t="s">
        <v>17</v>
      </c>
      <c r="E1390" t="s">
        <v>18</v>
      </c>
      <c r="F1390" t="s">
        <v>19</v>
      </c>
      <c r="G1390" t="s">
        <v>20</v>
      </c>
      <c r="J1390" t="s">
        <v>17</v>
      </c>
      <c r="K1390" t="str">
        <f>"8518783725017"</f>
        <v>8518783725017</v>
      </c>
      <c r="L1390" t="str">
        <f>"10017015"</f>
        <v>10017015</v>
      </c>
      <c r="M1390" t="s">
        <v>75</v>
      </c>
      <c r="N1390" s="1">
        <v>42872.839583333334</v>
      </c>
      <c r="O1390" t="s">
        <v>19</v>
      </c>
    </row>
    <row r="1391" spans="1:15" x14ac:dyDescent="0.25">
      <c r="A1391" t="s">
        <v>1253</v>
      </c>
      <c r="B1391" t="s">
        <v>15</v>
      </c>
      <c r="C1391" t="s">
        <v>31</v>
      </c>
      <c r="D1391" t="s">
        <v>17</v>
      </c>
      <c r="E1391" t="s">
        <v>18</v>
      </c>
      <c r="F1391" t="s">
        <v>19</v>
      </c>
      <c r="G1391" t="s">
        <v>20</v>
      </c>
      <c r="J1391" t="s">
        <v>17</v>
      </c>
      <c r="K1391" t="str">
        <f>"4895185608808"</f>
        <v>4895185608808</v>
      </c>
      <c r="L1391" t="str">
        <f>"98081639"</f>
        <v>98081639</v>
      </c>
      <c r="M1391" t="s">
        <v>75</v>
      </c>
      <c r="N1391" s="1">
        <v>43236.67291666667</v>
      </c>
      <c r="O1391" t="s">
        <v>19</v>
      </c>
    </row>
    <row r="1392" spans="1:15" x14ac:dyDescent="0.25">
      <c r="A1392" t="s">
        <v>1254</v>
      </c>
      <c r="B1392" t="s">
        <v>15</v>
      </c>
      <c r="C1392" t="s">
        <v>23</v>
      </c>
      <c r="D1392" t="s">
        <v>17</v>
      </c>
      <c r="E1392" t="s">
        <v>18</v>
      </c>
      <c r="F1392" t="s">
        <v>19</v>
      </c>
      <c r="G1392" t="s">
        <v>20</v>
      </c>
      <c r="J1392" t="s">
        <v>17</v>
      </c>
      <c r="K1392" t="str">
        <f>"10006807"</f>
        <v>10006807</v>
      </c>
      <c r="L1392" t="str">
        <f>"10006807"</f>
        <v>10006807</v>
      </c>
      <c r="M1392" t="s">
        <v>84</v>
      </c>
      <c r="N1392" s="1">
        <v>43396.723611111112</v>
      </c>
      <c r="O1392" t="s">
        <v>19</v>
      </c>
    </row>
    <row r="1393" spans="1:15" x14ac:dyDescent="0.25">
      <c r="A1393" t="s">
        <v>1255</v>
      </c>
      <c r="B1393" t="s">
        <v>15</v>
      </c>
      <c r="C1393" t="s">
        <v>31</v>
      </c>
      <c r="D1393" t="s">
        <v>17</v>
      </c>
      <c r="E1393" t="s">
        <v>18</v>
      </c>
      <c r="F1393" t="s">
        <v>19</v>
      </c>
      <c r="G1393" t="s">
        <v>20</v>
      </c>
      <c r="J1393" t="s">
        <v>17</v>
      </c>
      <c r="K1393" t="str">
        <f>"10000045"</f>
        <v>10000045</v>
      </c>
      <c r="L1393" t="str">
        <f>"10000045"</f>
        <v>10000045</v>
      </c>
      <c r="M1393" t="s">
        <v>75</v>
      </c>
      <c r="N1393" s="1">
        <v>42872.839583333334</v>
      </c>
      <c r="O1393" t="s">
        <v>19</v>
      </c>
    </row>
    <row r="1394" spans="1:15" x14ac:dyDescent="0.25">
      <c r="A1394" t="s">
        <v>1256</v>
      </c>
      <c r="B1394" t="s">
        <v>15</v>
      </c>
      <c r="C1394" t="s">
        <v>31</v>
      </c>
      <c r="D1394" t="s">
        <v>17</v>
      </c>
      <c r="E1394" t="s">
        <v>18</v>
      </c>
      <c r="F1394" t="s">
        <v>19</v>
      </c>
      <c r="G1394" t="s">
        <v>20</v>
      </c>
      <c r="J1394" t="s">
        <v>17</v>
      </c>
      <c r="K1394" t="str">
        <f>"7867866111010"</f>
        <v>7867866111010</v>
      </c>
      <c r="L1394" t="str">
        <f>"2208017"</f>
        <v>2208017</v>
      </c>
      <c r="M1394" t="s">
        <v>21</v>
      </c>
      <c r="N1394" s="1">
        <v>43314.677777777775</v>
      </c>
      <c r="O1394" t="s">
        <v>19</v>
      </c>
    </row>
    <row r="1395" spans="1:15" x14ac:dyDescent="0.25">
      <c r="A1395" t="s">
        <v>1257</v>
      </c>
      <c r="B1395" t="s">
        <v>15</v>
      </c>
      <c r="C1395" t="s">
        <v>31</v>
      </c>
      <c r="D1395" t="s">
        <v>17</v>
      </c>
      <c r="E1395" t="s">
        <v>18</v>
      </c>
      <c r="F1395" t="s">
        <v>19</v>
      </c>
      <c r="G1395" t="s">
        <v>20</v>
      </c>
      <c r="J1395" t="s">
        <v>17</v>
      </c>
      <c r="K1395" t="str">
        <f>"7867866111027"</f>
        <v>7867866111027</v>
      </c>
      <c r="L1395" t="str">
        <f>"22080135"</f>
        <v>22080135</v>
      </c>
      <c r="M1395" t="s">
        <v>21</v>
      </c>
      <c r="N1395" s="1">
        <v>43853.820138888892</v>
      </c>
      <c r="O1395" t="s">
        <v>19</v>
      </c>
    </row>
    <row r="1396" spans="1:15" x14ac:dyDescent="0.25">
      <c r="A1396" t="s">
        <v>1258</v>
      </c>
      <c r="B1396" t="s">
        <v>15</v>
      </c>
      <c r="C1396" t="s">
        <v>31</v>
      </c>
      <c r="D1396" t="s">
        <v>17</v>
      </c>
      <c r="E1396" t="s">
        <v>18</v>
      </c>
      <c r="F1396" t="s">
        <v>19</v>
      </c>
      <c r="G1396" t="s">
        <v>20</v>
      </c>
      <c r="J1396" t="s">
        <v>17</v>
      </c>
      <c r="K1396" t="str">
        <f>"9789688874103"</f>
        <v>9789688874103</v>
      </c>
      <c r="L1396" t="str">
        <f>"10107810"</f>
        <v>10107810</v>
      </c>
      <c r="M1396" t="s">
        <v>75</v>
      </c>
      <c r="N1396" s="1">
        <v>42872.839583333334</v>
      </c>
      <c r="O1396" t="s">
        <v>19</v>
      </c>
    </row>
    <row r="1397" spans="1:15" x14ac:dyDescent="0.25">
      <c r="A1397" t="s">
        <v>1259</v>
      </c>
      <c r="B1397" t="s">
        <v>15</v>
      </c>
      <c r="C1397" t="s">
        <v>23</v>
      </c>
      <c r="D1397" t="s">
        <v>17</v>
      </c>
      <c r="E1397" t="s">
        <v>18</v>
      </c>
      <c r="F1397" t="s">
        <v>19</v>
      </c>
      <c r="G1397" t="s">
        <v>20</v>
      </c>
      <c r="J1397" t="s">
        <v>17</v>
      </c>
      <c r="K1397" t="str">
        <f>"4903013839833"</f>
        <v>4903013839833</v>
      </c>
      <c r="L1397" t="str">
        <f>"10001591"</f>
        <v>10001591</v>
      </c>
      <c r="M1397" t="s">
        <v>84</v>
      </c>
      <c r="N1397" s="1">
        <v>43396.724999999999</v>
      </c>
      <c r="O1397" t="s">
        <v>19</v>
      </c>
    </row>
    <row r="1398" spans="1:15" x14ac:dyDescent="0.25">
      <c r="A1398" t="s">
        <v>1260</v>
      </c>
      <c r="B1398" t="s">
        <v>15</v>
      </c>
      <c r="C1398" t="s">
        <v>31</v>
      </c>
      <c r="D1398" t="s">
        <v>17</v>
      </c>
      <c r="E1398" t="s">
        <v>18</v>
      </c>
      <c r="F1398" t="s">
        <v>19</v>
      </c>
      <c r="G1398" t="s">
        <v>20</v>
      </c>
      <c r="J1398" t="s">
        <v>17</v>
      </c>
      <c r="K1398" t="str">
        <f>"7867866051897"</f>
        <v>7867866051897</v>
      </c>
      <c r="L1398" t="str">
        <f>"22085189"</f>
        <v>22085189</v>
      </c>
      <c r="M1398" t="s">
        <v>21</v>
      </c>
      <c r="N1398" s="1">
        <v>43125.817361111112</v>
      </c>
      <c r="O1398" t="s">
        <v>19</v>
      </c>
    </row>
    <row r="1399" spans="1:15" x14ac:dyDescent="0.25">
      <c r="A1399" t="s">
        <v>1261</v>
      </c>
      <c r="B1399" t="s">
        <v>15</v>
      </c>
      <c r="C1399" t="s">
        <v>31</v>
      </c>
      <c r="D1399" t="s">
        <v>17</v>
      </c>
      <c r="E1399" t="s">
        <v>18</v>
      </c>
      <c r="F1399" t="s">
        <v>19</v>
      </c>
      <c r="G1399" t="s">
        <v>20</v>
      </c>
      <c r="J1399" t="s">
        <v>17</v>
      </c>
      <c r="K1399" t="str">
        <f>"7858816053887"</f>
        <v>7858816053887</v>
      </c>
      <c r="L1399" t="str">
        <f>"10113178"</f>
        <v>10113178</v>
      </c>
      <c r="M1399" t="s">
        <v>21</v>
      </c>
      <c r="N1399" s="1">
        <v>43446.883333333331</v>
      </c>
      <c r="O1399" t="s">
        <v>19</v>
      </c>
    </row>
    <row r="1400" spans="1:15" x14ac:dyDescent="0.25">
      <c r="A1400" t="s">
        <v>1262</v>
      </c>
      <c r="B1400" t="s">
        <v>15</v>
      </c>
      <c r="C1400" t="s">
        <v>23</v>
      </c>
      <c r="D1400" t="s">
        <v>17</v>
      </c>
      <c r="E1400" t="s">
        <v>18</v>
      </c>
      <c r="F1400" t="s">
        <v>19</v>
      </c>
      <c r="G1400" t="s">
        <v>20</v>
      </c>
      <c r="J1400" t="s">
        <v>17</v>
      </c>
      <c r="K1400" t="str">
        <f>"100800661"</f>
        <v>100800661</v>
      </c>
      <c r="L1400" t="str">
        <f>"100800661"</f>
        <v>100800661</v>
      </c>
      <c r="M1400" t="s">
        <v>75</v>
      </c>
      <c r="N1400" s="1">
        <v>42872.847222222219</v>
      </c>
      <c r="O1400" t="s">
        <v>19</v>
      </c>
    </row>
    <row r="1401" spans="1:15" x14ac:dyDescent="0.25">
      <c r="A1401" t="s">
        <v>1263</v>
      </c>
      <c r="B1401" t="s">
        <v>15</v>
      </c>
      <c r="C1401" t="s">
        <v>23</v>
      </c>
      <c r="D1401" t="s">
        <v>17</v>
      </c>
      <c r="E1401" t="s">
        <v>18</v>
      </c>
      <c r="F1401" t="s">
        <v>19</v>
      </c>
      <c r="G1401" t="s">
        <v>20</v>
      </c>
      <c r="J1401" t="s">
        <v>17</v>
      </c>
      <c r="K1401" t="str">
        <f>"87081738"</f>
        <v>87081738</v>
      </c>
      <c r="L1401" t="str">
        <f>"87081738"</f>
        <v>87081738</v>
      </c>
      <c r="M1401" t="s">
        <v>75</v>
      </c>
      <c r="N1401" s="1">
        <v>42872.847222222219</v>
      </c>
      <c r="O1401" t="s">
        <v>19</v>
      </c>
    </row>
    <row r="1402" spans="1:15" x14ac:dyDescent="0.25">
      <c r="A1402" t="s">
        <v>1264</v>
      </c>
      <c r="B1402" t="s">
        <v>15</v>
      </c>
      <c r="C1402" t="s">
        <v>23</v>
      </c>
      <c r="D1402" t="s">
        <v>17</v>
      </c>
      <c r="E1402" t="s">
        <v>18</v>
      </c>
      <c r="F1402" t="s">
        <v>19</v>
      </c>
      <c r="G1402" t="s">
        <v>20</v>
      </c>
      <c r="J1402" t="s">
        <v>17</v>
      </c>
      <c r="K1402" t="str">
        <f>"87001739"</f>
        <v>87001739</v>
      </c>
      <c r="L1402" t="str">
        <f>"87001739"</f>
        <v>87001739</v>
      </c>
      <c r="M1402" t="s">
        <v>75</v>
      </c>
      <c r="N1402" s="1">
        <v>42872.847222222219</v>
      </c>
      <c r="O1402" t="s">
        <v>19</v>
      </c>
    </row>
    <row r="1403" spans="1:15" x14ac:dyDescent="0.25">
      <c r="A1403" t="s">
        <v>1265</v>
      </c>
      <c r="B1403" t="s">
        <v>15</v>
      </c>
      <c r="C1403" t="s">
        <v>23</v>
      </c>
      <c r="D1403" t="s">
        <v>17</v>
      </c>
      <c r="E1403" t="s">
        <v>18</v>
      </c>
      <c r="F1403" t="s">
        <v>19</v>
      </c>
      <c r="G1403" t="s">
        <v>20</v>
      </c>
      <c r="J1403" t="s">
        <v>17</v>
      </c>
      <c r="K1403" t="str">
        <f>"87091408"</f>
        <v>87091408</v>
      </c>
      <c r="L1403" t="str">
        <f>"87091408"</f>
        <v>87091408</v>
      </c>
      <c r="M1403" t="s">
        <v>75</v>
      </c>
      <c r="N1403" s="1">
        <v>42872.847222222219</v>
      </c>
      <c r="O1403" t="s">
        <v>19</v>
      </c>
    </row>
    <row r="1404" spans="1:15" x14ac:dyDescent="0.25">
      <c r="A1404" t="s">
        <v>1266</v>
      </c>
      <c r="B1404" t="s">
        <v>15</v>
      </c>
      <c r="C1404" t="s">
        <v>23</v>
      </c>
      <c r="D1404" t="s">
        <v>17</v>
      </c>
      <c r="E1404" t="s">
        <v>18</v>
      </c>
      <c r="F1404" t="s">
        <v>19</v>
      </c>
      <c r="G1404" t="s">
        <v>20</v>
      </c>
      <c r="J1404" t="s">
        <v>17</v>
      </c>
      <c r="K1404" t="str">
        <f>"100801014"</f>
        <v>100801014</v>
      </c>
      <c r="L1404" t="str">
        <f>"100801014"</f>
        <v>100801014</v>
      </c>
      <c r="M1404" t="s">
        <v>75</v>
      </c>
      <c r="N1404" s="1">
        <v>42872.847222222219</v>
      </c>
      <c r="O1404" t="s">
        <v>19</v>
      </c>
    </row>
    <row r="1405" spans="1:15" x14ac:dyDescent="0.25">
      <c r="A1405" t="s">
        <v>1267</v>
      </c>
      <c r="B1405" t="s">
        <v>15</v>
      </c>
      <c r="C1405" t="s">
        <v>31</v>
      </c>
      <c r="D1405" t="s">
        <v>17</v>
      </c>
      <c r="E1405" t="s">
        <v>18</v>
      </c>
      <c r="F1405" t="s">
        <v>19</v>
      </c>
      <c r="G1405" t="s">
        <v>20</v>
      </c>
      <c r="J1405" t="s">
        <v>17</v>
      </c>
      <c r="K1405" t="str">
        <f>"10012241"</f>
        <v>10012241</v>
      </c>
      <c r="L1405" t="str">
        <f>"10012241"</f>
        <v>10012241</v>
      </c>
      <c r="M1405" t="s">
        <v>75</v>
      </c>
      <c r="N1405" s="1">
        <v>42872.839583333334</v>
      </c>
      <c r="O1405" t="s">
        <v>19</v>
      </c>
    </row>
    <row r="1406" spans="1:15" x14ac:dyDescent="0.25">
      <c r="A1406" t="s">
        <v>1268</v>
      </c>
      <c r="B1406" t="s">
        <v>15</v>
      </c>
      <c r="C1406" t="s">
        <v>31</v>
      </c>
      <c r="D1406" t="s">
        <v>17</v>
      </c>
      <c r="E1406" t="s">
        <v>18</v>
      </c>
      <c r="F1406" t="s">
        <v>19</v>
      </c>
      <c r="G1406" t="s">
        <v>20</v>
      </c>
      <c r="J1406" t="s">
        <v>17</v>
      </c>
      <c r="K1406" t="str">
        <f>"10087026"</f>
        <v>10087026</v>
      </c>
      <c r="L1406" t="str">
        <f>"10087026"</f>
        <v>10087026</v>
      </c>
      <c r="M1406" t="s">
        <v>21</v>
      </c>
      <c r="N1406" s="1">
        <v>43110.940972222219</v>
      </c>
      <c r="O1406" t="s">
        <v>19</v>
      </c>
    </row>
    <row r="1407" spans="1:15" x14ac:dyDescent="0.25">
      <c r="A1407" t="s">
        <v>1269</v>
      </c>
      <c r="B1407" t="s">
        <v>15</v>
      </c>
      <c r="C1407" t="s">
        <v>31</v>
      </c>
      <c r="D1407" t="s">
        <v>17</v>
      </c>
      <c r="E1407" t="s">
        <v>18</v>
      </c>
      <c r="F1407" t="s">
        <v>19</v>
      </c>
      <c r="G1407" t="s">
        <v>20</v>
      </c>
      <c r="J1407" t="s">
        <v>17</v>
      </c>
      <c r="K1407" t="str">
        <f>"6686996002323"</f>
        <v>6686996002323</v>
      </c>
      <c r="L1407" t="str">
        <f>"40082323"</f>
        <v>40082323</v>
      </c>
      <c r="M1407" t="s">
        <v>21</v>
      </c>
      <c r="N1407" s="1">
        <v>44435.647916666669</v>
      </c>
      <c r="O1407" t="s">
        <v>19</v>
      </c>
    </row>
    <row r="1408" spans="1:15" x14ac:dyDescent="0.25">
      <c r="A1408" t="s">
        <v>1270</v>
      </c>
      <c r="B1408" t="s">
        <v>15</v>
      </c>
      <c r="C1408" t="s">
        <v>31</v>
      </c>
      <c r="D1408" t="s">
        <v>17</v>
      </c>
      <c r="E1408" t="s">
        <v>18</v>
      </c>
      <c r="F1408" t="s">
        <v>19</v>
      </c>
      <c r="G1408" t="s">
        <v>20</v>
      </c>
      <c r="J1408" t="s">
        <v>17</v>
      </c>
      <c r="K1408" t="str">
        <f>"100812252"</f>
        <v>100812252</v>
      </c>
      <c r="L1408" t="str">
        <f>"10812252"</f>
        <v>10812252</v>
      </c>
      <c r="M1408" t="s">
        <v>75</v>
      </c>
      <c r="N1408" s="1">
        <v>43084.861111111109</v>
      </c>
      <c r="O1408" t="s">
        <v>19</v>
      </c>
    </row>
    <row r="1409" spans="1:15" x14ac:dyDescent="0.25">
      <c r="A1409" t="s">
        <v>1271</v>
      </c>
      <c r="B1409" t="s">
        <v>15</v>
      </c>
      <c r="C1409" t="s">
        <v>31</v>
      </c>
      <c r="D1409" t="s">
        <v>17</v>
      </c>
      <c r="E1409" t="s">
        <v>18</v>
      </c>
      <c r="F1409" t="s">
        <v>19</v>
      </c>
      <c r="G1409" t="s">
        <v>20</v>
      </c>
      <c r="J1409" t="s">
        <v>17</v>
      </c>
      <c r="K1409" t="str">
        <f>"7895725285893"</f>
        <v>7895725285893</v>
      </c>
      <c r="L1409" t="str">
        <f>"10001170"</f>
        <v>10001170</v>
      </c>
      <c r="M1409" t="s">
        <v>84</v>
      </c>
      <c r="N1409" s="1">
        <v>42872.839583333334</v>
      </c>
      <c r="O1409" t="s">
        <v>19</v>
      </c>
    </row>
    <row r="1410" spans="1:15" x14ac:dyDescent="0.25">
      <c r="A1410" t="s">
        <v>1272</v>
      </c>
      <c r="B1410" t="s">
        <v>15</v>
      </c>
      <c r="C1410" t="s">
        <v>31</v>
      </c>
      <c r="D1410" t="s">
        <v>17</v>
      </c>
      <c r="E1410" t="s">
        <v>18</v>
      </c>
      <c r="F1410" t="s">
        <v>19</v>
      </c>
      <c r="G1410" t="s">
        <v>20</v>
      </c>
      <c r="J1410" t="s">
        <v>17</v>
      </c>
      <c r="K1410" t="str">
        <f>"10000152"</f>
        <v>10000152</v>
      </c>
      <c r="L1410" t="str">
        <f>"10000152"</f>
        <v>10000152</v>
      </c>
      <c r="M1410" t="s">
        <v>75</v>
      </c>
      <c r="N1410" s="1">
        <v>42872.839583333334</v>
      </c>
      <c r="O1410" t="s">
        <v>19</v>
      </c>
    </row>
    <row r="1411" spans="1:15" x14ac:dyDescent="0.25">
      <c r="A1411" t="s">
        <v>1272</v>
      </c>
      <c r="B1411" t="s">
        <v>15</v>
      </c>
      <c r="C1411" t="s">
        <v>31</v>
      </c>
      <c r="D1411" t="s">
        <v>17</v>
      </c>
      <c r="E1411" t="s">
        <v>18</v>
      </c>
      <c r="F1411" t="s">
        <v>19</v>
      </c>
      <c r="G1411" t="s">
        <v>20</v>
      </c>
      <c r="J1411" t="s">
        <v>17</v>
      </c>
      <c r="K1411" t="str">
        <f>"5620000933341"</f>
        <v>5620000933341</v>
      </c>
      <c r="L1411" t="str">
        <f>"280893334"</f>
        <v>280893334</v>
      </c>
      <c r="M1411" t="s">
        <v>84</v>
      </c>
      <c r="N1411" s="1">
        <v>43266.957638888889</v>
      </c>
      <c r="O1411" t="s">
        <v>19</v>
      </c>
    </row>
    <row r="1412" spans="1:15" x14ac:dyDescent="0.25">
      <c r="A1412" t="s">
        <v>1273</v>
      </c>
      <c r="B1412" t="s">
        <v>15</v>
      </c>
      <c r="C1412" t="s">
        <v>31</v>
      </c>
      <c r="D1412" t="s">
        <v>17</v>
      </c>
      <c r="E1412" t="s">
        <v>18</v>
      </c>
      <c r="F1412" t="s">
        <v>19</v>
      </c>
      <c r="G1412" t="s">
        <v>20</v>
      </c>
      <c r="J1412" t="s">
        <v>17</v>
      </c>
      <c r="K1412" t="str">
        <f>"6686996002347"</f>
        <v>6686996002347</v>
      </c>
      <c r="L1412" t="str">
        <f>"40082347"</f>
        <v>40082347</v>
      </c>
      <c r="M1412" t="s">
        <v>21</v>
      </c>
      <c r="N1412" s="1">
        <v>44435.648611111108</v>
      </c>
      <c r="O1412" t="s">
        <v>19</v>
      </c>
    </row>
    <row r="1413" spans="1:15" x14ac:dyDescent="0.25">
      <c r="A1413" t="s">
        <v>1274</v>
      </c>
      <c r="B1413" t="s">
        <v>15</v>
      </c>
      <c r="C1413" t="s">
        <v>31</v>
      </c>
      <c r="D1413" t="s">
        <v>17</v>
      </c>
      <c r="E1413" t="s">
        <v>18</v>
      </c>
      <c r="F1413" t="s">
        <v>19</v>
      </c>
      <c r="G1413" t="s">
        <v>20</v>
      </c>
      <c r="J1413" t="s">
        <v>17</v>
      </c>
      <c r="K1413" t="str">
        <f>"10102167"</f>
        <v>10102167</v>
      </c>
      <c r="L1413" t="str">
        <f>"10102167"</f>
        <v>10102167</v>
      </c>
      <c r="M1413" t="s">
        <v>75</v>
      </c>
      <c r="N1413" s="1">
        <v>42872.839583333334</v>
      </c>
      <c r="O1413" t="s">
        <v>19</v>
      </c>
    </row>
    <row r="1414" spans="1:15" x14ac:dyDescent="0.25">
      <c r="A1414" t="s">
        <v>1275</v>
      </c>
      <c r="B1414" t="s">
        <v>15</v>
      </c>
      <c r="C1414" t="s">
        <v>31</v>
      </c>
      <c r="D1414" t="s">
        <v>17</v>
      </c>
      <c r="E1414" t="s">
        <v>18</v>
      </c>
      <c r="F1414" t="s">
        <v>19</v>
      </c>
      <c r="G1414" t="s">
        <v>20</v>
      </c>
      <c r="J1414" t="s">
        <v>17</v>
      </c>
      <c r="K1414" t="str">
        <f>"10008281"</f>
        <v>10008281</v>
      </c>
      <c r="L1414" t="str">
        <f>"10008281"</f>
        <v>10008281</v>
      </c>
      <c r="M1414" t="s">
        <v>21</v>
      </c>
      <c r="N1414" s="1">
        <v>44254.802083333336</v>
      </c>
      <c r="O1414" t="s">
        <v>19</v>
      </c>
    </row>
    <row r="1415" spans="1:15" x14ac:dyDescent="0.25">
      <c r="A1415" t="s">
        <v>1276</v>
      </c>
      <c r="B1415" t="s">
        <v>15</v>
      </c>
      <c r="C1415" t="s">
        <v>31</v>
      </c>
      <c r="D1415" t="s">
        <v>17</v>
      </c>
      <c r="E1415" t="s">
        <v>18</v>
      </c>
      <c r="F1415" t="s">
        <v>19</v>
      </c>
      <c r="G1415" t="s">
        <v>20</v>
      </c>
      <c r="J1415" t="s">
        <v>17</v>
      </c>
      <c r="K1415" t="str">
        <f>"7858816010965"</f>
        <v>7858816010965</v>
      </c>
      <c r="L1415" t="str">
        <f>"87081096"</f>
        <v>87081096</v>
      </c>
      <c r="M1415" t="s">
        <v>21</v>
      </c>
      <c r="N1415" s="1">
        <v>43889.865972222222</v>
      </c>
      <c r="O1415" t="s">
        <v>19</v>
      </c>
    </row>
    <row r="1416" spans="1:15" x14ac:dyDescent="0.25">
      <c r="A1416" t="s">
        <v>1277</v>
      </c>
      <c r="B1416" t="s">
        <v>15</v>
      </c>
      <c r="C1416" t="s">
        <v>23</v>
      </c>
      <c r="D1416" t="s">
        <v>17</v>
      </c>
      <c r="E1416" t="s">
        <v>18</v>
      </c>
      <c r="F1416" t="s">
        <v>19</v>
      </c>
      <c r="G1416" t="s">
        <v>20</v>
      </c>
      <c r="J1416" t="s">
        <v>18</v>
      </c>
      <c r="K1416" t="str">
        <f>"50000001"</f>
        <v>50000001</v>
      </c>
      <c r="L1416" t="str">
        <f>"50000001"</f>
        <v>50000001</v>
      </c>
      <c r="M1416" t="s">
        <v>21</v>
      </c>
      <c r="N1416" s="1">
        <v>43206.906944444447</v>
      </c>
      <c r="O1416" t="s">
        <v>19</v>
      </c>
    </row>
    <row r="1417" spans="1:15" x14ac:dyDescent="0.25">
      <c r="A1417" t="s">
        <v>1278</v>
      </c>
      <c r="B1417" t="s">
        <v>15</v>
      </c>
      <c r="C1417" t="s">
        <v>23</v>
      </c>
      <c r="D1417" t="s">
        <v>17</v>
      </c>
      <c r="E1417" t="s">
        <v>18</v>
      </c>
      <c r="F1417" t="s">
        <v>19</v>
      </c>
      <c r="G1417" t="s">
        <v>20</v>
      </c>
      <c r="J1417" t="s">
        <v>17</v>
      </c>
      <c r="K1417" t="str">
        <f>"10004301"</f>
        <v>10004301</v>
      </c>
      <c r="L1417" t="str">
        <f>"10004301"</f>
        <v>10004301</v>
      </c>
      <c r="M1417" t="s">
        <v>75</v>
      </c>
      <c r="N1417" s="1">
        <v>42958.674305555556</v>
      </c>
      <c r="O1417" t="s">
        <v>19</v>
      </c>
    </row>
    <row r="1418" spans="1:15" x14ac:dyDescent="0.25">
      <c r="A1418" t="s">
        <v>1279</v>
      </c>
      <c r="B1418" t="s">
        <v>15</v>
      </c>
      <c r="C1418" t="s">
        <v>31</v>
      </c>
      <c r="D1418" t="s">
        <v>17</v>
      </c>
      <c r="E1418" t="s">
        <v>18</v>
      </c>
      <c r="F1418" t="s">
        <v>19</v>
      </c>
      <c r="G1418" t="s">
        <v>20</v>
      </c>
      <c r="J1418" t="s">
        <v>17</v>
      </c>
      <c r="K1418" t="str">
        <f>"5620000930210"</f>
        <v>5620000930210</v>
      </c>
      <c r="L1418" t="str">
        <f>"28093021"</f>
        <v>28093021</v>
      </c>
      <c r="M1418" t="s">
        <v>84</v>
      </c>
      <c r="N1418" s="1">
        <v>43502.592361111114</v>
      </c>
      <c r="O1418" t="s">
        <v>19</v>
      </c>
    </row>
    <row r="1419" spans="1:15" x14ac:dyDescent="0.25">
      <c r="A1419" t="s">
        <v>1280</v>
      </c>
      <c r="B1419" t="s">
        <v>15</v>
      </c>
      <c r="C1419" t="s">
        <v>31</v>
      </c>
      <c r="D1419" t="s">
        <v>17</v>
      </c>
      <c r="E1419" t="s">
        <v>18</v>
      </c>
      <c r="F1419" t="s">
        <v>19</v>
      </c>
      <c r="G1419" t="s">
        <v>20</v>
      </c>
      <c r="J1419" t="s">
        <v>17</v>
      </c>
      <c r="K1419" t="str">
        <f>"110104003"</f>
        <v>110104003</v>
      </c>
      <c r="L1419" t="str">
        <f>"110104003"</f>
        <v>110104003</v>
      </c>
      <c r="M1419" t="s">
        <v>75</v>
      </c>
      <c r="N1419" s="1">
        <v>42872.847222222219</v>
      </c>
      <c r="O1419" t="s">
        <v>19</v>
      </c>
    </row>
    <row r="1420" spans="1:15" x14ac:dyDescent="0.25">
      <c r="A1420" t="s">
        <v>1281</v>
      </c>
      <c r="B1420" t="s">
        <v>15</v>
      </c>
      <c r="C1420" t="s">
        <v>23</v>
      </c>
      <c r="D1420" t="s">
        <v>17</v>
      </c>
      <c r="E1420" t="s">
        <v>18</v>
      </c>
      <c r="F1420" t="s">
        <v>19</v>
      </c>
      <c r="G1420" t="s">
        <v>20</v>
      </c>
      <c r="J1420" t="s">
        <v>17</v>
      </c>
      <c r="K1420" t="str">
        <f>"76301403"</f>
        <v>76301403</v>
      </c>
      <c r="L1420" t="str">
        <f>"76301403"</f>
        <v>76301403</v>
      </c>
      <c r="M1420" t="s">
        <v>75</v>
      </c>
      <c r="N1420" s="1">
        <v>42872.847222222219</v>
      </c>
      <c r="O1420" t="s">
        <v>19</v>
      </c>
    </row>
    <row r="1421" spans="1:15" x14ac:dyDescent="0.25">
      <c r="A1421" t="s">
        <v>1282</v>
      </c>
      <c r="B1421" t="s">
        <v>15</v>
      </c>
      <c r="C1421" t="s">
        <v>23</v>
      </c>
      <c r="D1421" t="s">
        <v>17</v>
      </c>
      <c r="E1421" t="s">
        <v>18</v>
      </c>
      <c r="F1421" t="s">
        <v>19</v>
      </c>
      <c r="G1421" t="s">
        <v>20</v>
      </c>
      <c r="J1421" t="s">
        <v>17</v>
      </c>
      <c r="K1421" t="str">
        <f>"8944870127837"</f>
        <v>8944870127837</v>
      </c>
      <c r="L1421" t="str">
        <f>"85082521"</f>
        <v>85082521</v>
      </c>
      <c r="M1421" t="s">
        <v>84</v>
      </c>
      <c r="N1421" s="1">
        <v>43347.84652777778</v>
      </c>
      <c r="O1421" t="s">
        <v>19</v>
      </c>
    </row>
    <row r="1422" spans="1:15" x14ac:dyDescent="0.25">
      <c r="A1422" t="s">
        <v>1283</v>
      </c>
      <c r="B1422" t="s">
        <v>15</v>
      </c>
      <c r="C1422" t="s">
        <v>23</v>
      </c>
      <c r="D1422" t="s">
        <v>17</v>
      </c>
      <c r="E1422" t="s">
        <v>18</v>
      </c>
      <c r="F1422" t="s">
        <v>19</v>
      </c>
      <c r="G1422" t="s">
        <v>20</v>
      </c>
      <c r="J1422" t="s">
        <v>17</v>
      </c>
      <c r="K1422" t="str">
        <f>"303010846"</f>
        <v>303010846</v>
      </c>
      <c r="L1422" t="str">
        <f>"303010846"</f>
        <v>303010846</v>
      </c>
      <c r="M1422" t="s">
        <v>75</v>
      </c>
      <c r="N1422" s="1">
        <v>42872.849305555559</v>
      </c>
      <c r="O1422" t="s">
        <v>19</v>
      </c>
    </row>
    <row r="1423" spans="1:15" x14ac:dyDescent="0.25">
      <c r="A1423" t="s">
        <v>1284</v>
      </c>
      <c r="B1423" t="s">
        <v>15</v>
      </c>
      <c r="C1423" t="s">
        <v>23</v>
      </c>
      <c r="D1423" t="s">
        <v>17</v>
      </c>
      <c r="E1423" t="s">
        <v>18</v>
      </c>
      <c r="F1423" t="s">
        <v>19</v>
      </c>
      <c r="G1423" t="s">
        <v>20</v>
      </c>
      <c r="J1423" t="s">
        <v>17</v>
      </c>
      <c r="K1423" t="str">
        <f>"7858816066382"</f>
        <v>7858816066382</v>
      </c>
      <c r="L1423" t="str">
        <f>"87086638"</f>
        <v>87086638</v>
      </c>
      <c r="M1423" t="s">
        <v>21</v>
      </c>
      <c r="N1423" s="1">
        <v>43839.833333333336</v>
      </c>
      <c r="O1423" t="s">
        <v>19</v>
      </c>
    </row>
    <row r="1424" spans="1:15" x14ac:dyDescent="0.25">
      <c r="A1424" t="s">
        <v>1285</v>
      </c>
      <c r="B1424" t="s">
        <v>15</v>
      </c>
      <c r="C1424" t="s">
        <v>31</v>
      </c>
      <c r="D1424" t="s">
        <v>17</v>
      </c>
      <c r="E1424" t="s">
        <v>18</v>
      </c>
      <c r="F1424" t="s">
        <v>19</v>
      </c>
      <c r="G1424" t="s">
        <v>20</v>
      </c>
      <c r="J1424" t="s">
        <v>17</v>
      </c>
      <c r="K1424" t="str">
        <f>"7858816016271"</f>
        <v>7858816016271</v>
      </c>
      <c r="L1424" t="str">
        <f>"87081627"</f>
        <v>87081627</v>
      </c>
      <c r="M1424" t="s">
        <v>21</v>
      </c>
      <c r="N1424" s="1">
        <v>43853.645138888889</v>
      </c>
      <c r="O1424" t="s">
        <v>19</v>
      </c>
    </row>
    <row r="1425" spans="1:15" x14ac:dyDescent="0.25">
      <c r="A1425" t="s">
        <v>1286</v>
      </c>
      <c r="B1425" t="s">
        <v>15</v>
      </c>
      <c r="C1425" t="s">
        <v>31</v>
      </c>
      <c r="D1425" t="s">
        <v>17</v>
      </c>
      <c r="E1425" t="s">
        <v>18</v>
      </c>
      <c r="F1425" t="s">
        <v>19</v>
      </c>
      <c r="G1425" t="s">
        <v>20</v>
      </c>
      <c r="J1425" t="s">
        <v>17</v>
      </c>
      <c r="K1425" t="str">
        <f>"10101265"</f>
        <v>10101265</v>
      </c>
      <c r="L1425" t="str">
        <f>"10101265"</f>
        <v>10101265</v>
      </c>
      <c r="M1425" t="s">
        <v>75</v>
      </c>
      <c r="N1425" s="1">
        <v>42872.839583333334</v>
      </c>
      <c r="O1425" t="s">
        <v>19</v>
      </c>
    </row>
    <row r="1426" spans="1:15" x14ac:dyDescent="0.25">
      <c r="A1426" t="s">
        <v>1287</v>
      </c>
      <c r="B1426" t="s">
        <v>15</v>
      </c>
      <c r="C1426" t="s">
        <v>31</v>
      </c>
      <c r="D1426" t="s">
        <v>17</v>
      </c>
      <c r="E1426" t="s">
        <v>18</v>
      </c>
      <c r="F1426" t="s">
        <v>19</v>
      </c>
      <c r="G1426" t="s">
        <v>20</v>
      </c>
      <c r="J1426" t="s">
        <v>17</v>
      </c>
      <c r="K1426" t="str">
        <f>"5626890043610"</f>
        <v>5626890043610</v>
      </c>
      <c r="L1426" t="str">
        <f>"280893060"</f>
        <v>280893060</v>
      </c>
      <c r="M1426" t="s">
        <v>84</v>
      </c>
      <c r="N1426" s="1">
        <v>43266.962500000001</v>
      </c>
      <c r="O1426" t="s">
        <v>19</v>
      </c>
    </row>
    <row r="1427" spans="1:15" x14ac:dyDescent="0.25">
      <c r="A1427" t="s">
        <v>1288</v>
      </c>
      <c r="B1427" t="s">
        <v>15</v>
      </c>
      <c r="C1427" t="s">
        <v>23</v>
      </c>
      <c r="D1427" t="s">
        <v>17</v>
      </c>
      <c r="E1427" t="s">
        <v>18</v>
      </c>
      <c r="F1427" t="s">
        <v>19</v>
      </c>
      <c r="G1427" t="s">
        <v>20</v>
      </c>
      <c r="J1427" t="s">
        <v>17</v>
      </c>
      <c r="K1427" t="str">
        <f>"6958154900506"</f>
        <v>6958154900506</v>
      </c>
      <c r="L1427" t="str">
        <f>"10082251"</f>
        <v>10082251</v>
      </c>
      <c r="M1427" t="s">
        <v>75</v>
      </c>
      <c r="N1427" s="1">
        <v>42924.662499999999</v>
      </c>
      <c r="O1427" t="s">
        <v>19</v>
      </c>
    </row>
    <row r="1428" spans="1:15" x14ac:dyDescent="0.25">
      <c r="A1428" t="s">
        <v>1289</v>
      </c>
      <c r="B1428" t="s">
        <v>15</v>
      </c>
      <c r="C1428" t="s">
        <v>31</v>
      </c>
      <c r="D1428" t="s">
        <v>17</v>
      </c>
      <c r="E1428" t="s">
        <v>18</v>
      </c>
      <c r="F1428" t="s">
        <v>19</v>
      </c>
      <c r="G1428" t="s">
        <v>20</v>
      </c>
      <c r="J1428" t="s">
        <v>17</v>
      </c>
      <c r="K1428" t="str">
        <f>"766623354318"</f>
        <v>766623354318</v>
      </c>
      <c r="L1428" t="str">
        <f>"56524318"</f>
        <v>56524318</v>
      </c>
      <c r="M1428" t="s">
        <v>21</v>
      </c>
      <c r="N1428" s="1">
        <v>43985.853472222225</v>
      </c>
      <c r="O1428" t="s">
        <v>19</v>
      </c>
    </row>
    <row r="1429" spans="1:15" x14ac:dyDescent="0.25">
      <c r="A1429" t="s">
        <v>1290</v>
      </c>
      <c r="B1429" t="s">
        <v>15</v>
      </c>
      <c r="C1429" t="s">
        <v>31</v>
      </c>
      <c r="D1429" t="s">
        <v>17</v>
      </c>
      <c r="E1429" t="s">
        <v>18</v>
      </c>
      <c r="F1429" t="s">
        <v>19</v>
      </c>
      <c r="G1429" t="s">
        <v>20</v>
      </c>
      <c r="J1429" t="s">
        <v>17</v>
      </c>
      <c r="K1429" t="str">
        <f>"6924494002484"</f>
        <v>6924494002484</v>
      </c>
      <c r="L1429" t="str">
        <f>"98082484"</f>
        <v>98082484</v>
      </c>
      <c r="M1429" t="s">
        <v>84</v>
      </c>
      <c r="N1429" s="1">
        <v>43369.700694444444</v>
      </c>
      <c r="O1429" t="s">
        <v>19</v>
      </c>
    </row>
    <row r="1430" spans="1:15" x14ac:dyDescent="0.25">
      <c r="A1430" t="s">
        <v>1291</v>
      </c>
      <c r="B1430" t="s">
        <v>15</v>
      </c>
      <c r="C1430" t="s">
        <v>31</v>
      </c>
      <c r="D1430" t="s">
        <v>17</v>
      </c>
      <c r="E1430" t="s">
        <v>18</v>
      </c>
      <c r="F1430" t="s">
        <v>19</v>
      </c>
      <c r="G1430" t="s">
        <v>20</v>
      </c>
      <c r="J1430" t="s">
        <v>17</v>
      </c>
      <c r="K1430" t="str">
        <f>"10001017"</f>
        <v>10001017</v>
      </c>
      <c r="L1430" t="str">
        <f>"10001017"</f>
        <v>10001017</v>
      </c>
      <c r="M1430" t="s">
        <v>21</v>
      </c>
      <c r="N1430" s="1">
        <v>43753.652083333334</v>
      </c>
      <c r="O1430" t="s">
        <v>19</v>
      </c>
    </row>
    <row r="1431" spans="1:15" x14ac:dyDescent="0.25">
      <c r="A1431" t="s">
        <v>1292</v>
      </c>
      <c r="B1431" t="s">
        <v>15</v>
      </c>
      <c r="C1431" t="s">
        <v>31</v>
      </c>
      <c r="D1431" t="s">
        <v>17</v>
      </c>
      <c r="E1431" t="s">
        <v>18</v>
      </c>
      <c r="F1431" t="s">
        <v>19</v>
      </c>
      <c r="G1431" t="s">
        <v>20</v>
      </c>
      <c r="J1431" t="s">
        <v>17</v>
      </c>
      <c r="K1431" t="str">
        <f>"10001165"</f>
        <v>10001165</v>
      </c>
      <c r="L1431" t="str">
        <f>"10001165"</f>
        <v>10001165</v>
      </c>
      <c r="M1431" t="s">
        <v>75</v>
      </c>
      <c r="N1431" s="1">
        <v>42872.839583333334</v>
      </c>
      <c r="O1431" t="s">
        <v>19</v>
      </c>
    </row>
    <row r="1432" spans="1:15" x14ac:dyDescent="0.25">
      <c r="A1432" t="s">
        <v>1293</v>
      </c>
      <c r="B1432" t="s">
        <v>15</v>
      </c>
      <c r="C1432" t="s">
        <v>31</v>
      </c>
      <c r="D1432" t="s">
        <v>17</v>
      </c>
      <c r="E1432" t="s">
        <v>18</v>
      </c>
      <c r="F1432" t="s">
        <v>19</v>
      </c>
      <c r="G1432" t="s">
        <v>20</v>
      </c>
      <c r="J1432" t="s">
        <v>17</v>
      </c>
      <c r="K1432" t="str">
        <f>"10001592"</f>
        <v>10001592</v>
      </c>
      <c r="L1432" t="str">
        <f>"10001592"</f>
        <v>10001592</v>
      </c>
      <c r="M1432" t="s">
        <v>84</v>
      </c>
      <c r="N1432" s="1">
        <v>43396.72152777778</v>
      </c>
      <c r="O1432" t="s">
        <v>19</v>
      </c>
    </row>
    <row r="1433" spans="1:15" x14ac:dyDescent="0.25">
      <c r="A1433" t="s">
        <v>1294</v>
      </c>
      <c r="B1433" t="s">
        <v>15</v>
      </c>
      <c r="C1433" t="s">
        <v>31</v>
      </c>
      <c r="D1433" t="s">
        <v>17</v>
      </c>
      <c r="E1433" t="s">
        <v>18</v>
      </c>
      <c r="F1433" t="s">
        <v>19</v>
      </c>
      <c r="G1433" t="s">
        <v>20</v>
      </c>
      <c r="J1433" t="s">
        <v>17</v>
      </c>
      <c r="K1433" t="str">
        <f>"766623322430"</f>
        <v>766623322430</v>
      </c>
      <c r="L1433" t="str">
        <f>"56082430"</f>
        <v>56082430</v>
      </c>
      <c r="M1433" t="s">
        <v>21</v>
      </c>
      <c r="N1433" s="1">
        <v>44037.629861111112</v>
      </c>
      <c r="O1433" t="s">
        <v>19</v>
      </c>
    </row>
    <row r="1434" spans="1:15" x14ac:dyDescent="0.25">
      <c r="A1434" t="s">
        <v>1295</v>
      </c>
      <c r="B1434" t="s">
        <v>15</v>
      </c>
      <c r="C1434" t="s">
        <v>23</v>
      </c>
      <c r="D1434" t="s">
        <v>17</v>
      </c>
      <c r="E1434" t="s">
        <v>18</v>
      </c>
      <c r="F1434" t="s">
        <v>19</v>
      </c>
      <c r="G1434" t="s">
        <v>20</v>
      </c>
      <c r="J1434" t="s">
        <v>17</v>
      </c>
      <c r="K1434" t="str">
        <f>"10000955"</f>
        <v>10000955</v>
      </c>
      <c r="L1434" t="str">
        <f>"10000955"</f>
        <v>10000955</v>
      </c>
      <c r="M1434" t="s">
        <v>75</v>
      </c>
      <c r="N1434" s="1">
        <v>42872.839583333334</v>
      </c>
      <c r="O1434" t="s">
        <v>19</v>
      </c>
    </row>
    <row r="1435" spans="1:15" x14ac:dyDescent="0.25">
      <c r="A1435" t="s">
        <v>1296</v>
      </c>
      <c r="B1435" t="s">
        <v>15</v>
      </c>
      <c r="C1435" t="s">
        <v>31</v>
      </c>
      <c r="D1435" t="s">
        <v>17</v>
      </c>
      <c r="E1435" t="s">
        <v>18</v>
      </c>
      <c r="F1435" t="s">
        <v>19</v>
      </c>
      <c r="G1435" t="s">
        <v>20</v>
      </c>
      <c r="J1435" t="s">
        <v>17</v>
      </c>
      <c r="K1435" t="str">
        <f>"10104021"</f>
        <v>10104021</v>
      </c>
      <c r="L1435" t="str">
        <f>"10104021"</f>
        <v>10104021</v>
      </c>
      <c r="M1435" t="s">
        <v>75</v>
      </c>
      <c r="N1435" s="1">
        <v>42872.847222222219</v>
      </c>
      <c r="O1435" t="s">
        <v>19</v>
      </c>
    </row>
    <row r="1436" spans="1:15" x14ac:dyDescent="0.25">
      <c r="A1436" t="s">
        <v>1297</v>
      </c>
      <c r="B1436" t="s">
        <v>15</v>
      </c>
      <c r="C1436" t="s">
        <v>23</v>
      </c>
      <c r="D1436" t="s">
        <v>17</v>
      </c>
      <c r="E1436" t="s">
        <v>18</v>
      </c>
      <c r="F1436" t="s">
        <v>19</v>
      </c>
      <c r="G1436" t="s">
        <v>20</v>
      </c>
      <c r="J1436" t="s">
        <v>17</v>
      </c>
      <c r="K1436" t="str">
        <f>"42214408"</f>
        <v>42214408</v>
      </c>
      <c r="L1436" t="str">
        <f>"42214408"</f>
        <v>42214408</v>
      </c>
      <c r="M1436" t="s">
        <v>75</v>
      </c>
      <c r="N1436" s="1">
        <v>42872.839583333334</v>
      </c>
      <c r="O1436" t="s">
        <v>19</v>
      </c>
    </row>
    <row r="1437" spans="1:15" x14ac:dyDescent="0.25">
      <c r="A1437" t="s">
        <v>1298</v>
      </c>
      <c r="B1437" t="s">
        <v>15</v>
      </c>
      <c r="C1437" t="s">
        <v>23</v>
      </c>
      <c r="D1437" t="s">
        <v>17</v>
      </c>
      <c r="E1437" t="s">
        <v>18</v>
      </c>
      <c r="F1437" t="s">
        <v>19</v>
      </c>
      <c r="G1437" t="s">
        <v>20</v>
      </c>
      <c r="J1437" t="s">
        <v>17</v>
      </c>
      <c r="K1437" t="str">
        <f>"10000660"</f>
        <v>10000660</v>
      </c>
      <c r="L1437" t="str">
        <f>"10000660"</f>
        <v>10000660</v>
      </c>
      <c r="M1437" t="s">
        <v>75</v>
      </c>
      <c r="N1437" s="1">
        <v>42872.839583333334</v>
      </c>
      <c r="O1437" t="s">
        <v>19</v>
      </c>
    </row>
    <row r="1438" spans="1:15" x14ac:dyDescent="0.25">
      <c r="A1438" t="s">
        <v>1298</v>
      </c>
      <c r="B1438" t="s">
        <v>15</v>
      </c>
      <c r="C1438" t="s">
        <v>23</v>
      </c>
      <c r="D1438" t="s">
        <v>17</v>
      </c>
      <c r="E1438" t="s">
        <v>18</v>
      </c>
      <c r="F1438" t="s">
        <v>19</v>
      </c>
      <c r="G1438" t="s">
        <v>20</v>
      </c>
      <c r="J1438" t="s">
        <v>17</v>
      </c>
      <c r="K1438" t="str">
        <f>"10002580"</f>
        <v>10002580</v>
      </c>
      <c r="L1438" t="str">
        <f>"10002580"</f>
        <v>10002580</v>
      </c>
      <c r="M1438" t="s">
        <v>75</v>
      </c>
      <c r="N1438" s="1">
        <v>42872.839583333334</v>
      </c>
      <c r="O1438" t="s">
        <v>19</v>
      </c>
    </row>
    <row r="1439" spans="1:15" x14ac:dyDescent="0.25">
      <c r="A1439" t="s">
        <v>1299</v>
      </c>
      <c r="B1439" t="s">
        <v>15</v>
      </c>
      <c r="C1439" t="s">
        <v>23</v>
      </c>
      <c r="D1439" t="s">
        <v>17</v>
      </c>
      <c r="E1439" t="s">
        <v>18</v>
      </c>
      <c r="F1439" t="s">
        <v>19</v>
      </c>
      <c r="G1439" t="s">
        <v>20</v>
      </c>
      <c r="J1439" t="s">
        <v>17</v>
      </c>
      <c r="K1439" t="str">
        <f>"10000569"</f>
        <v>10000569</v>
      </c>
      <c r="L1439" t="str">
        <f>"10000569"</f>
        <v>10000569</v>
      </c>
      <c r="M1439" t="s">
        <v>75</v>
      </c>
      <c r="N1439" s="1">
        <v>42872.839583333334</v>
      </c>
      <c r="O1439" t="s">
        <v>19</v>
      </c>
    </row>
    <row r="1440" spans="1:15" x14ac:dyDescent="0.25">
      <c r="A1440" t="s">
        <v>1300</v>
      </c>
      <c r="B1440" t="s">
        <v>15</v>
      </c>
      <c r="C1440" t="s">
        <v>31</v>
      </c>
      <c r="D1440" t="s">
        <v>17</v>
      </c>
      <c r="E1440" t="s">
        <v>18</v>
      </c>
      <c r="F1440" t="s">
        <v>19</v>
      </c>
      <c r="G1440" t="s">
        <v>20</v>
      </c>
      <c r="J1440" t="s">
        <v>17</v>
      </c>
      <c r="K1440" t="str">
        <f>"6924494001227"</f>
        <v>6924494001227</v>
      </c>
      <c r="L1440" t="str">
        <f>"98085522"</f>
        <v>98085522</v>
      </c>
      <c r="M1440" t="s">
        <v>21</v>
      </c>
      <c r="N1440" s="1">
        <v>42872.849305555559</v>
      </c>
      <c r="O1440" t="s">
        <v>19</v>
      </c>
    </row>
    <row r="1441" spans="1:15" x14ac:dyDescent="0.25">
      <c r="A1441" t="s">
        <v>1301</v>
      </c>
      <c r="B1441" t="s">
        <v>15</v>
      </c>
      <c r="C1441" t="s">
        <v>23</v>
      </c>
      <c r="D1441" t="s">
        <v>17</v>
      </c>
      <c r="E1441" t="s">
        <v>18</v>
      </c>
      <c r="F1441" t="s">
        <v>19</v>
      </c>
      <c r="G1441" t="s">
        <v>20</v>
      </c>
      <c r="J1441" t="s">
        <v>17</v>
      </c>
      <c r="K1441" t="str">
        <f>"10082471"</f>
        <v>10082471</v>
      </c>
      <c r="L1441" t="str">
        <f>"10082471"</f>
        <v>10082471</v>
      </c>
      <c r="M1441" t="s">
        <v>75</v>
      </c>
      <c r="N1441" s="1">
        <v>43110.94027777778</v>
      </c>
      <c r="O1441" t="s">
        <v>19</v>
      </c>
    </row>
    <row r="1442" spans="1:15" x14ac:dyDescent="0.25">
      <c r="A1442" t="s">
        <v>1302</v>
      </c>
      <c r="B1442" t="s">
        <v>15</v>
      </c>
      <c r="C1442" t="s">
        <v>23</v>
      </c>
      <c r="D1442" t="s">
        <v>17</v>
      </c>
      <c r="E1442" t="s">
        <v>18</v>
      </c>
      <c r="F1442" t="s">
        <v>19</v>
      </c>
      <c r="G1442" t="s">
        <v>20</v>
      </c>
      <c r="J1442" t="s">
        <v>17</v>
      </c>
      <c r="K1442" t="str">
        <f>"10013440"</f>
        <v>10013440</v>
      </c>
      <c r="L1442" t="str">
        <f>"10013440"</f>
        <v>10013440</v>
      </c>
      <c r="M1442" t="s">
        <v>75</v>
      </c>
      <c r="N1442" s="1">
        <v>42872.839583333334</v>
      </c>
      <c r="O1442" t="s">
        <v>19</v>
      </c>
    </row>
    <row r="1443" spans="1:15" x14ac:dyDescent="0.25">
      <c r="A1443" t="s">
        <v>1303</v>
      </c>
      <c r="B1443" t="s">
        <v>15</v>
      </c>
      <c r="C1443" t="s">
        <v>23</v>
      </c>
      <c r="D1443" t="s">
        <v>17</v>
      </c>
      <c r="E1443" t="s">
        <v>18</v>
      </c>
      <c r="F1443" t="s">
        <v>19</v>
      </c>
      <c r="G1443" t="s">
        <v>20</v>
      </c>
      <c r="J1443" t="s">
        <v>17</v>
      </c>
      <c r="K1443" t="str">
        <f>"10001712"</f>
        <v>10001712</v>
      </c>
      <c r="L1443" t="str">
        <f>"10001712"</f>
        <v>10001712</v>
      </c>
      <c r="M1443" t="s">
        <v>75</v>
      </c>
      <c r="N1443" s="1">
        <v>42872.839583333334</v>
      </c>
      <c r="O1443" t="s">
        <v>19</v>
      </c>
    </row>
    <row r="1444" spans="1:15" x14ac:dyDescent="0.25">
      <c r="A1444" t="s">
        <v>1304</v>
      </c>
      <c r="B1444" t="s">
        <v>15</v>
      </c>
      <c r="C1444" t="s">
        <v>31</v>
      </c>
      <c r="D1444" t="s">
        <v>17</v>
      </c>
      <c r="E1444" t="s">
        <v>18</v>
      </c>
      <c r="F1444" t="s">
        <v>19</v>
      </c>
      <c r="G1444" t="s">
        <v>20</v>
      </c>
      <c r="J1444" t="s">
        <v>17</v>
      </c>
      <c r="K1444" t="str">
        <f>"10009964"</f>
        <v>10009964</v>
      </c>
      <c r="L1444" t="str">
        <f>"10009964"</f>
        <v>10009964</v>
      </c>
      <c r="M1444" t="s">
        <v>75</v>
      </c>
      <c r="N1444" s="1">
        <v>42872.839583333334</v>
      </c>
      <c r="O1444" t="s">
        <v>19</v>
      </c>
    </row>
    <row r="1445" spans="1:15" x14ac:dyDescent="0.25">
      <c r="A1445" t="s">
        <v>1305</v>
      </c>
      <c r="B1445" t="s">
        <v>15</v>
      </c>
      <c r="C1445" t="s">
        <v>31</v>
      </c>
      <c r="D1445" t="s">
        <v>17</v>
      </c>
      <c r="E1445" t="s">
        <v>18</v>
      </c>
      <c r="F1445" t="s">
        <v>19</v>
      </c>
      <c r="G1445" t="s">
        <v>20</v>
      </c>
      <c r="J1445" t="s">
        <v>17</v>
      </c>
      <c r="K1445" t="str">
        <f>"7858816057991"</f>
        <v>7858816057991</v>
      </c>
      <c r="L1445" t="str">
        <f>"87085799"</f>
        <v>87085799</v>
      </c>
      <c r="M1445" t="s">
        <v>21</v>
      </c>
      <c r="N1445" s="1">
        <v>43889.935416666667</v>
      </c>
      <c r="O1445" t="s">
        <v>19</v>
      </c>
    </row>
    <row r="1446" spans="1:15" x14ac:dyDescent="0.25">
      <c r="A1446" t="s">
        <v>1306</v>
      </c>
      <c r="B1446" t="s">
        <v>15</v>
      </c>
      <c r="C1446" t="s">
        <v>23</v>
      </c>
      <c r="D1446" t="s">
        <v>17</v>
      </c>
      <c r="E1446" t="s">
        <v>18</v>
      </c>
      <c r="F1446" t="s">
        <v>19</v>
      </c>
      <c r="G1446" t="s">
        <v>20</v>
      </c>
      <c r="J1446" t="s">
        <v>17</v>
      </c>
      <c r="K1446" t="str">
        <f>"341707106"</f>
        <v>341707106</v>
      </c>
      <c r="L1446" t="str">
        <f>"341707106"</f>
        <v>341707106</v>
      </c>
      <c r="M1446" t="s">
        <v>75</v>
      </c>
      <c r="N1446" s="1">
        <v>42872.849305555559</v>
      </c>
      <c r="O1446" t="s">
        <v>19</v>
      </c>
    </row>
    <row r="1447" spans="1:15" x14ac:dyDescent="0.25">
      <c r="A1447" t="s">
        <v>1307</v>
      </c>
      <c r="B1447" t="s">
        <v>15</v>
      </c>
      <c r="C1447" t="s">
        <v>23</v>
      </c>
      <c r="D1447" t="s">
        <v>17</v>
      </c>
      <c r="E1447" t="s">
        <v>18</v>
      </c>
      <c r="F1447" t="s">
        <v>19</v>
      </c>
      <c r="G1447" t="s">
        <v>20</v>
      </c>
      <c r="J1447" t="s">
        <v>17</v>
      </c>
      <c r="K1447" t="str">
        <f>"34170716"</f>
        <v>34170716</v>
      </c>
      <c r="L1447" t="str">
        <f>"34170716"</f>
        <v>34170716</v>
      </c>
      <c r="M1447" t="s">
        <v>75</v>
      </c>
      <c r="N1447" s="1">
        <v>42872.839583333334</v>
      </c>
      <c r="O1447" t="s">
        <v>19</v>
      </c>
    </row>
    <row r="1448" spans="1:15" x14ac:dyDescent="0.25">
      <c r="A1448" t="s">
        <v>1308</v>
      </c>
      <c r="B1448" t="s">
        <v>15</v>
      </c>
      <c r="C1448" t="s">
        <v>23</v>
      </c>
      <c r="D1448" t="s">
        <v>17</v>
      </c>
      <c r="E1448" t="s">
        <v>18</v>
      </c>
      <c r="F1448" t="s">
        <v>19</v>
      </c>
      <c r="G1448" t="s">
        <v>20</v>
      </c>
      <c r="J1448" t="s">
        <v>17</v>
      </c>
      <c r="K1448" t="str">
        <f>"1004453"</f>
        <v>1004453</v>
      </c>
      <c r="L1448" t="str">
        <f>"1004453"</f>
        <v>1004453</v>
      </c>
      <c r="M1448" t="s">
        <v>75</v>
      </c>
      <c r="N1448" s="1">
        <v>42872.839583333334</v>
      </c>
      <c r="O1448" t="s">
        <v>19</v>
      </c>
    </row>
    <row r="1449" spans="1:15" x14ac:dyDescent="0.25">
      <c r="A1449" t="s">
        <v>1309</v>
      </c>
      <c r="B1449" t="s">
        <v>15</v>
      </c>
      <c r="C1449" t="s">
        <v>31</v>
      </c>
      <c r="D1449" t="s">
        <v>17</v>
      </c>
      <c r="E1449" t="s">
        <v>18</v>
      </c>
      <c r="F1449" t="s">
        <v>19</v>
      </c>
      <c r="G1449" t="s">
        <v>20</v>
      </c>
      <c r="J1449" t="s">
        <v>17</v>
      </c>
      <c r="K1449" t="str">
        <f>"10089975"</f>
        <v>10089975</v>
      </c>
      <c r="L1449" t="str">
        <f>"10089975"</f>
        <v>10089975</v>
      </c>
      <c r="M1449" t="s">
        <v>75</v>
      </c>
      <c r="N1449" s="1">
        <v>42965.894444444442</v>
      </c>
      <c r="O1449" t="s">
        <v>19</v>
      </c>
    </row>
    <row r="1450" spans="1:15" x14ac:dyDescent="0.25">
      <c r="A1450" t="s">
        <v>1310</v>
      </c>
      <c r="B1450" t="s">
        <v>15</v>
      </c>
      <c r="C1450" t="s">
        <v>31</v>
      </c>
      <c r="D1450" t="s">
        <v>17</v>
      </c>
      <c r="E1450" t="s">
        <v>18</v>
      </c>
      <c r="F1450" t="s">
        <v>19</v>
      </c>
      <c r="G1450" t="s">
        <v>20</v>
      </c>
      <c r="J1450" t="s">
        <v>17</v>
      </c>
      <c r="K1450" t="str">
        <f>"6686993155473"</f>
        <v>6686993155473</v>
      </c>
      <c r="L1450" t="str">
        <f>"4008092024"</f>
        <v>4008092024</v>
      </c>
      <c r="M1450" t="s">
        <v>21</v>
      </c>
      <c r="N1450" s="1">
        <v>44306.856944444444</v>
      </c>
      <c r="O1450" t="s">
        <v>19</v>
      </c>
    </row>
    <row r="1451" spans="1:15" x14ac:dyDescent="0.25">
      <c r="A1451" t="s">
        <v>1311</v>
      </c>
      <c r="B1451" t="s">
        <v>15</v>
      </c>
      <c r="C1451" t="s">
        <v>31</v>
      </c>
      <c r="D1451" t="s">
        <v>17</v>
      </c>
      <c r="E1451" t="s">
        <v>18</v>
      </c>
      <c r="F1451" t="s">
        <v>19</v>
      </c>
      <c r="G1451" t="s">
        <v>20</v>
      </c>
      <c r="J1451" t="s">
        <v>17</v>
      </c>
      <c r="K1451" t="str">
        <f>"6686993155459"</f>
        <v>6686993155459</v>
      </c>
      <c r="L1451" t="str">
        <f>"4008092025"</f>
        <v>4008092025</v>
      </c>
      <c r="M1451" t="s">
        <v>21</v>
      </c>
      <c r="N1451" s="1">
        <v>44306.857638888891</v>
      </c>
      <c r="O1451" t="s">
        <v>19</v>
      </c>
    </row>
    <row r="1452" spans="1:15" x14ac:dyDescent="0.25">
      <c r="A1452" t="s">
        <v>1312</v>
      </c>
      <c r="B1452" t="s">
        <v>15</v>
      </c>
      <c r="C1452" t="s">
        <v>31</v>
      </c>
      <c r="D1452" t="s">
        <v>17</v>
      </c>
      <c r="E1452" t="s">
        <v>18</v>
      </c>
      <c r="F1452" t="s">
        <v>19</v>
      </c>
      <c r="G1452" t="s">
        <v>20</v>
      </c>
      <c r="J1452" t="s">
        <v>17</v>
      </c>
      <c r="K1452" t="str">
        <f>"1000101078"</f>
        <v>1000101078</v>
      </c>
      <c r="L1452" t="str">
        <f>"1000101078"</f>
        <v>1000101078</v>
      </c>
      <c r="M1452" t="s">
        <v>84</v>
      </c>
      <c r="N1452" s="1">
        <v>43377.686805555553</v>
      </c>
      <c r="O1452" t="s">
        <v>19</v>
      </c>
    </row>
    <row r="1453" spans="1:15" x14ac:dyDescent="0.25">
      <c r="A1453" t="s">
        <v>1313</v>
      </c>
      <c r="B1453" t="s">
        <v>15</v>
      </c>
      <c r="C1453" t="s">
        <v>31</v>
      </c>
      <c r="D1453" t="s">
        <v>17</v>
      </c>
      <c r="E1453" t="s">
        <v>18</v>
      </c>
      <c r="F1453" t="s">
        <v>19</v>
      </c>
      <c r="G1453" t="s">
        <v>20</v>
      </c>
      <c r="J1453" t="s">
        <v>17</v>
      </c>
      <c r="K1453" t="str">
        <f>"798302167094"</f>
        <v>798302167094</v>
      </c>
      <c r="L1453" t="str">
        <f>"92080301"</f>
        <v>92080301</v>
      </c>
      <c r="M1453" t="s">
        <v>21</v>
      </c>
      <c r="N1453" s="1">
        <v>43888.875694444447</v>
      </c>
      <c r="O1453" t="s">
        <v>19</v>
      </c>
    </row>
    <row r="1454" spans="1:15" x14ac:dyDescent="0.25">
      <c r="A1454" t="s">
        <v>1314</v>
      </c>
      <c r="B1454" t="s">
        <v>15</v>
      </c>
      <c r="C1454" t="s">
        <v>31</v>
      </c>
      <c r="D1454" t="s">
        <v>17</v>
      </c>
      <c r="E1454" t="s">
        <v>18</v>
      </c>
      <c r="F1454" t="s">
        <v>19</v>
      </c>
      <c r="G1454" t="s">
        <v>20</v>
      </c>
      <c r="J1454" t="s">
        <v>17</v>
      </c>
      <c r="K1454" t="str">
        <f>"54080002"</f>
        <v>54080002</v>
      </c>
      <c r="L1454" t="str">
        <f>"54080002"</f>
        <v>54080002</v>
      </c>
      <c r="M1454" t="s">
        <v>75</v>
      </c>
      <c r="N1454" s="1">
        <v>43126.658333333333</v>
      </c>
      <c r="O1454" t="s">
        <v>19</v>
      </c>
    </row>
    <row r="1455" spans="1:15" x14ac:dyDescent="0.25">
      <c r="A1455" t="s">
        <v>1315</v>
      </c>
      <c r="B1455" t="s">
        <v>15</v>
      </c>
      <c r="C1455" t="s">
        <v>31</v>
      </c>
      <c r="D1455" t="s">
        <v>17</v>
      </c>
      <c r="E1455" t="s">
        <v>18</v>
      </c>
      <c r="F1455" t="s">
        <v>19</v>
      </c>
      <c r="G1455" t="s">
        <v>20</v>
      </c>
      <c r="J1455" t="s">
        <v>17</v>
      </c>
      <c r="K1455" t="str">
        <f>"6689950025475"</f>
        <v>6689950025475</v>
      </c>
      <c r="L1455" t="str">
        <f>"4008092026"</f>
        <v>4008092026</v>
      </c>
      <c r="M1455" t="s">
        <v>21</v>
      </c>
      <c r="N1455" s="1">
        <v>44349.631944444445</v>
      </c>
      <c r="O1455" t="s">
        <v>19</v>
      </c>
    </row>
    <row r="1456" spans="1:15" x14ac:dyDescent="0.25">
      <c r="A1456" t="s">
        <v>1316</v>
      </c>
      <c r="B1456" t="s">
        <v>15</v>
      </c>
      <c r="C1456" t="s">
        <v>31</v>
      </c>
      <c r="D1456" t="s">
        <v>17</v>
      </c>
      <c r="E1456" t="s">
        <v>18</v>
      </c>
      <c r="F1456" t="s">
        <v>19</v>
      </c>
      <c r="G1456" t="s">
        <v>20</v>
      </c>
      <c r="J1456" t="s">
        <v>17</v>
      </c>
      <c r="K1456" t="str">
        <f>"766623306089"</f>
        <v>766623306089</v>
      </c>
      <c r="L1456" t="str">
        <f>"56086089"</f>
        <v>56086089</v>
      </c>
      <c r="M1456" t="s">
        <v>21</v>
      </c>
      <c r="N1456" s="1">
        <v>43985.8125</v>
      </c>
      <c r="O1456" t="s">
        <v>19</v>
      </c>
    </row>
    <row r="1457" spans="1:15" x14ac:dyDescent="0.25">
      <c r="A1457" t="s">
        <v>1317</v>
      </c>
      <c r="B1457" t="s">
        <v>15</v>
      </c>
      <c r="C1457" t="s">
        <v>31</v>
      </c>
      <c r="D1457" t="s">
        <v>17</v>
      </c>
      <c r="E1457" t="s">
        <v>18</v>
      </c>
      <c r="F1457" t="s">
        <v>19</v>
      </c>
      <c r="G1457" t="s">
        <v>20</v>
      </c>
      <c r="J1457" t="s">
        <v>17</v>
      </c>
      <c r="K1457" t="str">
        <f>"6689950025482"</f>
        <v>6689950025482</v>
      </c>
      <c r="L1457" t="str">
        <f>"40085482"</f>
        <v>40085482</v>
      </c>
      <c r="M1457" t="s">
        <v>21</v>
      </c>
      <c r="N1457" s="1">
        <v>44349.636805555558</v>
      </c>
      <c r="O1457" t="s">
        <v>19</v>
      </c>
    </row>
    <row r="1458" spans="1:15" x14ac:dyDescent="0.25">
      <c r="A1458" t="s">
        <v>1318</v>
      </c>
      <c r="B1458" t="s">
        <v>15</v>
      </c>
      <c r="C1458" t="s">
        <v>31</v>
      </c>
      <c r="D1458" t="s">
        <v>17</v>
      </c>
      <c r="E1458" t="s">
        <v>18</v>
      </c>
      <c r="F1458" t="s">
        <v>19</v>
      </c>
      <c r="G1458" t="s">
        <v>20</v>
      </c>
      <c r="J1458" t="s">
        <v>17</v>
      </c>
      <c r="K1458" t="str">
        <f>"7858816048333"</f>
        <v>7858816048333</v>
      </c>
      <c r="L1458" t="str">
        <f>"87084833"</f>
        <v>87084833</v>
      </c>
      <c r="M1458" t="s">
        <v>84</v>
      </c>
      <c r="N1458" s="1">
        <v>43545.810416666667</v>
      </c>
      <c r="O1458" t="s">
        <v>19</v>
      </c>
    </row>
    <row r="1459" spans="1:15" x14ac:dyDescent="0.25">
      <c r="A1459" t="s">
        <v>1319</v>
      </c>
      <c r="B1459" t="s">
        <v>15</v>
      </c>
      <c r="C1459" t="s">
        <v>31</v>
      </c>
      <c r="D1459" t="s">
        <v>17</v>
      </c>
      <c r="E1459" t="s">
        <v>18</v>
      </c>
      <c r="F1459" t="s">
        <v>19</v>
      </c>
      <c r="G1459" t="s">
        <v>20</v>
      </c>
      <c r="J1459" t="s">
        <v>17</v>
      </c>
      <c r="K1459" t="str">
        <f>"7858816021367"</f>
        <v>7858816021367</v>
      </c>
      <c r="L1459" t="str">
        <f>"87082136"</f>
        <v>87082136</v>
      </c>
      <c r="M1459" t="s">
        <v>21</v>
      </c>
      <c r="N1459" s="1">
        <v>44252.781944444447</v>
      </c>
      <c r="O1459" t="s">
        <v>19</v>
      </c>
    </row>
    <row r="1460" spans="1:15" x14ac:dyDescent="0.25">
      <c r="A1460" t="s">
        <v>1320</v>
      </c>
      <c r="B1460" t="s">
        <v>15</v>
      </c>
      <c r="C1460" t="s">
        <v>31</v>
      </c>
      <c r="D1460" t="s">
        <v>17</v>
      </c>
      <c r="E1460" t="s">
        <v>18</v>
      </c>
      <c r="F1460" t="s">
        <v>19</v>
      </c>
      <c r="G1460" t="s">
        <v>20</v>
      </c>
      <c r="J1460" t="s">
        <v>17</v>
      </c>
      <c r="K1460" t="str">
        <f>"7858816060052"</f>
        <v>7858816060052</v>
      </c>
      <c r="L1460" t="str">
        <f>"87086005"</f>
        <v>87086005</v>
      </c>
      <c r="M1460" t="s">
        <v>21</v>
      </c>
      <c r="N1460" s="1">
        <v>43502.895138888889</v>
      </c>
      <c r="O1460" t="s">
        <v>19</v>
      </c>
    </row>
    <row r="1461" spans="1:15" x14ac:dyDescent="0.25">
      <c r="A1461" t="s">
        <v>1321</v>
      </c>
      <c r="B1461" t="s">
        <v>15</v>
      </c>
      <c r="C1461" t="s">
        <v>23</v>
      </c>
      <c r="D1461" t="s">
        <v>17</v>
      </c>
      <c r="E1461" t="s">
        <v>18</v>
      </c>
      <c r="F1461" t="s">
        <v>19</v>
      </c>
      <c r="G1461" t="s">
        <v>20</v>
      </c>
      <c r="J1461" t="s">
        <v>17</v>
      </c>
      <c r="K1461" t="str">
        <f>"17127241"</f>
        <v>17127241</v>
      </c>
      <c r="L1461" t="str">
        <f>"17127241"</f>
        <v>17127241</v>
      </c>
      <c r="M1461" t="s">
        <v>75</v>
      </c>
      <c r="N1461" s="1">
        <v>43132.679166666669</v>
      </c>
      <c r="O1461" t="s">
        <v>19</v>
      </c>
    </row>
    <row r="1462" spans="1:15" x14ac:dyDescent="0.25">
      <c r="A1462" t="s">
        <v>1322</v>
      </c>
      <c r="B1462" t="s">
        <v>15</v>
      </c>
      <c r="C1462" t="s">
        <v>23</v>
      </c>
      <c r="D1462" t="s">
        <v>17</v>
      </c>
      <c r="E1462" t="s">
        <v>18</v>
      </c>
      <c r="F1462" t="s">
        <v>19</v>
      </c>
      <c r="G1462" t="s">
        <v>20</v>
      </c>
      <c r="J1462" t="s">
        <v>17</v>
      </c>
      <c r="K1462" t="str">
        <f>"10084079"</f>
        <v>10084079</v>
      </c>
      <c r="L1462" t="str">
        <f>"10084079"</f>
        <v>10084079</v>
      </c>
      <c r="M1462" t="s">
        <v>75</v>
      </c>
      <c r="N1462" s="1">
        <v>42872.839583333334</v>
      </c>
      <c r="O1462" t="s">
        <v>19</v>
      </c>
    </row>
    <row r="1463" spans="1:15" x14ac:dyDescent="0.25">
      <c r="A1463" t="s">
        <v>1323</v>
      </c>
      <c r="B1463" t="s">
        <v>15</v>
      </c>
      <c r="C1463" t="s">
        <v>23</v>
      </c>
      <c r="D1463" t="s">
        <v>17</v>
      </c>
      <c r="E1463" t="s">
        <v>18</v>
      </c>
      <c r="F1463" t="s">
        <v>19</v>
      </c>
      <c r="G1463" t="s">
        <v>20</v>
      </c>
      <c r="J1463" t="s">
        <v>17</v>
      </c>
      <c r="K1463" t="str">
        <f>"10000398"</f>
        <v>10000398</v>
      </c>
      <c r="L1463" t="str">
        <f>"10000398"</f>
        <v>10000398</v>
      </c>
      <c r="M1463" t="s">
        <v>75</v>
      </c>
      <c r="N1463" s="1">
        <v>42872.839583333334</v>
      </c>
      <c r="O1463" t="s">
        <v>19</v>
      </c>
    </row>
    <row r="1464" spans="1:15" x14ac:dyDescent="0.25">
      <c r="A1464" t="s">
        <v>1324</v>
      </c>
      <c r="B1464" t="s">
        <v>15</v>
      </c>
      <c r="C1464" t="s">
        <v>23</v>
      </c>
      <c r="D1464" t="s">
        <v>17</v>
      </c>
      <c r="E1464" t="s">
        <v>18</v>
      </c>
      <c r="F1464" t="s">
        <v>19</v>
      </c>
      <c r="G1464" t="s">
        <v>20</v>
      </c>
      <c r="J1464" t="s">
        <v>17</v>
      </c>
      <c r="K1464" t="str">
        <f>"4710007733332"</f>
        <v>4710007733332</v>
      </c>
      <c r="L1464" t="str">
        <f>"65083332"</f>
        <v>65083332</v>
      </c>
      <c r="M1464" t="s">
        <v>75</v>
      </c>
      <c r="N1464" s="1">
        <v>43186.929861111108</v>
      </c>
      <c r="O1464" t="s">
        <v>19</v>
      </c>
    </row>
    <row r="1465" spans="1:15" x14ac:dyDescent="0.25">
      <c r="A1465" t="s">
        <v>1325</v>
      </c>
      <c r="B1465" t="s">
        <v>15</v>
      </c>
      <c r="C1465" t="s">
        <v>23</v>
      </c>
      <c r="D1465" t="s">
        <v>17</v>
      </c>
      <c r="E1465" t="s">
        <v>18</v>
      </c>
      <c r="F1465" t="s">
        <v>19</v>
      </c>
      <c r="G1465" t="s">
        <v>20</v>
      </c>
      <c r="J1465" t="s">
        <v>17</v>
      </c>
      <c r="K1465" t="str">
        <f>"4710007733356"</f>
        <v>4710007733356</v>
      </c>
      <c r="L1465" t="str">
        <f>"65083356"</f>
        <v>65083356</v>
      </c>
      <c r="M1465" t="s">
        <v>75</v>
      </c>
      <c r="N1465" s="1">
        <v>43186.930555555555</v>
      </c>
      <c r="O1465" t="s">
        <v>19</v>
      </c>
    </row>
    <row r="1466" spans="1:15" x14ac:dyDescent="0.25">
      <c r="A1466" t="s">
        <v>1326</v>
      </c>
      <c r="B1466" t="s">
        <v>15</v>
      </c>
      <c r="C1466" t="s">
        <v>23</v>
      </c>
      <c r="D1466" t="s">
        <v>17</v>
      </c>
      <c r="E1466" t="s">
        <v>18</v>
      </c>
      <c r="F1466" t="s">
        <v>19</v>
      </c>
      <c r="G1466" t="s">
        <v>20</v>
      </c>
      <c r="J1466" t="s">
        <v>17</v>
      </c>
      <c r="K1466" t="str">
        <f>"8435350752149"</f>
        <v>8435350752149</v>
      </c>
      <c r="L1466" t="str">
        <f>"30080281"</f>
        <v>30080281</v>
      </c>
      <c r="M1466" t="s">
        <v>75</v>
      </c>
      <c r="N1466" s="1">
        <v>43201.65</v>
      </c>
      <c r="O1466" t="s">
        <v>19</v>
      </c>
    </row>
    <row r="1467" spans="1:15" x14ac:dyDescent="0.25">
      <c r="A1467" t="s">
        <v>1327</v>
      </c>
      <c r="B1467" t="s">
        <v>15</v>
      </c>
      <c r="C1467" t="s">
        <v>23</v>
      </c>
      <c r="D1467" t="s">
        <v>17</v>
      </c>
      <c r="E1467" t="s">
        <v>18</v>
      </c>
      <c r="F1467" t="s">
        <v>19</v>
      </c>
      <c r="G1467" t="s">
        <v>20</v>
      </c>
      <c r="J1467" t="s">
        <v>17</v>
      </c>
      <c r="K1467" t="str">
        <f>"4710007733363"</f>
        <v>4710007733363</v>
      </c>
      <c r="L1467" t="str">
        <f>"65083363"</f>
        <v>65083363</v>
      </c>
      <c r="M1467" t="s">
        <v>75</v>
      </c>
      <c r="N1467" s="1">
        <v>43186.930555555555</v>
      </c>
      <c r="O1467" t="s">
        <v>19</v>
      </c>
    </row>
    <row r="1468" spans="1:15" x14ac:dyDescent="0.25">
      <c r="A1468" t="s">
        <v>1328</v>
      </c>
      <c r="B1468" t="s">
        <v>15</v>
      </c>
      <c r="C1468" t="s">
        <v>23</v>
      </c>
      <c r="D1468" t="s">
        <v>17</v>
      </c>
      <c r="E1468" t="s">
        <v>18</v>
      </c>
      <c r="F1468" t="s">
        <v>19</v>
      </c>
      <c r="G1468" t="s">
        <v>20</v>
      </c>
      <c r="J1468" t="s">
        <v>17</v>
      </c>
      <c r="K1468" t="str">
        <f>"4710007733349"</f>
        <v>4710007733349</v>
      </c>
      <c r="L1468" t="str">
        <f>"65083349"</f>
        <v>65083349</v>
      </c>
      <c r="M1468" t="s">
        <v>75</v>
      </c>
      <c r="N1468" s="1">
        <v>43186.929166666669</v>
      </c>
      <c r="O1468" t="s">
        <v>19</v>
      </c>
    </row>
    <row r="1469" spans="1:15" x14ac:dyDescent="0.25">
      <c r="A1469" t="s">
        <v>1329</v>
      </c>
      <c r="B1469" t="s">
        <v>15</v>
      </c>
      <c r="C1469" t="s">
        <v>23</v>
      </c>
      <c r="D1469" t="s">
        <v>17</v>
      </c>
      <c r="E1469" t="s">
        <v>18</v>
      </c>
      <c r="F1469" t="s">
        <v>19</v>
      </c>
      <c r="G1469" t="s">
        <v>20</v>
      </c>
      <c r="J1469" t="s">
        <v>17</v>
      </c>
      <c r="K1469" t="str">
        <f>"4710007735749"</f>
        <v>4710007735749</v>
      </c>
      <c r="L1469" t="str">
        <f>"65085749"</f>
        <v>65085749</v>
      </c>
      <c r="M1469" t="s">
        <v>75</v>
      </c>
      <c r="N1469" s="1">
        <v>43186.929166666669</v>
      </c>
      <c r="O1469" t="s">
        <v>19</v>
      </c>
    </row>
    <row r="1470" spans="1:15" x14ac:dyDescent="0.25">
      <c r="A1470" t="s">
        <v>1330</v>
      </c>
      <c r="B1470" t="s">
        <v>15</v>
      </c>
      <c r="C1470" t="s">
        <v>23</v>
      </c>
      <c r="D1470" t="s">
        <v>17</v>
      </c>
      <c r="E1470" t="s">
        <v>18</v>
      </c>
      <c r="F1470" t="s">
        <v>19</v>
      </c>
      <c r="G1470" t="s">
        <v>20</v>
      </c>
      <c r="J1470" t="s">
        <v>17</v>
      </c>
      <c r="K1470" t="str">
        <f>"22084204"</f>
        <v>22084204</v>
      </c>
      <c r="L1470" t="str">
        <f>"22084204"</f>
        <v>22084204</v>
      </c>
      <c r="M1470" t="s">
        <v>75</v>
      </c>
      <c r="N1470" s="1">
        <v>43125.768750000003</v>
      </c>
      <c r="O1470" t="s">
        <v>19</v>
      </c>
    </row>
    <row r="1471" spans="1:15" x14ac:dyDescent="0.25">
      <c r="A1471" t="s">
        <v>1331</v>
      </c>
      <c r="B1471" t="s">
        <v>15</v>
      </c>
      <c r="C1471" t="s">
        <v>23</v>
      </c>
      <c r="D1471" t="s">
        <v>17</v>
      </c>
      <c r="E1471" t="s">
        <v>18</v>
      </c>
      <c r="F1471" t="s">
        <v>19</v>
      </c>
      <c r="G1471" t="s">
        <v>20</v>
      </c>
      <c r="J1471" t="s">
        <v>17</v>
      </c>
      <c r="K1471" t="str">
        <f>"22084242"</f>
        <v>22084242</v>
      </c>
      <c r="L1471" t="str">
        <f>"22084242"</f>
        <v>22084242</v>
      </c>
      <c r="M1471" t="s">
        <v>75</v>
      </c>
      <c r="N1471" s="1">
        <v>43096.820833333331</v>
      </c>
      <c r="O1471" t="s">
        <v>19</v>
      </c>
    </row>
    <row r="1472" spans="1:15" x14ac:dyDescent="0.25">
      <c r="A1472" t="s">
        <v>1332</v>
      </c>
      <c r="B1472" t="s">
        <v>15</v>
      </c>
      <c r="C1472" t="s">
        <v>23</v>
      </c>
      <c r="D1472" t="s">
        <v>17</v>
      </c>
      <c r="E1472" t="s">
        <v>18</v>
      </c>
      <c r="F1472" t="s">
        <v>19</v>
      </c>
      <c r="G1472" t="s">
        <v>20</v>
      </c>
      <c r="J1472" t="s">
        <v>17</v>
      </c>
      <c r="K1472" t="str">
        <f>"86080001"</f>
        <v>86080001</v>
      </c>
      <c r="L1472" t="str">
        <f>"86080001"</f>
        <v>86080001</v>
      </c>
      <c r="M1472" t="s">
        <v>75</v>
      </c>
      <c r="N1472" s="1">
        <v>42872.847222222219</v>
      </c>
      <c r="O1472" t="s">
        <v>19</v>
      </c>
    </row>
    <row r="1473" spans="1:15" x14ac:dyDescent="0.25">
      <c r="A1473" t="s">
        <v>1333</v>
      </c>
      <c r="B1473" t="s">
        <v>15</v>
      </c>
      <c r="C1473" t="s">
        <v>23</v>
      </c>
      <c r="D1473" t="s">
        <v>17</v>
      </c>
      <c r="E1473" t="s">
        <v>18</v>
      </c>
      <c r="F1473" t="s">
        <v>19</v>
      </c>
      <c r="G1473" t="s">
        <v>20</v>
      </c>
      <c r="J1473" t="s">
        <v>17</v>
      </c>
      <c r="K1473" t="str">
        <f>"86080000"</f>
        <v>86080000</v>
      </c>
      <c r="L1473" t="str">
        <f>"86080000"</f>
        <v>86080000</v>
      </c>
      <c r="M1473" t="s">
        <v>75</v>
      </c>
      <c r="N1473" s="1">
        <v>42936.8125</v>
      </c>
      <c r="O1473" t="s">
        <v>19</v>
      </c>
    </row>
    <row r="1474" spans="1:15" x14ac:dyDescent="0.25">
      <c r="A1474" t="s">
        <v>1334</v>
      </c>
      <c r="B1474" t="s">
        <v>15</v>
      </c>
      <c r="C1474" t="s">
        <v>23</v>
      </c>
      <c r="D1474" t="s">
        <v>17</v>
      </c>
      <c r="E1474" t="s">
        <v>18</v>
      </c>
      <c r="F1474" t="s">
        <v>19</v>
      </c>
      <c r="G1474" t="s">
        <v>20</v>
      </c>
      <c r="J1474" t="s">
        <v>17</v>
      </c>
      <c r="K1474" t="str">
        <f>"6995411220038"</f>
        <v>6995411220038</v>
      </c>
      <c r="L1474" t="str">
        <f>"76080038"</f>
        <v>76080038</v>
      </c>
      <c r="M1474" t="s">
        <v>21</v>
      </c>
      <c r="N1474" s="1">
        <v>44210.872916666667</v>
      </c>
      <c r="O1474" t="s">
        <v>19</v>
      </c>
    </row>
    <row r="1475" spans="1:15" x14ac:dyDescent="0.25">
      <c r="A1475" t="s">
        <v>1335</v>
      </c>
      <c r="B1475" t="s">
        <v>15</v>
      </c>
      <c r="C1475" t="s">
        <v>23</v>
      </c>
      <c r="D1475" t="s">
        <v>17</v>
      </c>
      <c r="E1475" t="s">
        <v>18</v>
      </c>
      <c r="F1475" t="s">
        <v>19</v>
      </c>
      <c r="G1475" t="s">
        <v>20</v>
      </c>
      <c r="J1475" t="s">
        <v>17</v>
      </c>
      <c r="K1475" t="str">
        <f>"6971393457037"</f>
        <v>6971393457037</v>
      </c>
      <c r="L1475" t="str">
        <f>"40087037"</f>
        <v>40087037</v>
      </c>
      <c r="M1475" t="s">
        <v>21</v>
      </c>
      <c r="N1475" s="1">
        <v>44349.664583333331</v>
      </c>
      <c r="O1475" t="s">
        <v>19</v>
      </c>
    </row>
    <row r="1476" spans="1:15" x14ac:dyDescent="0.25">
      <c r="A1476" t="s">
        <v>1336</v>
      </c>
      <c r="B1476" t="s">
        <v>15</v>
      </c>
      <c r="C1476" t="s">
        <v>23</v>
      </c>
      <c r="D1476" t="s">
        <v>17</v>
      </c>
      <c r="E1476" t="s">
        <v>18</v>
      </c>
      <c r="F1476" t="s">
        <v>19</v>
      </c>
      <c r="G1476" t="s">
        <v>20</v>
      </c>
      <c r="J1476" t="s">
        <v>17</v>
      </c>
      <c r="K1476" t="str">
        <f>"6925871643450"</f>
        <v>6925871643450</v>
      </c>
      <c r="L1476" t="str">
        <f>"22084345"</f>
        <v>22084345</v>
      </c>
      <c r="M1476" t="s">
        <v>21</v>
      </c>
      <c r="N1476" s="1">
        <v>44405.864583333336</v>
      </c>
      <c r="O1476" t="s">
        <v>19</v>
      </c>
    </row>
    <row r="1477" spans="1:15" x14ac:dyDescent="0.25">
      <c r="A1477" t="s">
        <v>1337</v>
      </c>
      <c r="B1477" t="s">
        <v>15</v>
      </c>
      <c r="C1477" t="s">
        <v>23</v>
      </c>
      <c r="D1477" t="s">
        <v>17</v>
      </c>
      <c r="E1477" t="s">
        <v>18</v>
      </c>
      <c r="F1477" t="s">
        <v>19</v>
      </c>
      <c r="G1477" t="s">
        <v>20</v>
      </c>
      <c r="J1477" t="s">
        <v>17</v>
      </c>
      <c r="K1477" t="str">
        <f>"6925871600170"</f>
        <v>6925871600170</v>
      </c>
      <c r="L1477" t="str">
        <f>"220804340"</f>
        <v>220804340</v>
      </c>
      <c r="M1477" t="s">
        <v>21</v>
      </c>
      <c r="N1477" s="1">
        <v>44352.700694444444</v>
      </c>
      <c r="O1477" t="s">
        <v>19</v>
      </c>
    </row>
    <row r="1478" spans="1:15" x14ac:dyDescent="0.25">
      <c r="A1478" t="s">
        <v>1338</v>
      </c>
      <c r="B1478" t="s">
        <v>15</v>
      </c>
      <c r="C1478" t="s">
        <v>23</v>
      </c>
      <c r="D1478" t="s">
        <v>17</v>
      </c>
      <c r="E1478" t="s">
        <v>18</v>
      </c>
      <c r="F1478" t="s">
        <v>19</v>
      </c>
      <c r="G1478" t="s">
        <v>20</v>
      </c>
      <c r="J1478" t="s">
        <v>17</v>
      </c>
      <c r="K1478" t="str">
        <f>"6925871643641"</f>
        <v>6925871643641</v>
      </c>
      <c r="L1478" t="str">
        <f>"22084364"</f>
        <v>22084364</v>
      </c>
      <c r="M1478" t="s">
        <v>21</v>
      </c>
      <c r="N1478" s="1">
        <v>44341.790972222225</v>
      </c>
      <c r="O1478" t="s">
        <v>19</v>
      </c>
    </row>
    <row r="1479" spans="1:15" x14ac:dyDescent="0.25">
      <c r="A1479" t="s">
        <v>1339</v>
      </c>
      <c r="B1479" t="s">
        <v>15</v>
      </c>
      <c r="C1479" t="s">
        <v>23</v>
      </c>
      <c r="D1479" t="s">
        <v>17</v>
      </c>
      <c r="E1479" t="s">
        <v>18</v>
      </c>
      <c r="F1479" t="s">
        <v>19</v>
      </c>
      <c r="G1479" t="s">
        <v>20</v>
      </c>
      <c r="J1479" t="s">
        <v>17</v>
      </c>
      <c r="K1479" t="str">
        <f>"6925871643689"</f>
        <v>6925871643689</v>
      </c>
      <c r="L1479" t="str">
        <f>"22084368"</f>
        <v>22084368</v>
      </c>
      <c r="M1479" t="s">
        <v>21</v>
      </c>
      <c r="N1479" s="1">
        <v>44341.797222222223</v>
      </c>
      <c r="O1479" t="s">
        <v>19</v>
      </c>
    </row>
    <row r="1480" spans="1:15" x14ac:dyDescent="0.25">
      <c r="A1480" t="s">
        <v>1340</v>
      </c>
      <c r="B1480" t="s">
        <v>15</v>
      </c>
      <c r="C1480" t="s">
        <v>23</v>
      </c>
      <c r="D1480" t="s">
        <v>17</v>
      </c>
      <c r="E1480" t="s">
        <v>18</v>
      </c>
      <c r="F1480" t="s">
        <v>19</v>
      </c>
      <c r="G1480" t="s">
        <v>20</v>
      </c>
      <c r="J1480" t="s">
        <v>17</v>
      </c>
      <c r="K1480" t="str">
        <f>"7858816041082"</f>
        <v>7858816041082</v>
      </c>
      <c r="L1480" t="str">
        <f>"87084108"</f>
        <v>87084108</v>
      </c>
      <c r="M1480" t="s">
        <v>21</v>
      </c>
      <c r="N1480" s="1">
        <v>43819.618750000001</v>
      </c>
      <c r="O1480" t="s">
        <v>19</v>
      </c>
    </row>
    <row r="1481" spans="1:15" x14ac:dyDescent="0.25">
      <c r="A1481" t="s">
        <v>1341</v>
      </c>
      <c r="B1481" t="s">
        <v>15</v>
      </c>
      <c r="C1481" t="s">
        <v>23</v>
      </c>
      <c r="D1481" t="s">
        <v>17</v>
      </c>
      <c r="E1481" t="s">
        <v>18</v>
      </c>
      <c r="F1481" t="s">
        <v>19</v>
      </c>
      <c r="G1481" t="s">
        <v>20</v>
      </c>
      <c r="J1481" t="s">
        <v>17</v>
      </c>
      <c r="K1481" t="str">
        <f>"7858816078194"</f>
        <v>7858816078194</v>
      </c>
      <c r="L1481" t="str">
        <f>"87087819"</f>
        <v>87087819</v>
      </c>
      <c r="M1481" t="s">
        <v>21</v>
      </c>
      <c r="N1481" s="1">
        <v>44356.932638888888</v>
      </c>
      <c r="O1481" t="s">
        <v>19</v>
      </c>
    </row>
    <row r="1482" spans="1:15" x14ac:dyDescent="0.25">
      <c r="A1482" t="s">
        <v>1342</v>
      </c>
      <c r="B1482" t="s">
        <v>15</v>
      </c>
      <c r="C1482" t="s">
        <v>23</v>
      </c>
      <c r="D1482" t="s">
        <v>17</v>
      </c>
      <c r="E1482" t="s">
        <v>18</v>
      </c>
      <c r="F1482" t="s">
        <v>19</v>
      </c>
      <c r="G1482" t="s">
        <v>20</v>
      </c>
      <c r="J1482" t="s">
        <v>17</v>
      </c>
      <c r="K1482" t="str">
        <f>"7858816083976"</f>
        <v>7858816083976</v>
      </c>
      <c r="L1482" t="str">
        <f>"87088397"</f>
        <v>87088397</v>
      </c>
      <c r="M1482" t="s">
        <v>21</v>
      </c>
      <c r="N1482" s="1">
        <v>44356.877083333333</v>
      </c>
      <c r="O1482" t="s">
        <v>19</v>
      </c>
    </row>
    <row r="1483" spans="1:15" x14ac:dyDescent="0.25">
      <c r="A1483" t="s">
        <v>1343</v>
      </c>
      <c r="B1483" t="s">
        <v>15</v>
      </c>
      <c r="C1483" t="s">
        <v>23</v>
      </c>
      <c r="D1483" t="s">
        <v>17</v>
      </c>
      <c r="E1483" t="s">
        <v>18</v>
      </c>
      <c r="F1483" t="s">
        <v>19</v>
      </c>
      <c r="G1483" t="s">
        <v>20</v>
      </c>
      <c r="J1483" t="s">
        <v>17</v>
      </c>
      <c r="K1483" t="str">
        <f>"6956116793555"</f>
        <v>6956116793555</v>
      </c>
      <c r="L1483" t="str">
        <f>"6956116793524"</f>
        <v>6956116793524</v>
      </c>
      <c r="M1483" t="s">
        <v>21</v>
      </c>
      <c r="N1483" s="1">
        <v>43067.625</v>
      </c>
      <c r="O1483" t="s">
        <v>19</v>
      </c>
    </row>
    <row r="1484" spans="1:15" x14ac:dyDescent="0.25">
      <c r="A1484" t="s">
        <v>1344</v>
      </c>
      <c r="B1484" t="s">
        <v>15</v>
      </c>
      <c r="C1484" t="s">
        <v>23</v>
      </c>
      <c r="D1484" t="s">
        <v>17</v>
      </c>
      <c r="E1484" t="s">
        <v>18</v>
      </c>
      <c r="F1484" t="s">
        <v>19</v>
      </c>
      <c r="G1484" t="s">
        <v>20</v>
      </c>
      <c r="J1484" t="s">
        <v>17</v>
      </c>
      <c r="K1484" t="str">
        <f>"6954851261339"</f>
        <v>6954851261339</v>
      </c>
      <c r="L1484" t="str">
        <f>"13081339"</f>
        <v>13081339</v>
      </c>
      <c r="M1484" t="s">
        <v>21</v>
      </c>
      <c r="N1484" s="1">
        <v>44348.644444444442</v>
      </c>
      <c r="O1484" t="s">
        <v>19</v>
      </c>
    </row>
    <row r="1485" spans="1:15" x14ac:dyDescent="0.25">
      <c r="A1485" t="s">
        <v>1345</v>
      </c>
      <c r="B1485" t="s">
        <v>15</v>
      </c>
      <c r="C1485" t="s">
        <v>23</v>
      </c>
      <c r="D1485" t="s">
        <v>17</v>
      </c>
      <c r="E1485" t="s">
        <v>18</v>
      </c>
      <c r="F1485" t="s">
        <v>19</v>
      </c>
      <c r="G1485" t="s">
        <v>20</v>
      </c>
      <c r="J1485" t="s">
        <v>17</v>
      </c>
      <c r="K1485" t="str">
        <f>"6954851261360"</f>
        <v>6954851261360</v>
      </c>
      <c r="L1485" t="str">
        <f>"13081360"</f>
        <v>13081360</v>
      </c>
      <c r="M1485" t="s">
        <v>21</v>
      </c>
      <c r="N1485" s="1">
        <v>44348.646527777775</v>
      </c>
      <c r="O1485" t="s">
        <v>19</v>
      </c>
    </row>
    <row r="1486" spans="1:15" x14ac:dyDescent="0.25">
      <c r="A1486" t="s">
        <v>1346</v>
      </c>
      <c r="B1486" t="s">
        <v>15</v>
      </c>
      <c r="C1486" t="s">
        <v>23</v>
      </c>
      <c r="D1486" t="s">
        <v>17</v>
      </c>
      <c r="E1486" t="s">
        <v>18</v>
      </c>
      <c r="F1486" t="s">
        <v>19</v>
      </c>
      <c r="G1486" t="s">
        <v>20</v>
      </c>
      <c r="J1486" t="s">
        <v>17</v>
      </c>
      <c r="K1486" t="str">
        <f>"6972174153476"</f>
        <v>6972174153476</v>
      </c>
      <c r="L1486" t="str">
        <f>"6972174153469"</f>
        <v>6972174153469</v>
      </c>
      <c r="M1486" t="s">
        <v>21</v>
      </c>
      <c r="N1486" s="1">
        <v>44348.638888888891</v>
      </c>
      <c r="O1486" t="s">
        <v>19</v>
      </c>
    </row>
    <row r="1487" spans="1:15" x14ac:dyDescent="0.25">
      <c r="A1487" t="s">
        <v>1347</v>
      </c>
      <c r="B1487" t="s">
        <v>15</v>
      </c>
      <c r="C1487" t="s">
        <v>23</v>
      </c>
      <c r="D1487" t="s">
        <v>17</v>
      </c>
      <c r="E1487" t="s">
        <v>18</v>
      </c>
      <c r="F1487" t="s">
        <v>19</v>
      </c>
      <c r="G1487" t="s">
        <v>20</v>
      </c>
      <c r="J1487" t="s">
        <v>17</v>
      </c>
      <c r="K1487" t="str">
        <f>"76080001"</f>
        <v>76080001</v>
      </c>
      <c r="L1487" t="str">
        <f>"76080001"</f>
        <v>76080001</v>
      </c>
      <c r="M1487" t="s">
        <v>21</v>
      </c>
      <c r="N1487" s="1">
        <v>43665.707638888889</v>
      </c>
      <c r="O1487" t="s">
        <v>19</v>
      </c>
    </row>
    <row r="1488" spans="1:15" x14ac:dyDescent="0.25">
      <c r="A1488" t="s">
        <v>1348</v>
      </c>
      <c r="B1488" t="s">
        <v>15</v>
      </c>
      <c r="C1488" t="s">
        <v>23</v>
      </c>
      <c r="D1488" t="s">
        <v>17</v>
      </c>
      <c r="E1488" t="s">
        <v>18</v>
      </c>
      <c r="F1488" t="s">
        <v>19</v>
      </c>
      <c r="G1488" t="s">
        <v>20</v>
      </c>
      <c r="J1488" t="s">
        <v>17</v>
      </c>
      <c r="K1488" t="str">
        <f>"6746456795834"</f>
        <v>6746456795834</v>
      </c>
      <c r="L1488" t="str">
        <f>"40085834"</f>
        <v>40085834</v>
      </c>
      <c r="M1488" t="s">
        <v>21</v>
      </c>
      <c r="N1488" s="1">
        <v>44349.666666666664</v>
      </c>
      <c r="O1488" t="s">
        <v>19</v>
      </c>
    </row>
    <row r="1489" spans="1:15" x14ac:dyDescent="0.25">
      <c r="A1489" t="s">
        <v>1349</v>
      </c>
      <c r="B1489" t="s">
        <v>15</v>
      </c>
      <c r="C1489" t="s">
        <v>31</v>
      </c>
      <c r="D1489" t="s">
        <v>17</v>
      </c>
      <c r="E1489" t="s">
        <v>18</v>
      </c>
      <c r="F1489" t="s">
        <v>19</v>
      </c>
      <c r="G1489" t="s">
        <v>20</v>
      </c>
      <c r="J1489" t="s">
        <v>17</v>
      </c>
      <c r="K1489" t="str">
        <f>"639247745773"</f>
        <v>639247745773</v>
      </c>
      <c r="L1489" t="str">
        <f>"63080057"</f>
        <v>63080057</v>
      </c>
      <c r="M1489" t="s">
        <v>21</v>
      </c>
      <c r="N1489" s="1">
        <v>43742.683333333334</v>
      </c>
      <c r="O1489" t="s">
        <v>19</v>
      </c>
    </row>
    <row r="1490" spans="1:15" x14ac:dyDescent="0.25">
      <c r="A1490" t="s">
        <v>1350</v>
      </c>
      <c r="B1490" t="s">
        <v>15</v>
      </c>
      <c r="C1490" t="s">
        <v>23</v>
      </c>
      <c r="D1490" t="s">
        <v>17</v>
      </c>
      <c r="E1490" t="s">
        <v>18</v>
      </c>
      <c r="F1490" t="s">
        <v>19</v>
      </c>
      <c r="G1490" t="s">
        <v>20</v>
      </c>
      <c r="J1490" t="s">
        <v>17</v>
      </c>
      <c r="K1490" t="str">
        <f>"2019033557168"</f>
        <v>2019033557168</v>
      </c>
      <c r="L1490" t="str">
        <f>"18085716"</f>
        <v>18085716</v>
      </c>
      <c r="M1490" t="s">
        <v>21</v>
      </c>
      <c r="N1490" s="1">
        <v>43146.827777777777</v>
      </c>
      <c r="O1490" t="s">
        <v>19</v>
      </c>
    </row>
    <row r="1491" spans="1:15" x14ac:dyDescent="0.25">
      <c r="A1491" t="s">
        <v>1351</v>
      </c>
      <c r="B1491" t="s">
        <v>15</v>
      </c>
      <c r="C1491" t="s">
        <v>23</v>
      </c>
      <c r="D1491" t="s">
        <v>17</v>
      </c>
      <c r="E1491" t="s">
        <v>18</v>
      </c>
      <c r="F1491" t="s">
        <v>19</v>
      </c>
      <c r="G1491" t="s">
        <v>20</v>
      </c>
      <c r="J1491" t="s">
        <v>17</v>
      </c>
      <c r="K1491" t="str">
        <f>"2020050060401"</f>
        <v>2020050060401</v>
      </c>
      <c r="L1491" t="str">
        <f>"18086040"</f>
        <v>18086040</v>
      </c>
      <c r="M1491" t="s">
        <v>21</v>
      </c>
      <c r="N1491" s="1">
        <v>43064.765277777777</v>
      </c>
      <c r="O1491" t="s">
        <v>19</v>
      </c>
    </row>
    <row r="1492" spans="1:15" x14ac:dyDescent="0.25">
      <c r="A1492" t="s">
        <v>1352</v>
      </c>
      <c r="B1492" t="s">
        <v>15</v>
      </c>
      <c r="C1492" t="s">
        <v>23</v>
      </c>
      <c r="D1492" t="s">
        <v>17</v>
      </c>
      <c r="E1492" t="s">
        <v>18</v>
      </c>
      <c r="F1492" t="s">
        <v>19</v>
      </c>
      <c r="G1492" t="s">
        <v>20</v>
      </c>
      <c r="J1492" t="s">
        <v>17</v>
      </c>
      <c r="K1492" t="str">
        <f>"2020050061071"</f>
        <v>2020050061071</v>
      </c>
      <c r="L1492" t="str">
        <f>"18086107"</f>
        <v>18086107</v>
      </c>
      <c r="M1492" t="s">
        <v>21</v>
      </c>
      <c r="N1492" s="1">
        <v>43147.720833333333</v>
      </c>
      <c r="O1492" t="s">
        <v>19</v>
      </c>
    </row>
    <row r="1493" spans="1:15" x14ac:dyDescent="0.25">
      <c r="A1493" t="s">
        <v>1353</v>
      </c>
      <c r="B1493" t="s">
        <v>15</v>
      </c>
      <c r="C1493" t="s">
        <v>23</v>
      </c>
      <c r="D1493" t="s">
        <v>17</v>
      </c>
      <c r="E1493" t="s">
        <v>18</v>
      </c>
      <c r="F1493" t="s">
        <v>19</v>
      </c>
      <c r="G1493" t="s">
        <v>20</v>
      </c>
      <c r="J1493" t="s">
        <v>17</v>
      </c>
      <c r="K1493" t="str">
        <f>"8435350752156"</f>
        <v>8435350752156</v>
      </c>
      <c r="L1493" t="str">
        <f>"30080282"</f>
        <v>30080282</v>
      </c>
      <c r="M1493" t="s">
        <v>75</v>
      </c>
      <c r="N1493" s="1">
        <v>43201.65</v>
      </c>
      <c r="O1493" t="s">
        <v>19</v>
      </c>
    </row>
    <row r="1494" spans="1:15" x14ac:dyDescent="0.25">
      <c r="A1494" t="s">
        <v>1354</v>
      </c>
      <c r="B1494" t="s">
        <v>15</v>
      </c>
      <c r="C1494" t="s">
        <v>23</v>
      </c>
      <c r="D1494" t="s">
        <v>17</v>
      </c>
      <c r="E1494" t="s">
        <v>18</v>
      </c>
      <c r="F1494" t="s">
        <v>19</v>
      </c>
      <c r="G1494" t="s">
        <v>20</v>
      </c>
      <c r="J1494" t="s">
        <v>17</v>
      </c>
      <c r="K1494" t="str">
        <f>"10111825"</f>
        <v>10111825</v>
      </c>
      <c r="L1494" t="str">
        <f>"10111825"</f>
        <v>10111825</v>
      </c>
      <c r="M1494" t="s">
        <v>21</v>
      </c>
      <c r="N1494" s="1">
        <v>43967.787499999999</v>
      </c>
      <c r="O1494" t="s">
        <v>19</v>
      </c>
    </row>
    <row r="1495" spans="1:15" x14ac:dyDescent="0.25">
      <c r="A1495" t="s">
        <v>1355</v>
      </c>
      <c r="B1495" t="s">
        <v>15</v>
      </c>
      <c r="C1495" t="s">
        <v>23</v>
      </c>
      <c r="D1495" t="s">
        <v>17</v>
      </c>
      <c r="E1495" t="s">
        <v>18</v>
      </c>
      <c r="F1495" t="s">
        <v>19</v>
      </c>
      <c r="G1495" t="s">
        <v>20</v>
      </c>
      <c r="J1495" t="s">
        <v>17</v>
      </c>
      <c r="K1495" t="str">
        <f>"10111847"</f>
        <v>10111847</v>
      </c>
      <c r="L1495" t="str">
        <f>"10111847"</f>
        <v>10111847</v>
      </c>
      <c r="M1495" t="s">
        <v>21</v>
      </c>
      <c r="N1495" s="1">
        <v>43854.701388888891</v>
      </c>
      <c r="O1495" t="s">
        <v>19</v>
      </c>
    </row>
    <row r="1496" spans="1:15" x14ac:dyDescent="0.25">
      <c r="A1496" t="s">
        <v>1356</v>
      </c>
      <c r="B1496" t="s">
        <v>15</v>
      </c>
      <c r="C1496" t="s">
        <v>23</v>
      </c>
      <c r="D1496" t="s">
        <v>17</v>
      </c>
      <c r="E1496" t="s">
        <v>18</v>
      </c>
      <c r="F1496" t="s">
        <v>19</v>
      </c>
      <c r="G1496" t="s">
        <v>20</v>
      </c>
      <c r="J1496" t="s">
        <v>17</v>
      </c>
      <c r="K1496" t="str">
        <f>"10011713"</f>
        <v>10011713</v>
      </c>
      <c r="L1496" t="str">
        <f>"10011713"</f>
        <v>10011713</v>
      </c>
      <c r="M1496" t="s">
        <v>75</v>
      </c>
      <c r="N1496" s="1">
        <v>43195.698611111111</v>
      </c>
      <c r="O1496" t="s">
        <v>19</v>
      </c>
    </row>
    <row r="1497" spans="1:15" x14ac:dyDescent="0.25">
      <c r="A1497" t="s">
        <v>1357</v>
      </c>
      <c r="B1497" t="s">
        <v>15</v>
      </c>
      <c r="C1497" t="s">
        <v>23</v>
      </c>
      <c r="D1497" t="s">
        <v>17</v>
      </c>
      <c r="E1497" t="s">
        <v>18</v>
      </c>
      <c r="F1497" t="s">
        <v>19</v>
      </c>
      <c r="G1497" t="s">
        <v>20</v>
      </c>
      <c r="J1497" t="s">
        <v>17</v>
      </c>
      <c r="K1497" t="str">
        <f>"2751531583279"</f>
        <v>2751531583279</v>
      </c>
      <c r="L1497" t="str">
        <f>"10012868"</f>
        <v>10012868</v>
      </c>
      <c r="M1497" t="s">
        <v>84</v>
      </c>
      <c r="N1497" s="1">
        <v>43532.900694444441</v>
      </c>
      <c r="O1497" t="s">
        <v>19</v>
      </c>
    </row>
    <row r="1498" spans="1:15" x14ac:dyDescent="0.25">
      <c r="A1498" t="s">
        <v>1358</v>
      </c>
      <c r="B1498" t="s">
        <v>15</v>
      </c>
      <c r="C1498" t="s">
        <v>23</v>
      </c>
      <c r="D1498" t="s">
        <v>17</v>
      </c>
      <c r="E1498" t="s">
        <v>18</v>
      </c>
      <c r="F1498" t="s">
        <v>19</v>
      </c>
      <c r="G1498" t="s">
        <v>20</v>
      </c>
      <c r="J1498" t="s">
        <v>17</v>
      </c>
      <c r="K1498" t="str">
        <f>"6971083491709"</f>
        <v>6971083491709</v>
      </c>
      <c r="L1498" t="str">
        <f>"10013132"</f>
        <v>10013132</v>
      </c>
      <c r="M1498" t="s">
        <v>84</v>
      </c>
      <c r="N1498" s="1">
        <v>43510.686111111114</v>
      </c>
      <c r="O1498" t="s">
        <v>19</v>
      </c>
    </row>
    <row r="1499" spans="1:15" x14ac:dyDescent="0.25">
      <c r="A1499" t="s">
        <v>1359</v>
      </c>
      <c r="B1499" t="s">
        <v>15</v>
      </c>
      <c r="C1499" t="s">
        <v>23</v>
      </c>
      <c r="D1499" t="s">
        <v>17</v>
      </c>
      <c r="E1499" t="s">
        <v>18</v>
      </c>
      <c r="F1499" t="s">
        <v>19</v>
      </c>
      <c r="G1499" t="s">
        <v>20</v>
      </c>
      <c r="J1499" t="s">
        <v>17</v>
      </c>
      <c r="K1499" t="str">
        <f>"10014298"</f>
        <v>10014298</v>
      </c>
      <c r="L1499" t="str">
        <f>"10014298"</f>
        <v>10014298</v>
      </c>
      <c r="M1499" t="s">
        <v>21</v>
      </c>
      <c r="N1499" s="1">
        <v>43967.804166666669</v>
      </c>
      <c r="O1499" t="s">
        <v>19</v>
      </c>
    </row>
    <row r="1500" spans="1:15" x14ac:dyDescent="0.25">
      <c r="A1500" t="s">
        <v>1360</v>
      </c>
      <c r="B1500" t="s">
        <v>15</v>
      </c>
      <c r="C1500" t="s">
        <v>23</v>
      </c>
      <c r="D1500" t="s">
        <v>17</v>
      </c>
      <c r="E1500" t="s">
        <v>18</v>
      </c>
      <c r="F1500" t="s">
        <v>19</v>
      </c>
      <c r="G1500" t="s">
        <v>20</v>
      </c>
      <c r="J1500" t="s">
        <v>17</v>
      </c>
      <c r="K1500" t="str">
        <f>"10014826"</f>
        <v>10014826</v>
      </c>
      <c r="L1500" t="str">
        <f>"10014826"</f>
        <v>10014826</v>
      </c>
      <c r="M1500" t="s">
        <v>21</v>
      </c>
      <c r="N1500" s="1">
        <v>43532.9</v>
      </c>
      <c r="O1500" t="s">
        <v>19</v>
      </c>
    </row>
    <row r="1501" spans="1:15" x14ac:dyDescent="0.25">
      <c r="A1501" t="s">
        <v>1361</v>
      </c>
      <c r="B1501" t="s">
        <v>15</v>
      </c>
      <c r="C1501" t="s">
        <v>23</v>
      </c>
      <c r="D1501" t="s">
        <v>17</v>
      </c>
      <c r="E1501" t="s">
        <v>18</v>
      </c>
      <c r="F1501" t="s">
        <v>19</v>
      </c>
      <c r="G1501" t="s">
        <v>20</v>
      </c>
      <c r="J1501" t="s">
        <v>17</v>
      </c>
      <c r="K1501" t="str">
        <f>"6910803084449"</f>
        <v>6910803084449</v>
      </c>
      <c r="L1501" t="str">
        <f>"10081531"</f>
        <v>10081531</v>
      </c>
      <c r="M1501" t="s">
        <v>84</v>
      </c>
      <c r="N1501" s="1">
        <v>42872.839583333334</v>
      </c>
      <c r="O1501" t="s">
        <v>19</v>
      </c>
    </row>
    <row r="1502" spans="1:15" x14ac:dyDescent="0.25">
      <c r="A1502" t="s">
        <v>1362</v>
      </c>
      <c r="B1502" t="s">
        <v>15</v>
      </c>
      <c r="C1502" t="s">
        <v>23</v>
      </c>
      <c r="D1502" t="s">
        <v>17</v>
      </c>
      <c r="E1502" t="s">
        <v>18</v>
      </c>
      <c r="F1502" t="s">
        <v>19</v>
      </c>
      <c r="G1502" t="s">
        <v>20</v>
      </c>
      <c r="J1502" t="s">
        <v>17</v>
      </c>
      <c r="K1502" t="str">
        <f>"7815666663499"</f>
        <v>7815666663499</v>
      </c>
      <c r="L1502" t="str">
        <f>"10082867"</f>
        <v>10082867</v>
      </c>
      <c r="M1502" t="s">
        <v>75</v>
      </c>
      <c r="N1502" s="1">
        <v>43175.958333333336</v>
      </c>
      <c r="O1502" t="s">
        <v>19</v>
      </c>
    </row>
    <row r="1503" spans="1:15" x14ac:dyDescent="0.25">
      <c r="A1503" t="s">
        <v>1363</v>
      </c>
      <c r="B1503" t="s">
        <v>15</v>
      </c>
      <c r="C1503" t="s">
        <v>23</v>
      </c>
      <c r="D1503" t="s">
        <v>17</v>
      </c>
      <c r="E1503" t="s">
        <v>18</v>
      </c>
      <c r="F1503" t="s">
        <v>19</v>
      </c>
      <c r="G1503" t="s">
        <v>20</v>
      </c>
      <c r="J1503" t="s">
        <v>17</v>
      </c>
      <c r="K1503" t="str">
        <f>"6965468456681"</f>
        <v>6965468456681</v>
      </c>
      <c r="L1503" t="str">
        <f>"10003150"</f>
        <v>10003150</v>
      </c>
      <c r="M1503" t="s">
        <v>21</v>
      </c>
      <c r="N1503" s="1">
        <v>43967.711111111108</v>
      </c>
      <c r="O1503" t="s">
        <v>19</v>
      </c>
    </row>
    <row r="1504" spans="1:15" x14ac:dyDescent="0.25">
      <c r="A1504" t="s">
        <v>1364</v>
      </c>
      <c r="B1504" t="s">
        <v>15</v>
      </c>
      <c r="C1504" t="s">
        <v>23</v>
      </c>
      <c r="D1504" t="s">
        <v>17</v>
      </c>
      <c r="E1504" t="s">
        <v>18</v>
      </c>
      <c r="F1504" t="s">
        <v>19</v>
      </c>
      <c r="G1504" t="s">
        <v>20</v>
      </c>
      <c r="J1504" t="s">
        <v>17</v>
      </c>
      <c r="K1504" t="str">
        <f>"10004530"</f>
        <v>10004530</v>
      </c>
      <c r="L1504" t="str">
        <f>"10004530"</f>
        <v>10004530</v>
      </c>
      <c r="M1504" t="s">
        <v>21</v>
      </c>
      <c r="N1504" s="1">
        <v>43858.617361111108</v>
      </c>
      <c r="O1504" t="s">
        <v>19</v>
      </c>
    </row>
    <row r="1505" spans="1:15" x14ac:dyDescent="0.25">
      <c r="A1505" t="s">
        <v>1365</v>
      </c>
      <c r="B1505" t="s">
        <v>15</v>
      </c>
      <c r="C1505" t="s">
        <v>23</v>
      </c>
      <c r="D1505" t="s">
        <v>17</v>
      </c>
      <c r="E1505" t="s">
        <v>18</v>
      </c>
      <c r="F1505" t="s">
        <v>19</v>
      </c>
      <c r="G1505" t="s">
        <v>20</v>
      </c>
      <c r="J1505" t="s">
        <v>17</v>
      </c>
      <c r="K1505" t="str">
        <f>"6656325558760"</f>
        <v>6656325558760</v>
      </c>
      <c r="L1505" t="str">
        <f>"10009194"</f>
        <v>10009194</v>
      </c>
      <c r="M1505" t="s">
        <v>21</v>
      </c>
      <c r="N1505" s="1">
        <v>43753.659722222219</v>
      </c>
      <c r="O1505" t="s">
        <v>19</v>
      </c>
    </row>
    <row r="1506" spans="1:15" x14ac:dyDescent="0.25">
      <c r="A1506" t="s">
        <v>1366</v>
      </c>
      <c r="B1506" t="s">
        <v>15</v>
      </c>
      <c r="C1506" t="s">
        <v>23</v>
      </c>
      <c r="D1506" t="s">
        <v>17</v>
      </c>
      <c r="E1506" t="s">
        <v>18</v>
      </c>
      <c r="F1506" t="s">
        <v>19</v>
      </c>
      <c r="G1506" t="s">
        <v>20</v>
      </c>
      <c r="J1506" t="s">
        <v>17</v>
      </c>
      <c r="K1506" t="str">
        <f>"6546876788962"</f>
        <v>6546876788962</v>
      </c>
      <c r="L1506" t="str">
        <f>"10009414"</f>
        <v>10009414</v>
      </c>
      <c r="M1506" t="s">
        <v>21</v>
      </c>
      <c r="N1506" s="1">
        <v>43854.700694444444</v>
      </c>
      <c r="O1506" t="s">
        <v>19</v>
      </c>
    </row>
    <row r="1507" spans="1:15" x14ac:dyDescent="0.25">
      <c r="A1507" t="s">
        <v>1367</v>
      </c>
      <c r="B1507" t="s">
        <v>15</v>
      </c>
      <c r="C1507" t="s">
        <v>23</v>
      </c>
      <c r="D1507" t="s">
        <v>17</v>
      </c>
      <c r="E1507" t="s">
        <v>18</v>
      </c>
      <c r="F1507" t="s">
        <v>19</v>
      </c>
      <c r="G1507" t="s">
        <v>20</v>
      </c>
      <c r="J1507" t="s">
        <v>18</v>
      </c>
      <c r="K1507" t="str">
        <f>"6959033842191"</f>
        <v>6959033842191</v>
      </c>
      <c r="L1507" t="str">
        <f>"98082191"</f>
        <v>98082191</v>
      </c>
      <c r="M1507" t="s">
        <v>84</v>
      </c>
      <c r="N1507" s="1">
        <v>43495.825694444444</v>
      </c>
      <c r="O1507" t="s">
        <v>19</v>
      </c>
    </row>
    <row r="1508" spans="1:15" x14ac:dyDescent="0.25">
      <c r="A1508" t="s">
        <v>1368</v>
      </c>
      <c r="B1508" t="s">
        <v>15</v>
      </c>
      <c r="C1508" t="s">
        <v>23</v>
      </c>
      <c r="D1508" t="s">
        <v>17</v>
      </c>
      <c r="E1508" t="s">
        <v>18</v>
      </c>
      <c r="F1508" t="s">
        <v>19</v>
      </c>
      <c r="G1508" t="s">
        <v>20</v>
      </c>
      <c r="J1508" t="s">
        <v>17</v>
      </c>
      <c r="K1508" t="str">
        <f>"6910190442372"</f>
        <v>6910190442372</v>
      </c>
      <c r="L1508" t="str">
        <f>"22084237"</f>
        <v>22084237</v>
      </c>
      <c r="M1508" t="s">
        <v>21</v>
      </c>
      <c r="N1508" s="1">
        <v>43853.769444444442</v>
      </c>
      <c r="O1508" t="s">
        <v>19</v>
      </c>
    </row>
    <row r="1509" spans="1:15" x14ac:dyDescent="0.25">
      <c r="A1509" t="s">
        <v>1369</v>
      </c>
      <c r="B1509" t="s">
        <v>15</v>
      </c>
      <c r="C1509" t="s">
        <v>23</v>
      </c>
      <c r="D1509" t="s">
        <v>17</v>
      </c>
      <c r="E1509" t="s">
        <v>18</v>
      </c>
      <c r="F1509" t="s">
        <v>19</v>
      </c>
      <c r="G1509" t="s">
        <v>20</v>
      </c>
      <c r="J1509" t="s">
        <v>17</v>
      </c>
      <c r="K1509" t="str">
        <f>"6925871643443"</f>
        <v>6925871643443</v>
      </c>
      <c r="L1509" t="str">
        <f>"22084344"</f>
        <v>22084344</v>
      </c>
      <c r="M1509" t="s">
        <v>21</v>
      </c>
      <c r="N1509" s="1">
        <v>44341.813194444447</v>
      </c>
      <c r="O1509" t="s">
        <v>19</v>
      </c>
    </row>
    <row r="1510" spans="1:15" x14ac:dyDescent="0.25">
      <c r="A1510" t="s">
        <v>1370</v>
      </c>
      <c r="B1510" t="s">
        <v>15</v>
      </c>
      <c r="C1510" t="s">
        <v>23</v>
      </c>
      <c r="D1510" t="s">
        <v>17</v>
      </c>
      <c r="E1510" t="s">
        <v>18</v>
      </c>
      <c r="F1510" t="s">
        <v>19</v>
      </c>
      <c r="G1510" t="s">
        <v>20</v>
      </c>
      <c r="J1510" t="s">
        <v>17</v>
      </c>
      <c r="K1510" t="str">
        <f>"6925871643627"</f>
        <v>6925871643627</v>
      </c>
      <c r="L1510" t="str">
        <f>"22084362"</f>
        <v>22084362</v>
      </c>
      <c r="M1510" t="s">
        <v>21</v>
      </c>
      <c r="N1510" s="1">
        <v>44341.789583333331</v>
      </c>
      <c r="O1510" t="s">
        <v>19</v>
      </c>
    </row>
    <row r="1511" spans="1:15" x14ac:dyDescent="0.25">
      <c r="A1511" t="s">
        <v>1371</v>
      </c>
      <c r="B1511" t="s">
        <v>15</v>
      </c>
      <c r="C1511" t="s">
        <v>23</v>
      </c>
      <c r="D1511" t="s">
        <v>17</v>
      </c>
      <c r="E1511" t="s">
        <v>18</v>
      </c>
      <c r="F1511" t="s">
        <v>19</v>
      </c>
      <c r="G1511" t="s">
        <v>20</v>
      </c>
      <c r="J1511" t="s">
        <v>17</v>
      </c>
      <c r="K1511" t="str">
        <f>"98080406"</f>
        <v>98080406</v>
      </c>
      <c r="L1511" t="str">
        <f>"98080406"</f>
        <v>98080406</v>
      </c>
      <c r="M1511" t="s">
        <v>21</v>
      </c>
      <c r="N1511" s="1">
        <v>43419.624305555553</v>
      </c>
      <c r="O1511" t="s">
        <v>19</v>
      </c>
    </row>
    <row r="1512" spans="1:15" x14ac:dyDescent="0.25">
      <c r="A1512" t="s">
        <v>1372</v>
      </c>
      <c r="B1512" t="s">
        <v>15</v>
      </c>
      <c r="C1512" t="s">
        <v>23</v>
      </c>
      <c r="D1512" t="s">
        <v>17</v>
      </c>
      <c r="E1512" t="s">
        <v>18</v>
      </c>
      <c r="F1512" t="s">
        <v>19</v>
      </c>
      <c r="G1512" t="s">
        <v>20</v>
      </c>
      <c r="J1512" t="s">
        <v>17</v>
      </c>
      <c r="K1512" t="str">
        <f>"7804647680969"</f>
        <v>7804647680969</v>
      </c>
      <c r="L1512" t="str">
        <f>"92080291"</f>
        <v>92080291</v>
      </c>
      <c r="M1512" t="s">
        <v>21</v>
      </c>
      <c r="N1512" s="1">
        <v>43746.887499999997</v>
      </c>
      <c r="O1512" t="s">
        <v>19</v>
      </c>
    </row>
    <row r="1513" spans="1:15" x14ac:dyDescent="0.25">
      <c r="A1513" t="s">
        <v>1373</v>
      </c>
      <c r="B1513" t="s">
        <v>15</v>
      </c>
      <c r="C1513" t="s">
        <v>23</v>
      </c>
      <c r="D1513" t="s">
        <v>17</v>
      </c>
      <c r="E1513" t="s">
        <v>18</v>
      </c>
      <c r="F1513" t="s">
        <v>19</v>
      </c>
      <c r="G1513" t="s">
        <v>20</v>
      </c>
      <c r="J1513" t="s">
        <v>17</v>
      </c>
      <c r="K1513" t="str">
        <f>"6901443252428"</f>
        <v>6901443252428</v>
      </c>
      <c r="L1513" t="str">
        <f>"30080051"</f>
        <v>30080051</v>
      </c>
      <c r="M1513" t="s">
        <v>84</v>
      </c>
      <c r="N1513" s="1">
        <v>43501.945138888892</v>
      </c>
      <c r="O1513" t="s">
        <v>19</v>
      </c>
    </row>
    <row r="1514" spans="1:15" x14ac:dyDescent="0.25">
      <c r="A1514" t="s">
        <v>1373</v>
      </c>
      <c r="B1514" t="s">
        <v>15</v>
      </c>
      <c r="C1514" t="s">
        <v>23</v>
      </c>
      <c r="D1514" t="s">
        <v>17</v>
      </c>
      <c r="E1514" t="s">
        <v>18</v>
      </c>
      <c r="F1514" t="s">
        <v>19</v>
      </c>
      <c r="G1514" t="s">
        <v>20</v>
      </c>
      <c r="J1514" t="s">
        <v>17</v>
      </c>
      <c r="K1514" t="str">
        <f>"6901443176656"</f>
        <v>6901443176656</v>
      </c>
      <c r="L1514" t="str">
        <f>"92080001"</f>
        <v>92080001</v>
      </c>
      <c r="M1514" t="s">
        <v>21</v>
      </c>
      <c r="N1514" s="1">
        <v>43630.95208333333</v>
      </c>
      <c r="O1514" t="s">
        <v>19</v>
      </c>
    </row>
    <row r="1515" spans="1:15" x14ac:dyDescent="0.25">
      <c r="A1515" t="s">
        <v>1373</v>
      </c>
      <c r="B1515" t="s">
        <v>15</v>
      </c>
      <c r="C1515" t="s">
        <v>23</v>
      </c>
      <c r="D1515" t="s">
        <v>17</v>
      </c>
      <c r="E1515" t="s">
        <v>18</v>
      </c>
      <c r="F1515" t="s">
        <v>19</v>
      </c>
      <c r="G1515" t="s">
        <v>20</v>
      </c>
      <c r="J1515" t="s">
        <v>17</v>
      </c>
      <c r="K1515" t="str">
        <f>"6901443252411"</f>
        <v>6901443252411</v>
      </c>
      <c r="L1515" t="str">
        <f>"79HUE0CP51"</f>
        <v>79HUE0CP51</v>
      </c>
      <c r="M1515" t="s">
        <v>21</v>
      </c>
      <c r="N1515" s="1">
        <v>44001.669444444444</v>
      </c>
      <c r="O1515" t="s">
        <v>19</v>
      </c>
    </row>
    <row r="1516" spans="1:15" x14ac:dyDescent="0.25">
      <c r="A1516" t="s">
        <v>1373</v>
      </c>
      <c r="B1516" t="s">
        <v>15</v>
      </c>
      <c r="C1516" t="s">
        <v>23</v>
      </c>
      <c r="D1516" t="s">
        <v>17</v>
      </c>
      <c r="E1516" t="s">
        <v>18</v>
      </c>
      <c r="F1516" t="s">
        <v>19</v>
      </c>
      <c r="G1516" t="s">
        <v>20</v>
      </c>
      <c r="J1516" t="s">
        <v>17</v>
      </c>
      <c r="K1516" t="str">
        <f>"6901443176649"</f>
        <v>6901443176649</v>
      </c>
      <c r="L1516" t="str">
        <f>"79HUE0AP71"</f>
        <v>79HUE0AP71</v>
      </c>
      <c r="M1516" t="s">
        <v>21</v>
      </c>
      <c r="N1516" s="1">
        <v>44265.710416666669</v>
      </c>
      <c r="O1516" t="s">
        <v>19</v>
      </c>
    </row>
    <row r="1517" spans="1:15" x14ac:dyDescent="0.25">
      <c r="A1517" t="s">
        <v>1374</v>
      </c>
      <c r="B1517" t="s">
        <v>15</v>
      </c>
      <c r="C1517" t="s">
        <v>23</v>
      </c>
      <c r="D1517" t="s">
        <v>17</v>
      </c>
      <c r="E1517" t="s">
        <v>18</v>
      </c>
      <c r="F1517" t="s">
        <v>19</v>
      </c>
      <c r="G1517" t="s">
        <v>20</v>
      </c>
      <c r="J1517" t="s">
        <v>17</v>
      </c>
      <c r="K1517" t="str">
        <f>"8944870161107"</f>
        <v>8944870161107</v>
      </c>
      <c r="L1517" t="str">
        <f>"87081951"</f>
        <v>87081951</v>
      </c>
      <c r="M1517" t="s">
        <v>21</v>
      </c>
      <c r="N1517" s="1">
        <v>43853.656944444447</v>
      </c>
      <c r="O1517" t="s">
        <v>19</v>
      </c>
    </row>
    <row r="1518" spans="1:15" x14ac:dyDescent="0.25">
      <c r="A1518" t="s">
        <v>1375</v>
      </c>
      <c r="B1518" t="s">
        <v>15</v>
      </c>
      <c r="C1518" t="s">
        <v>23</v>
      </c>
      <c r="D1518" t="s">
        <v>17</v>
      </c>
      <c r="E1518" t="s">
        <v>18</v>
      </c>
      <c r="F1518" t="s">
        <v>19</v>
      </c>
      <c r="G1518" t="s">
        <v>20</v>
      </c>
      <c r="J1518" t="s">
        <v>17</v>
      </c>
      <c r="K1518" t="str">
        <f>"7858816021299"</f>
        <v>7858816021299</v>
      </c>
      <c r="L1518" t="str">
        <f>"87082129"</f>
        <v>87082129</v>
      </c>
      <c r="M1518" t="s">
        <v>75</v>
      </c>
      <c r="N1518" s="1">
        <v>43125.972916666666</v>
      </c>
      <c r="O1518" t="s">
        <v>19</v>
      </c>
    </row>
    <row r="1519" spans="1:15" x14ac:dyDescent="0.25">
      <c r="A1519" t="s">
        <v>1376</v>
      </c>
      <c r="B1519" t="s">
        <v>15</v>
      </c>
      <c r="C1519" t="s">
        <v>23</v>
      </c>
      <c r="D1519" t="s">
        <v>17</v>
      </c>
      <c r="E1519" t="s">
        <v>18</v>
      </c>
      <c r="F1519" t="s">
        <v>19</v>
      </c>
      <c r="G1519" t="s">
        <v>20</v>
      </c>
      <c r="J1519" t="s">
        <v>17</v>
      </c>
      <c r="K1519" t="str">
        <f>"7858816065279"</f>
        <v>7858816065279</v>
      </c>
      <c r="L1519" t="str">
        <f>"87086527"</f>
        <v>87086527</v>
      </c>
      <c r="M1519" t="s">
        <v>21</v>
      </c>
      <c r="N1519" s="1">
        <v>43889.90625</v>
      </c>
      <c r="O1519" t="s">
        <v>19</v>
      </c>
    </row>
    <row r="1520" spans="1:15" x14ac:dyDescent="0.25">
      <c r="A1520" t="s">
        <v>1377</v>
      </c>
      <c r="B1520" t="s">
        <v>15</v>
      </c>
      <c r="C1520" t="s">
        <v>23</v>
      </c>
      <c r="D1520" t="s">
        <v>17</v>
      </c>
      <c r="E1520" t="s">
        <v>18</v>
      </c>
      <c r="F1520" t="s">
        <v>19</v>
      </c>
      <c r="G1520" t="s">
        <v>20</v>
      </c>
      <c r="J1520" t="s">
        <v>17</v>
      </c>
      <c r="K1520" t="str">
        <f>"7858816078132"</f>
        <v>7858816078132</v>
      </c>
      <c r="L1520" t="str">
        <f>"87087813"</f>
        <v>87087813</v>
      </c>
      <c r="M1520" t="s">
        <v>21</v>
      </c>
      <c r="N1520" s="1">
        <v>42872.839583333334</v>
      </c>
      <c r="O1520" t="s">
        <v>19</v>
      </c>
    </row>
    <row r="1521" spans="1:15" x14ac:dyDescent="0.25">
      <c r="A1521" t="s">
        <v>1378</v>
      </c>
      <c r="B1521" t="s">
        <v>15</v>
      </c>
      <c r="C1521" t="s">
        <v>23</v>
      </c>
      <c r="D1521" t="s">
        <v>17</v>
      </c>
      <c r="E1521" t="s">
        <v>18</v>
      </c>
      <c r="F1521" t="s">
        <v>19</v>
      </c>
      <c r="G1521" t="s">
        <v>20</v>
      </c>
      <c r="J1521" t="s">
        <v>17</v>
      </c>
      <c r="K1521" t="str">
        <f>"8435350753764"</f>
        <v>8435350753764</v>
      </c>
      <c r="L1521" t="str">
        <f>"87080372"</f>
        <v>87080372</v>
      </c>
      <c r="M1521" t="s">
        <v>21</v>
      </c>
      <c r="N1521" s="1">
        <v>43216.852777777778</v>
      </c>
      <c r="O1521" t="s">
        <v>19</v>
      </c>
    </row>
    <row r="1522" spans="1:15" x14ac:dyDescent="0.25">
      <c r="A1522" t="s">
        <v>1379</v>
      </c>
      <c r="B1522" t="s">
        <v>15</v>
      </c>
      <c r="C1522" t="s">
        <v>23</v>
      </c>
      <c r="D1522" t="s">
        <v>17</v>
      </c>
      <c r="E1522" t="s">
        <v>18</v>
      </c>
      <c r="F1522" t="s">
        <v>19</v>
      </c>
      <c r="G1522" t="s">
        <v>20</v>
      </c>
      <c r="J1522" t="s">
        <v>17</v>
      </c>
      <c r="K1522" t="str">
        <f>"8944870161480"</f>
        <v>8944870161480</v>
      </c>
      <c r="L1522" t="str">
        <f>"8944870161107"</f>
        <v>8944870161107</v>
      </c>
      <c r="M1522" t="s">
        <v>21</v>
      </c>
      <c r="N1522" s="1">
        <v>43454.630555555559</v>
      </c>
      <c r="O1522" t="s">
        <v>19</v>
      </c>
    </row>
    <row r="1523" spans="1:15" x14ac:dyDescent="0.25">
      <c r="A1523" t="s">
        <v>1380</v>
      </c>
      <c r="B1523" t="s">
        <v>15</v>
      </c>
      <c r="C1523" t="s">
        <v>23</v>
      </c>
      <c r="D1523" t="s">
        <v>17</v>
      </c>
      <c r="E1523" t="s">
        <v>18</v>
      </c>
      <c r="F1523" t="s">
        <v>19</v>
      </c>
      <c r="G1523" t="s">
        <v>20</v>
      </c>
      <c r="J1523" t="s">
        <v>17</v>
      </c>
      <c r="K1523" t="str">
        <f>"6874588480134"</f>
        <v>6874588480134</v>
      </c>
      <c r="L1523" t="str">
        <f>"76080013"</f>
        <v>76080013</v>
      </c>
      <c r="M1523" t="s">
        <v>21</v>
      </c>
      <c r="N1523" s="1">
        <v>43665.706944444442</v>
      </c>
      <c r="O1523" t="s">
        <v>19</v>
      </c>
    </row>
    <row r="1524" spans="1:15" x14ac:dyDescent="0.25">
      <c r="A1524" t="s">
        <v>1381</v>
      </c>
      <c r="B1524" t="s">
        <v>15</v>
      </c>
      <c r="C1524" t="s">
        <v>23</v>
      </c>
      <c r="D1524" t="s">
        <v>17</v>
      </c>
      <c r="E1524" t="s">
        <v>18</v>
      </c>
      <c r="F1524" t="s">
        <v>19</v>
      </c>
      <c r="G1524" t="s">
        <v>20</v>
      </c>
      <c r="J1524" t="s">
        <v>17</v>
      </c>
      <c r="K1524" t="str">
        <f>"6995411220021"</f>
        <v>6995411220021</v>
      </c>
      <c r="L1524" t="str">
        <f>"76080031"</f>
        <v>76080031</v>
      </c>
      <c r="M1524" t="s">
        <v>21</v>
      </c>
      <c r="N1524" s="1">
        <v>43890.614583333336</v>
      </c>
      <c r="O1524" t="s">
        <v>19</v>
      </c>
    </row>
    <row r="1525" spans="1:15" x14ac:dyDescent="0.25">
      <c r="A1525" t="s">
        <v>1382</v>
      </c>
      <c r="B1525" t="s">
        <v>15</v>
      </c>
      <c r="C1525" t="s">
        <v>23</v>
      </c>
      <c r="D1525" t="s">
        <v>17</v>
      </c>
      <c r="E1525" t="s">
        <v>18</v>
      </c>
      <c r="F1525" t="s">
        <v>19</v>
      </c>
      <c r="G1525" t="s">
        <v>20</v>
      </c>
      <c r="J1525" t="s">
        <v>17</v>
      </c>
      <c r="K1525" t="str">
        <f>"6995411330027"</f>
        <v>6995411330027</v>
      </c>
      <c r="L1525" t="str">
        <f>"76080027"</f>
        <v>76080027</v>
      </c>
      <c r="M1525" t="s">
        <v>21</v>
      </c>
      <c r="N1525" s="1">
        <v>44037.669444444444</v>
      </c>
      <c r="O1525" t="s">
        <v>19</v>
      </c>
    </row>
    <row r="1526" spans="1:15" x14ac:dyDescent="0.25">
      <c r="A1526" t="s">
        <v>1383</v>
      </c>
      <c r="B1526" t="s">
        <v>15</v>
      </c>
      <c r="C1526" t="s">
        <v>23</v>
      </c>
      <c r="D1526" t="s">
        <v>17</v>
      </c>
      <c r="E1526" t="s">
        <v>18</v>
      </c>
      <c r="F1526" t="s">
        <v>19</v>
      </c>
      <c r="G1526" t="s">
        <v>20</v>
      </c>
      <c r="J1526" t="s">
        <v>17</v>
      </c>
      <c r="K1526" t="str">
        <f>"6901443115563"</f>
        <v>6901443115563</v>
      </c>
      <c r="L1526" t="str">
        <f>"30080500"</f>
        <v>30080500</v>
      </c>
      <c r="M1526" t="s">
        <v>84</v>
      </c>
      <c r="N1526" s="1">
        <v>43255.684027777781</v>
      </c>
      <c r="O1526" t="s">
        <v>19</v>
      </c>
    </row>
    <row r="1527" spans="1:15" x14ac:dyDescent="0.25">
      <c r="A1527" t="s">
        <v>1384</v>
      </c>
      <c r="B1527" t="s">
        <v>15</v>
      </c>
      <c r="C1527" t="s">
        <v>23</v>
      </c>
      <c r="D1527" t="s">
        <v>17</v>
      </c>
      <c r="E1527" t="s">
        <v>18</v>
      </c>
      <c r="F1527" t="s">
        <v>19</v>
      </c>
      <c r="G1527" t="s">
        <v>20</v>
      </c>
      <c r="J1527" t="s">
        <v>17</v>
      </c>
      <c r="K1527" t="str">
        <f>"6951613996393"</f>
        <v>6951613996393</v>
      </c>
      <c r="L1527" t="str">
        <f>"98081531"</f>
        <v>98081531</v>
      </c>
      <c r="M1527" t="s">
        <v>21</v>
      </c>
      <c r="N1527" s="1">
        <v>43216.697222222225</v>
      </c>
      <c r="O1527" t="s">
        <v>19</v>
      </c>
    </row>
    <row r="1528" spans="1:15" x14ac:dyDescent="0.25">
      <c r="A1528" t="s">
        <v>1385</v>
      </c>
      <c r="B1528" t="s">
        <v>15</v>
      </c>
      <c r="C1528" t="s">
        <v>23</v>
      </c>
      <c r="D1528" t="s">
        <v>17</v>
      </c>
      <c r="E1528" t="s">
        <v>18</v>
      </c>
      <c r="F1528" t="s">
        <v>19</v>
      </c>
      <c r="G1528" t="s">
        <v>20</v>
      </c>
      <c r="J1528" t="s">
        <v>17</v>
      </c>
      <c r="K1528" t="str">
        <f>"6922309824627"</f>
        <v>6922309824627</v>
      </c>
      <c r="L1528" t="str">
        <f>"79ORGTA200"</f>
        <v>79ORGTA200</v>
      </c>
      <c r="M1528" t="s">
        <v>21</v>
      </c>
      <c r="N1528" s="1">
        <v>43805.818055555559</v>
      </c>
      <c r="O1528" t="s">
        <v>19</v>
      </c>
    </row>
    <row r="1529" spans="1:15" x14ac:dyDescent="0.25">
      <c r="A1529" t="s">
        <v>1386</v>
      </c>
      <c r="B1529" t="s">
        <v>15</v>
      </c>
      <c r="C1529" t="s">
        <v>23</v>
      </c>
      <c r="D1529" t="s">
        <v>17</v>
      </c>
      <c r="E1529" t="s">
        <v>18</v>
      </c>
      <c r="F1529" t="s">
        <v>19</v>
      </c>
      <c r="G1529" t="s">
        <v>20</v>
      </c>
      <c r="J1529" t="s">
        <v>17</v>
      </c>
      <c r="K1529" t="str">
        <f>"54081000"</f>
        <v>54081000</v>
      </c>
      <c r="L1529" t="str">
        <f>"54081000"</f>
        <v>54081000</v>
      </c>
      <c r="M1529" t="s">
        <v>21</v>
      </c>
      <c r="N1529" s="1">
        <v>44210.740972222222</v>
      </c>
      <c r="O1529" t="s">
        <v>19</v>
      </c>
    </row>
    <row r="1530" spans="1:15" x14ac:dyDescent="0.25">
      <c r="A1530" t="s">
        <v>1387</v>
      </c>
      <c r="B1530" t="s">
        <v>15</v>
      </c>
      <c r="C1530" t="s">
        <v>23</v>
      </c>
      <c r="D1530" t="s">
        <v>17</v>
      </c>
      <c r="E1530" t="s">
        <v>18</v>
      </c>
      <c r="F1530" t="s">
        <v>19</v>
      </c>
      <c r="G1530" t="s">
        <v>20</v>
      </c>
      <c r="J1530" t="s">
        <v>17</v>
      </c>
      <c r="K1530" t="str">
        <f>"699988512181"</f>
        <v>699988512181</v>
      </c>
      <c r="L1530" t="str">
        <f>"54081040"</f>
        <v>54081040</v>
      </c>
      <c r="M1530" t="s">
        <v>21</v>
      </c>
      <c r="N1530" s="1">
        <v>44210.754861111112</v>
      </c>
      <c r="O1530" t="s">
        <v>19</v>
      </c>
    </row>
    <row r="1531" spans="1:15" x14ac:dyDescent="0.25">
      <c r="A1531" t="s">
        <v>1388</v>
      </c>
      <c r="B1531" t="s">
        <v>15</v>
      </c>
      <c r="C1531" t="s">
        <v>23</v>
      </c>
      <c r="D1531" t="s">
        <v>17</v>
      </c>
      <c r="E1531" t="s">
        <v>18</v>
      </c>
      <c r="F1531" t="s">
        <v>19</v>
      </c>
      <c r="G1531" t="s">
        <v>20</v>
      </c>
      <c r="J1531" t="s">
        <v>17</v>
      </c>
      <c r="K1531" t="str">
        <f>"54080700"</f>
        <v>54080700</v>
      </c>
      <c r="L1531" t="str">
        <f>"54080700"</f>
        <v>54080700</v>
      </c>
      <c r="M1531" t="s">
        <v>21</v>
      </c>
      <c r="N1531" s="1">
        <v>43799.573611111111</v>
      </c>
      <c r="O1531" t="s">
        <v>19</v>
      </c>
    </row>
    <row r="1532" spans="1:15" x14ac:dyDescent="0.25">
      <c r="A1532" t="s">
        <v>1389</v>
      </c>
      <c r="B1532" t="s">
        <v>15</v>
      </c>
      <c r="C1532" t="s">
        <v>23</v>
      </c>
      <c r="D1532" t="s">
        <v>17</v>
      </c>
      <c r="E1532" t="s">
        <v>18</v>
      </c>
      <c r="F1532" t="s">
        <v>19</v>
      </c>
      <c r="G1532" t="s">
        <v>20</v>
      </c>
      <c r="J1532" t="s">
        <v>17</v>
      </c>
      <c r="K1532" t="str">
        <f>"6971393457020"</f>
        <v>6971393457020</v>
      </c>
      <c r="L1532" t="str">
        <f>"40087020"</f>
        <v>40087020</v>
      </c>
      <c r="M1532" t="s">
        <v>21</v>
      </c>
      <c r="N1532" s="1">
        <v>44349.663194444445</v>
      </c>
      <c r="O1532" t="s">
        <v>19</v>
      </c>
    </row>
    <row r="1533" spans="1:15" x14ac:dyDescent="0.25">
      <c r="A1533" t="s">
        <v>1390</v>
      </c>
      <c r="B1533" t="s">
        <v>15</v>
      </c>
      <c r="C1533" t="s">
        <v>23</v>
      </c>
      <c r="D1533" t="s">
        <v>17</v>
      </c>
      <c r="E1533" t="s">
        <v>18</v>
      </c>
      <c r="F1533" t="s">
        <v>19</v>
      </c>
      <c r="G1533" t="s">
        <v>20</v>
      </c>
      <c r="J1533" t="s">
        <v>17</v>
      </c>
      <c r="K1533" t="str">
        <f>"10004010"</f>
        <v>10004010</v>
      </c>
      <c r="L1533" t="str">
        <f>"10004010"</f>
        <v>10004010</v>
      </c>
      <c r="M1533" t="s">
        <v>75</v>
      </c>
      <c r="N1533" s="1">
        <v>42872.839583333334</v>
      </c>
      <c r="O1533" t="s">
        <v>19</v>
      </c>
    </row>
    <row r="1534" spans="1:15" x14ac:dyDescent="0.25">
      <c r="A1534" t="s">
        <v>1391</v>
      </c>
      <c r="B1534" t="s">
        <v>15</v>
      </c>
      <c r="C1534" t="s">
        <v>23</v>
      </c>
      <c r="D1534" t="s">
        <v>17</v>
      </c>
      <c r="E1534" t="s">
        <v>18</v>
      </c>
      <c r="F1534" t="s">
        <v>19</v>
      </c>
      <c r="G1534" t="s">
        <v>20</v>
      </c>
      <c r="J1534" t="s">
        <v>17</v>
      </c>
      <c r="K1534" t="str">
        <f>"680988393143"</f>
        <v>680988393143</v>
      </c>
      <c r="L1534" t="str">
        <f>"98080711"</f>
        <v>98080711</v>
      </c>
      <c r="M1534" t="s">
        <v>21</v>
      </c>
      <c r="N1534" s="1">
        <v>44321.886805555558</v>
      </c>
      <c r="O1534" t="s">
        <v>19</v>
      </c>
    </row>
    <row r="1535" spans="1:15" x14ac:dyDescent="0.25">
      <c r="A1535" t="s">
        <v>1392</v>
      </c>
      <c r="B1535" t="s">
        <v>15</v>
      </c>
      <c r="C1535" t="s">
        <v>23</v>
      </c>
      <c r="D1535" t="s">
        <v>17</v>
      </c>
      <c r="E1535" t="s">
        <v>18</v>
      </c>
      <c r="F1535" t="s">
        <v>19</v>
      </c>
      <c r="G1535" t="s">
        <v>20</v>
      </c>
      <c r="J1535" t="s">
        <v>17</v>
      </c>
      <c r="K1535" t="str">
        <f>"7858816062254"</f>
        <v>7858816062254</v>
      </c>
      <c r="L1535" t="str">
        <f>"87086225"</f>
        <v>87086225</v>
      </c>
      <c r="M1535" t="s">
        <v>21</v>
      </c>
      <c r="N1535" s="1">
        <v>44356.677777777775</v>
      </c>
      <c r="O1535" t="s">
        <v>19</v>
      </c>
    </row>
    <row r="1536" spans="1:15" x14ac:dyDescent="0.25">
      <c r="A1536" t="s">
        <v>1393</v>
      </c>
      <c r="B1536" t="s">
        <v>15</v>
      </c>
      <c r="C1536" t="s">
        <v>23</v>
      </c>
      <c r="D1536" t="s">
        <v>17</v>
      </c>
      <c r="E1536" t="s">
        <v>18</v>
      </c>
      <c r="F1536" t="s">
        <v>19</v>
      </c>
      <c r="G1536" t="s">
        <v>20</v>
      </c>
      <c r="J1536" t="s">
        <v>17</v>
      </c>
      <c r="K1536" t="str">
        <f>"7858816078125"</f>
        <v>7858816078125</v>
      </c>
      <c r="L1536" t="str">
        <f>"87087812"</f>
        <v>87087812</v>
      </c>
      <c r="M1536" t="s">
        <v>21</v>
      </c>
      <c r="N1536" s="1">
        <v>44356.686805555553</v>
      </c>
      <c r="O1536" t="s">
        <v>19</v>
      </c>
    </row>
    <row r="1537" spans="1:15" x14ac:dyDescent="0.25">
      <c r="A1537" t="s">
        <v>1394</v>
      </c>
      <c r="B1537" t="s">
        <v>15</v>
      </c>
      <c r="C1537" t="s">
        <v>23</v>
      </c>
      <c r="D1537" t="s">
        <v>17</v>
      </c>
      <c r="E1537" t="s">
        <v>18</v>
      </c>
      <c r="F1537" t="s">
        <v>19</v>
      </c>
      <c r="G1537" t="s">
        <v>20</v>
      </c>
      <c r="J1537" t="s">
        <v>17</v>
      </c>
      <c r="K1537" t="str">
        <f>"7858816083754"</f>
        <v>7858816083754</v>
      </c>
      <c r="L1537" t="str">
        <f>"87088375"</f>
        <v>87088375</v>
      </c>
      <c r="M1537" t="s">
        <v>21</v>
      </c>
      <c r="N1537" s="1">
        <v>44356.674305555556</v>
      </c>
      <c r="O1537" t="s">
        <v>19</v>
      </c>
    </row>
    <row r="1538" spans="1:15" x14ac:dyDescent="0.25">
      <c r="A1538" t="s">
        <v>1395</v>
      </c>
      <c r="B1538" t="s">
        <v>15</v>
      </c>
      <c r="C1538" t="s">
        <v>23</v>
      </c>
      <c r="D1538" t="s">
        <v>17</v>
      </c>
      <c r="E1538" t="s">
        <v>18</v>
      </c>
      <c r="F1538" t="s">
        <v>19</v>
      </c>
      <c r="G1538" t="s">
        <v>20</v>
      </c>
      <c r="J1538" t="s">
        <v>17</v>
      </c>
      <c r="K1538" t="str">
        <f>"7858816083969"</f>
        <v>7858816083969</v>
      </c>
      <c r="L1538" t="str">
        <f>"87088396"</f>
        <v>87088396</v>
      </c>
      <c r="M1538" t="s">
        <v>21</v>
      </c>
      <c r="N1538" s="1">
        <v>44356.881944444445</v>
      </c>
      <c r="O1538" t="s">
        <v>19</v>
      </c>
    </row>
    <row r="1539" spans="1:15" x14ac:dyDescent="0.25">
      <c r="A1539" t="s">
        <v>1396</v>
      </c>
      <c r="B1539" t="s">
        <v>15</v>
      </c>
      <c r="C1539" t="s">
        <v>23</v>
      </c>
      <c r="D1539" t="s">
        <v>17</v>
      </c>
      <c r="E1539" t="s">
        <v>18</v>
      </c>
      <c r="F1539" t="s">
        <v>19</v>
      </c>
      <c r="G1539" t="s">
        <v>20</v>
      </c>
      <c r="J1539" t="s">
        <v>17</v>
      </c>
      <c r="K1539" t="str">
        <f>"6956116793449"</f>
        <v>6956116793449</v>
      </c>
      <c r="L1539" t="str">
        <f>"40083449"</f>
        <v>40083449</v>
      </c>
      <c r="M1539" t="s">
        <v>21</v>
      </c>
      <c r="N1539" s="1">
        <v>42956.888194444444</v>
      </c>
      <c r="O1539" t="s">
        <v>19</v>
      </c>
    </row>
    <row r="1540" spans="1:15" x14ac:dyDescent="0.25">
      <c r="A1540" t="s">
        <v>1397</v>
      </c>
      <c r="B1540" t="s">
        <v>15</v>
      </c>
      <c r="C1540" t="s">
        <v>23</v>
      </c>
      <c r="D1540" t="s">
        <v>17</v>
      </c>
      <c r="E1540" t="s">
        <v>18</v>
      </c>
      <c r="F1540" t="s">
        <v>19</v>
      </c>
      <c r="G1540" t="s">
        <v>20</v>
      </c>
      <c r="J1540" t="s">
        <v>17</v>
      </c>
      <c r="K1540" t="str">
        <f>"7808748510194"</f>
        <v>7808748510194</v>
      </c>
      <c r="L1540" t="str">
        <f>"98080194"</f>
        <v>98080194</v>
      </c>
      <c r="M1540" t="s">
        <v>21</v>
      </c>
      <c r="N1540" s="1">
        <v>44370.904861111114</v>
      </c>
      <c r="O1540" t="s">
        <v>19</v>
      </c>
    </row>
    <row r="1541" spans="1:15" x14ac:dyDescent="0.25">
      <c r="A1541" t="s">
        <v>1398</v>
      </c>
      <c r="B1541" t="s">
        <v>15</v>
      </c>
      <c r="C1541" t="s">
        <v>23</v>
      </c>
      <c r="D1541" t="s">
        <v>17</v>
      </c>
      <c r="E1541" t="s">
        <v>18</v>
      </c>
      <c r="F1541" t="s">
        <v>19</v>
      </c>
      <c r="G1541" t="s">
        <v>20</v>
      </c>
      <c r="J1541" t="s">
        <v>17</v>
      </c>
      <c r="K1541" t="str">
        <f>"6954851258605"</f>
        <v>6954851258605</v>
      </c>
      <c r="L1541" t="str">
        <f>"13088605"</f>
        <v>13088605</v>
      </c>
      <c r="M1541" t="s">
        <v>21</v>
      </c>
      <c r="N1541" s="1">
        <v>44348.668055555558</v>
      </c>
      <c r="O1541" t="s">
        <v>19</v>
      </c>
    </row>
    <row r="1542" spans="1:15" x14ac:dyDescent="0.25">
      <c r="A1542" t="s">
        <v>1399</v>
      </c>
      <c r="B1542" t="s">
        <v>15</v>
      </c>
      <c r="C1542" t="s">
        <v>23</v>
      </c>
      <c r="D1542" t="s">
        <v>17</v>
      </c>
      <c r="E1542" t="s">
        <v>18</v>
      </c>
      <c r="F1542" t="s">
        <v>19</v>
      </c>
      <c r="G1542" t="s">
        <v>20</v>
      </c>
      <c r="J1542" t="s">
        <v>17</v>
      </c>
      <c r="K1542" t="str">
        <f>"6954851258636"</f>
        <v>6954851258636</v>
      </c>
      <c r="L1542" t="str">
        <f>"13088636"</f>
        <v>13088636</v>
      </c>
      <c r="M1542" t="s">
        <v>21</v>
      </c>
      <c r="N1542" s="1">
        <v>44348.662499999999</v>
      </c>
      <c r="O1542" t="s">
        <v>19</v>
      </c>
    </row>
    <row r="1543" spans="1:15" x14ac:dyDescent="0.25">
      <c r="A1543" t="s">
        <v>1400</v>
      </c>
      <c r="B1543" t="s">
        <v>15</v>
      </c>
      <c r="C1543" t="s">
        <v>23</v>
      </c>
      <c r="D1543" t="s">
        <v>17</v>
      </c>
      <c r="E1543" t="s">
        <v>18</v>
      </c>
      <c r="F1543" t="s">
        <v>19</v>
      </c>
      <c r="G1543" t="s">
        <v>20</v>
      </c>
      <c r="J1543" t="s">
        <v>17</v>
      </c>
      <c r="K1543" t="str">
        <f>"6954851258612"</f>
        <v>6954851258612</v>
      </c>
      <c r="L1543" t="str">
        <f>"13088612"</f>
        <v>13088612</v>
      </c>
      <c r="M1543" t="s">
        <v>21</v>
      </c>
      <c r="N1543" s="1">
        <v>44348.668749999997</v>
      </c>
      <c r="O1543" t="s">
        <v>19</v>
      </c>
    </row>
    <row r="1544" spans="1:15" x14ac:dyDescent="0.25">
      <c r="A1544" t="s">
        <v>1401</v>
      </c>
      <c r="B1544" t="s">
        <v>15</v>
      </c>
      <c r="C1544" t="s">
        <v>23</v>
      </c>
      <c r="D1544" t="s">
        <v>17</v>
      </c>
      <c r="E1544" t="s">
        <v>18</v>
      </c>
      <c r="F1544" t="s">
        <v>19</v>
      </c>
      <c r="G1544" t="s">
        <v>20</v>
      </c>
      <c r="J1544" t="s">
        <v>17</v>
      </c>
      <c r="K1544" t="str">
        <f>"6972174151090"</f>
        <v>6972174151090</v>
      </c>
      <c r="L1544" t="str">
        <f>"6972174151106"</f>
        <v>6972174151106</v>
      </c>
      <c r="M1544" t="s">
        <v>21</v>
      </c>
      <c r="N1544" s="1">
        <v>44348.638194444444</v>
      </c>
      <c r="O1544" t="s">
        <v>19</v>
      </c>
    </row>
    <row r="1545" spans="1:15" x14ac:dyDescent="0.25">
      <c r="A1545" t="s">
        <v>1402</v>
      </c>
      <c r="B1545" t="s">
        <v>15</v>
      </c>
      <c r="C1545" t="s">
        <v>23</v>
      </c>
      <c r="D1545" t="s">
        <v>17</v>
      </c>
      <c r="E1545" t="s">
        <v>18</v>
      </c>
      <c r="F1545" t="s">
        <v>19</v>
      </c>
      <c r="G1545" t="s">
        <v>20</v>
      </c>
      <c r="J1545" t="s">
        <v>17</v>
      </c>
      <c r="K1545" t="str">
        <f>"6954851258629"</f>
        <v>6954851258629</v>
      </c>
      <c r="L1545" t="str">
        <f>"13088629"</f>
        <v>13088629</v>
      </c>
      <c r="M1545" t="s">
        <v>21</v>
      </c>
      <c r="N1545" s="1">
        <v>44348.663888888892</v>
      </c>
      <c r="O1545" t="s">
        <v>19</v>
      </c>
    </row>
    <row r="1546" spans="1:15" x14ac:dyDescent="0.25">
      <c r="A1546" t="s">
        <v>1403</v>
      </c>
      <c r="B1546" t="s">
        <v>15</v>
      </c>
      <c r="C1546" t="s">
        <v>23</v>
      </c>
      <c r="D1546" t="s">
        <v>17</v>
      </c>
      <c r="E1546" t="s">
        <v>18</v>
      </c>
      <c r="F1546" t="s">
        <v>19</v>
      </c>
      <c r="G1546" t="s">
        <v>20</v>
      </c>
      <c r="J1546" t="s">
        <v>18</v>
      </c>
      <c r="K1546" t="str">
        <f>"4547597815526"</f>
        <v>4547597815526</v>
      </c>
      <c r="L1546" t="str">
        <f>"41080701"</f>
        <v>41080701</v>
      </c>
      <c r="M1546" t="s">
        <v>21</v>
      </c>
      <c r="N1546" s="1">
        <v>44351.79791666667</v>
      </c>
      <c r="O1546" t="s">
        <v>19</v>
      </c>
    </row>
    <row r="1547" spans="1:15" x14ac:dyDescent="0.25">
      <c r="A1547" t="s">
        <v>1403</v>
      </c>
      <c r="B1547" t="s">
        <v>15</v>
      </c>
      <c r="C1547" t="s">
        <v>23</v>
      </c>
      <c r="D1547" t="s">
        <v>17</v>
      </c>
      <c r="E1547" t="s">
        <v>18</v>
      </c>
      <c r="F1547" t="s">
        <v>19</v>
      </c>
      <c r="G1547" t="s">
        <v>20</v>
      </c>
      <c r="J1547" t="s">
        <v>17</v>
      </c>
      <c r="K1547" t="str">
        <f>"885909627424"</f>
        <v>885909627424</v>
      </c>
      <c r="L1547" t="str">
        <f>"39080701"</f>
        <v>39080701</v>
      </c>
      <c r="M1547" t="s">
        <v>21</v>
      </c>
      <c r="N1547" s="1">
        <v>44351.872916666667</v>
      </c>
      <c r="O1547" t="s">
        <v>19</v>
      </c>
    </row>
    <row r="1548" spans="1:15" x14ac:dyDescent="0.25">
      <c r="A1548" t="s">
        <v>1404</v>
      </c>
      <c r="B1548" t="s">
        <v>15</v>
      </c>
      <c r="C1548" t="s">
        <v>23</v>
      </c>
      <c r="D1548" t="s">
        <v>17</v>
      </c>
      <c r="E1548" t="s">
        <v>18</v>
      </c>
      <c r="F1548" t="s">
        <v>19</v>
      </c>
      <c r="G1548" t="s">
        <v>20</v>
      </c>
      <c r="J1548" t="s">
        <v>17</v>
      </c>
      <c r="K1548" t="str">
        <f>"3006201600091"</f>
        <v>3006201600091</v>
      </c>
      <c r="L1548" t="str">
        <f>"10117501"</f>
        <v>10117501</v>
      </c>
      <c r="M1548" t="s">
        <v>21</v>
      </c>
      <c r="N1548" s="1">
        <v>43545.871527777781</v>
      </c>
      <c r="O1548" t="s">
        <v>19</v>
      </c>
    </row>
    <row r="1549" spans="1:15" x14ac:dyDescent="0.25">
      <c r="A1549" t="s">
        <v>1405</v>
      </c>
      <c r="B1549" t="s">
        <v>15</v>
      </c>
      <c r="C1549" t="s">
        <v>23</v>
      </c>
      <c r="D1549" t="s">
        <v>17</v>
      </c>
      <c r="E1549" t="s">
        <v>18</v>
      </c>
      <c r="F1549" t="s">
        <v>19</v>
      </c>
      <c r="G1549" t="s">
        <v>20</v>
      </c>
      <c r="J1549" t="s">
        <v>17</v>
      </c>
      <c r="K1549" t="str">
        <f>"7852379215188"</f>
        <v>7852379215188</v>
      </c>
      <c r="L1549" t="str">
        <f>"79ULM21518"</f>
        <v>79ULM21518</v>
      </c>
      <c r="M1549" t="s">
        <v>21</v>
      </c>
      <c r="N1549" s="1">
        <v>44001.592361111114</v>
      </c>
      <c r="O1549" t="s">
        <v>19</v>
      </c>
    </row>
    <row r="1550" spans="1:15" x14ac:dyDescent="0.25">
      <c r="A1550" t="s">
        <v>1406</v>
      </c>
      <c r="B1550" t="s">
        <v>15</v>
      </c>
      <c r="C1550" t="s">
        <v>23</v>
      </c>
      <c r="D1550" t="s">
        <v>17</v>
      </c>
      <c r="E1550" t="s">
        <v>18</v>
      </c>
      <c r="F1550" t="s">
        <v>19</v>
      </c>
      <c r="G1550" t="s">
        <v>20</v>
      </c>
      <c r="J1550" t="s">
        <v>17</v>
      </c>
      <c r="K1550" t="str">
        <f>"79DTC21528"</f>
        <v>79DTC21528</v>
      </c>
      <c r="L1550" t="str">
        <f>"79DTC21528"</f>
        <v>79DTC21528</v>
      </c>
      <c r="M1550" t="s">
        <v>21</v>
      </c>
      <c r="N1550" s="1">
        <v>44001.657638888886</v>
      </c>
      <c r="O1550" t="s">
        <v>19</v>
      </c>
    </row>
    <row r="1551" spans="1:15" x14ac:dyDescent="0.25">
      <c r="A1551" t="s">
        <v>1407</v>
      </c>
      <c r="B1551" t="s">
        <v>15</v>
      </c>
      <c r="C1551" t="s">
        <v>23</v>
      </c>
      <c r="D1551" t="s">
        <v>17</v>
      </c>
      <c r="E1551" t="s">
        <v>18</v>
      </c>
      <c r="F1551" t="s">
        <v>19</v>
      </c>
      <c r="G1551" t="s">
        <v>20</v>
      </c>
      <c r="J1551" t="s">
        <v>17</v>
      </c>
      <c r="K1551" t="str">
        <f>"885909627448"</f>
        <v>885909627448</v>
      </c>
      <c r="L1551" t="str">
        <f>"54080702"</f>
        <v>54080702</v>
      </c>
      <c r="M1551" t="s">
        <v>21</v>
      </c>
      <c r="N1551" s="1">
        <v>44210.747916666667</v>
      </c>
      <c r="O1551" t="s">
        <v>19</v>
      </c>
    </row>
    <row r="1552" spans="1:15" x14ac:dyDescent="0.25">
      <c r="A1552" t="s">
        <v>1408</v>
      </c>
      <c r="B1552" t="s">
        <v>15</v>
      </c>
      <c r="C1552" t="s">
        <v>23</v>
      </c>
      <c r="D1552" t="s">
        <v>17</v>
      </c>
      <c r="E1552" t="s">
        <v>18</v>
      </c>
      <c r="F1552" t="s">
        <v>19</v>
      </c>
      <c r="G1552" t="s">
        <v>20</v>
      </c>
      <c r="J1552" t="s">
        <v>18</v>
      </c>
      <c r="K1552" t="str">
        <f>"885909627417"</f>
        <v>885909627417</v>
      </c>
      <c r="L1552" t="str">
        <f>"40080802"</f>
        <v>40080802</v>
      </c>
      <c r="M1552" t="s">
        <v>21</v>
      </c>
      <c r="N1552" s="1">
        <v>44351.8</v>
      </c>
      <c r="O1552" t="s">
        <v>19</v>
      </c>
    </row>
    <row r="1553" spans="1:15" x14ac:dyDescent="0.25">
      <c r="A1553" t="s">
        <v>1408</v>
      </c>
      <c r="B1553" t="s">
        <v>15</v>
      </c>
      <c r="C1553" t="s">
        <v>23</v>
      </c>
      <c r="D1553" t="s">
        <v>17</v>
      </c>
      <c r="E1553" t="s">
        <v>18</v>
      </c>
      <c r="F1553" t="s">
        <v>19</v>
      </c>
      <c r="G1553" t="s">
        <v>20</v>
      </c>
      <c r="J1553" t="s">
        <v>17</v>
      </c>
      <c r="K1553" t="str">
        <f>"4547597815533"</f>
        <v>4547597815533</v>
      </c>
      <c r="L1553" t="str">
        <f>"39080702"</f>
        <v>39080702</v>
      </c>
      <c r="M1553" t="s">
        <v>21</v>
      </c>
      <c r="N1553" s="1">
        <v>44351.873611111114</v>
      </c>
      <c r="O1553" t="s">
        <v>19</v>
      </c>
    </row>
    <row r="1554" spans="1:15" x14ac:dyDescent="0.25">
      <c r="A1554" t="s">
        <v>1409</v>
      </c>
      <c r="B1554" t="s">
        <v>15</v>
      </c>
      <c r="C1554" t="s">
        <v>23</v>
      </c>
      <c r="D1554" t="s">
        <v>17</v>
      </c>
      <c r="E1554" t="s">
        <v>18</v>
      </c>
      <c r="F1554" t="s">
        <v>19</v>
      </c>
      <c r="G1554" t="s">
        <v>20</v>
      </c>
      <c r="J1554" t="s">
        <v>17</v>
      </c>
      <c r="K1554" t="str">
        <f>"6746457112586"</f>
        <v>6746457112586</v>
      </c>
      <c r="L1554" t="str">
        <f>"40082586"</f>
        <v>40082586</v>
      </c>
      <c r="M1554" t="s">
        <v>21</v>
      </c>
      <c r="N1554" s="1">
        <v>44349.666666666664</v>
      </c>
      <c r="O1554" t="s">
        <v>19</v>
      </c>
    </row>
    <row r="1555" spans="1:15" x14ac:dyDescent="0.25">
      <c r="A1555" t="s">
        <v>1410</v>
      </c>
      <c r="B1555" t="s">
        <v>15</v>
      </c>
      <c r="C1555" t="s">
        <v>23</v>
      </c>
      <c r="D1555" t="s">
        <v>17</v>
      </c>
      <c r="E1555" t="s">
        <v>18</v>
      </c>
      <c r="F1555" t="s">
        <v>19</v>
      </c>
      <c r="G1555" t="s">
        <v>20</v>
      </c>
      <c r="J1555" t="s">
        <v>17</v>
      </c>
      <c r="K1555" t="str">
        <f>"7858816080753"</f>
        <v>7858816080753</v>
      </c>
      <c r="L1555" t="str">
        <f>"87088075"</f>
        <v>87088075</v>
      </c>
      <c r="M1555" t="s">
        <v>21</v>
      </c>
      <c r="N1555" s="1">
        <v>44356.878472222219</v>
      </c>
      <c r="O1555" t="s">
        <v>19</v>
      </c>
    </row>
    <row r="1556" spans="1:15" x14ac:dyDescent="0.25">
      <c r="A1556" t="s">
        <v>1411</v>
      </c>
      <c r="B1556" t="s">
        <v>15</v>
      </c>
      <c r="C1556" t="s">
        <v>23</v>
      </c>
      <c r="D1556" t="s">
        <v>17</v>
      </c>
      <c r="E1556" t="s">
        <v>18</v>
      </c>
      <c r="F1556" t="s">
        <v>19</v>
      </c>
      <c r="G1556" t="s">
        <v>20</v>
      </c>
      <c r="J1556" t="s">
        <v>17</v>
      </c>
      <c r="K1556" t="str">
        <f>"10080658"</f>
        <v>10080658</v>
      </c>
      <c r="L1556" t="str">
        <f>"10080658"</f>
        <v>10080658</v>
      </c>
      <c r="M1556" t="s">
        <v>75</v>
      </c>
      <c r="N1556" s="1">
        <v>42941.822916666664</v>
      </c>
      <c r="O1556" t="s">
        <v>19</v>
      </c>
    </row>
    <row r="1557" spans="1:15" x14ac:dyDescent="0.25">
      <c r="A1557" t="s">
        <v>1412</v>
      </c>
      <c r="B1557" t="s">
        <v>15</v>
      </c>
      <c r="C1557" t="s">
        <v>23</v>
      </c>
      <c r="D1557" t="s">
        <v>17</v>
      </c>
      <c r="E1557" t="s">
        <v>18</v>
      </c>
      <c r="F1557" t="s">
        <v>19</v>
      </c>
      <c r="G1557" t="s">
        <v>20</v>
      </c>
      <c r="J1557" t="s">
        <v>17</v>
      </c>
      <c r="K1557" t="str">
        <f>"885909219698"</f>
        <v>885909219698</v>
      </c>
      <c r="L1557" t="str">
        <f>"10088941"</f>
        <v>10088941</v>
      </c>
      <c r="M1557" t="s">
        <v>75</v>
      </c>
      <c r="N1557" s="1">
        <v>42872.839583333334</v>
      </c>
      <c r="O1557" t="s">
        <v>19</v>
      </c>
    </row>
    <row r="1558" spans="1:15" x14ac:dyDescent="0.25">
      <c r="A1558" t="s">
        <v>1413</v>
      </c>
      <c r="B1558" t="s">
        <v>15</v>
      </c>
      <c r="C1558" t="s">
        <v>23</v>
      </c>
      <c r="D1558" t="s">
        <v>17</v>
      </c>
      <c r="E1558" t="s">
        <v>18</v>
      </c>
      <c r="F1558" t="s">
        <v>19</v>
      </c>
      <c r="G1558" t="s">
        <v>20</v>
      </c>
      <c r="J1558" t="s">
        <v>17</v>
      </c>
      <c r="K1558" t="str">
        <f>"86080701"</f>
        <v>86080701</v>
      </c>
      <c r="L1558" t="str">
        <f>"86080701"</f>
        <v>86080701</v>
      </c>
      <c r="M1558" t="s">
        <v>21</v>
      </c>
      <c r="N1558" s="1">
        <v>43314.906944444447</v>
      </c>
      <c r="O1558" t="s">
        <v>19</v>
      </c>
    </row>
    <row r="1559" spans="1:15" x14ac:dyDescent="0.25">
      <c r="A1559" t="s">
        <v>1414</v>
      </c>
      <c r="B1559" t="s">
        <v>15</v>
      </c>
      <c r="C1559" t="s">
        <v>23</v>
      </c>
      <c r="D1559" t="s">
        <v>17</v>
      </c>
      <c r="E1559" t="s">
        <v>18</v>
      </c>
      <c r="F1559" t="s">
        <v>19</v>
      </c>
      <c r="G1559" t="s">
        <v>20</v>
      </c>
      <c r="J1559" t="s">
        <v>17</v>
      </c>
      <c r="K1559" t="str">
        <f>"766623393744"</f>
        <v>766623393744</v>
      </c>
      <c r="L1559" t="str">
        <f>"56083744"</f>
        <v>56083744</v>
      </c>
      <c r="M1559" t="s">
        <v>21</v>
      </c>
      <c r="N1559" s="1">
        <v>43985.856249999997</v>
      </c>
      <c r="O1559" t="s">
        <v>19</v>
      </c>
    </row>
    <row r="1560" spans="1:15" x14ac:dyDescent="0.25">
      <c r="A1560" t="s">
        <v>1415</v>
      </c>
      <c r="B1560" t="s">
        <v>15</v>
      </c>
      <c r="C1560" t="s">
        <v>23</v>
      </c>
      <c r="D1560" t="s">
        <v>17</v>
      </c>
      <c r="E1560" t="s">
        <v>18</v>
      </c>
      <c r="F1560" t="s">
        <v>19</v>
      </c>
      <c r="G1560" t="s">
        <v>20</v>
      </c>
      <c r="J1560" t="s">
        <v>17</v>
      </c>
      <c r="K1560" t="str">
        <f>"6926089314798"</f>
        <v>6926089314798</v>
      </c>
      <c r="L1560" t="str">
        <f>"30080701"</f>
        <v>30080701</v>
      </c>
      <c r="M1560" t="s">
        <v>84</v>
      </c>
      <c r="N1560" s="1">
        <v>43255.685416666667</v>
      </c>
      <c r="O1560" t="s">
        <v>19</v>
      </c>
    </row>
    <row r="1561" spans="1:15" x14ac:dyDescent="0.25">
      <c r="A1561" t="s">
        <v>1416</v>
      </c>
      <c r="B1561" t="s">
        <v>15</v>
      </c>
      <c r="C1561" t="s">
        <v>23</v>
      </c>
      <c r="D1561" t="s">
        <v>17</v>
      </c>
      <c r="E1561" t="s">
        <v>18</v>
      </c>
      <c r="F1561" t="s">
        <v>19</v>
      </c>
      <c r="G1561" t="s">
        <v>20</v>
      </c>
      <c r="J1561" t="s">
        <v>17</v>
      </c>
      <c r="K1561" t="str">
        <f>"5626890010759"</f>
        <v>5626890010759</v>
      </c>
      <c r="L1561" t="str">
        <f>"28081075"</f>
        <v>28081075</v>
      </c>
      <c r="M1561" t="s">
        <v>84</v>
      </c>
      <c r="N1561" s="1">
        <v>43335.87777777778</v>
      </c>
      <c r="O1561" t="s">
        <v>19</v>
      </c>
    </row>
    <row r="1562" spans="1:15" x14ac:dyDescent="0.25">
      <c r="A1562" t="s">
        <v>1417</v>
      </c>
      <c r="B1562" t="s">
        <v>15</v>
      </c>
      <c r="C1562" t="s">
        <v>23</v>
      </c>
      <c r="D1562" t="s">
        <v>17</v>
      </c>
      <c r="E1562" t="s">
        <v>18</v>
      </c>
      <c r="F1562" t="s">
        <v>19</v>
      </c>
      <c r="G1562" t="s">
        <v>20</v>
      </c>
      <c r="J1562" t="s">
        <v>17</v>
      </c>
      <c r="K1562" t="str">
        <f>"10012219"</f>
        <v>10012219</v>
      </c>
      <c r="L1562" t="str">
        <f>"10012219"</f>
        <v>10012219</v>
      </c>
      <c r="M1562" t="s">
        <v>21</v>
      </c>
      <c r="N1562" s="1">
        <v>43753.654861111114</v>
      </c>
      <c r="O1562" t="s">
        <v>19</v>
      </c>
    </row>
    <row r="1563" spans="1:15" x14ac:dyDescent="0.25">
      <c r="A1563" t="s">
        <v>1418</v>
      </c>
      <c r="B1563" t="s">
        <v>15</v>
      </c>
      <c r="C1563" t="s">
        <v>23</v>
      </c>
      <c r="D1563" t="s">
        <v>17</v>
      </c>
      <c r="E1563" t="s">
        <v>18</v>
      </c>
      <c r="F1563" t="s">
        <v>19</v>
      </c>
      <c r="G1563" t="s">
        <v>20</v>
      </c>
      <c r="J1563" t="s">
        <v>17</v>
      </c>
      <c r="K1563" t="str">
        <f>"6971083491693"</f>
        <v>6971083491693</v>
      </c>
      <c r="L1563" t="str">
        <f>"10012362"</f>
        <v>10012362</v>
      </c>
      <c r="M1563" t="s">
        <v>21</v>
      </c>
      <c r="N1563" s="1">
        <v>43609.795138888891</v>
      </c>
      <c r="O1563" t="s">
        <v>19</v>
      </c>
    </row>
    <row r="1564" spans="1:15" x14ac:dyDescent="0.25">
      <c r="A1564" t="s">
        <v>1419</v>
      </c>
      <c r="B1564" t="s">
        <v>15</v>
      </c>
      <c r="C1564" t="s">
        <v>23</v>
      </c>
      <c r="D1564" t="s">
        <v>17</v>
      </c>
      <c r="E1564" t="s">
        <v>18</v>
      </c>
      <c r="F1564" t="s">
        <v>19</v>
      </c>
      <c r="G1564" t="s">
        <v>20</v>
      </c>
      <c r="J1564" t="s">
        <v>17</v>
      </c>
      <c r="K1564" t="str">
        <f>"665632558757"</f>
        <v>665632558757</v>
      </c>
      <c r="L1564" t="str">
        <f>"10002337"</f>
        <v>10002337</v>
      </c>
      <c r="M1564" t="s">
        <v>21</v>
      </c>
      <c r="N1564" s="1">
        <v>43753.658333333333</v>
      </c>
      <c r="O1564" t="s">
        <v>19</v>
      </c>
    </row>
    <row r="1565" spans="1:15" x14ac:dyDescent="0.25">
      <c r="A1565" t="s">
        <v>1420</v>
      </c>
      <c r="B1565" t="s">
        <v>15</v>
      </c>
      <c r="C1565" t="s">
        <v>23</v>
      </c>
      <c r="D1565" t="s">
        <v>17</v>
      </c>
      <c r="E1565" t="s">
        <v>18</v>
      </c>
      <c r="F1565" t="s">
        <v>19</v>
      </c>
      <c r="G1565" t="s">
        <v>20</v>
      </c>
      <c r="J1565" t="s">
        <v>17</v>
      </c>
      <c r="K1565" t="str">
        <f>"10002501"</f>
        <v>10002501</v>
      </c>
      <c r="L1565" t="str">
        <f>"10002501"</f>
        <v>10002501</v>
      </c>
      <c r="M1565" t="s">
        <v>21</v>
      </c>
      <c r="N1565" s="1">
        <v>43753.660416666666</v>
      </c>
      <c r="O1565" t="s">
        <v>19</v>
      </c>
    </row>
    <row r="1566" spans="1:15" x14ac:dyDescent="0.25">
      <c r="A1566" t="s">
        <v>1421</v>
      </c>
      <c r="B1566" t="s">
        <v>15</v>
      </c>
      <c r="C1566" t="s">
        <v>23</v>
      </c>
      <c r="D1566" t="s">
        <v>17</v>
      </c>
      <c r="E1566" t="s">
        <v>18</v>
      </c>
      <c r="F1566" t="s">
        <v>19</v>
      </c>
      <c r="G1566" t="s">
        <v>20</v>
      </c>
      <c r="J1566" t="s">
        <v>17</v>
      </c>
      <c r="K1566" t="str">
        <f>"036000291452"</f>
        <v>036000291452</v>
      </c>
      <c r="L1566" t="str">
        <f>"10002607"</f>
        <v>10002607</v>
      </c>
      <c r="M1566" t="s">
        <v>21</v>
      </c>
      <c r="N1566" s="1">
        <v>43753.655555555553</v>
      </c>
      <c r="O1566" t="s">
        <v>19</v>
      </c>
    </row>
    <row r="1567" spans="1:15" x14ac:dyDescent="0.25">
      <c r="A1567" t="s">
        <v>1422</v>
      </c>
      <c r="B1567" t="s">
        <v>15</v>
      </c>
      <c r="C1567" t="s">
        <v>23</v>
      </c>
      <c r="D1567" t="s">
        <v>17</v>
      </c>
      <c r="E1567" t="s">
        <v>18</v>
      </c>
      <c r="F1567" t="s">
        <v>19</v>
      </c>
      <c r="G1567" t="s">
        <v>20</v>
      </c>
      <c r="J1567" t="s">
        <v>17</v>
      </c>
      <c r="K1567" t="str">
        <f>"10002620"</f>
        <v>10002620</v>
      </c>
      <c r="L1567" t="str">
        <f>"10002620"</f>
        <v>10002620</v>
      </c>
      <c r="M1567" t="s">
        <v>21</v>
      </c>
      <c r="N1567" s="1">
        <v>43719.905555555553</v>
      </c>
      <c r="O1567" t="s">
        <v>19</v>
      </c>
    </row>
    <row r="1568" spans="1:15" x14ac:dyDescent="0.25">
      <c r="A1568" t="s">
        <v>1423</v>
      </c>
      <c r="B1568" t="s">
        <v>15</v>
      </c>
      <c r="C1568" t="s">
        <v>23</v>
      </c>
      <c r="D1568" t="s">
        <v>17</v>
      </c>
      <c r="E1568" t="s">
        <v>18</v>
      </c>
      <c r="F1568" t="s">
        <v>19</v>
      </c>
      <c r="G1568" t="s">
        <v>20</v>
      </c>
      <c r="J1568" t="s">
        <v>17</v>
      </c>
      <c r="K1568" t="str">
        <f>"10004299"</f>
        <v>10004299</v>
      </c>
      <c r="L1568" t="str">
        <f>"10004299"</f>
        <v>10004299</v>
      </c>
      <c r="M1568" t="s">
        <v>21</v>
      </c>
      <c r="N1568" s="1">
        <v>43854.703472222223</v>
      </c>
      <c r="O1568" t="s">
        <v>19</v>
      </c>
    </row>
    <row r="1569" spans="1:15" x14ac:dyDescent="0.25">
      <c r="A1569" t="s">
        <v>1424</v>
      </c>
      <c r="B1569" t="s">
        <v>15</v>
      </c>
      <c r="C1569" t="s">
        <v>23</v>
      </c>
      <c r="D1569" t="s">
        <v>17</v>
      </c>
      <c r="E1569" t="s">
        <v>18</v>
      </c>
      <c r="F1569" t="s">
        <v>19</v>
      </c>
      <c r="G1569" t="s">
        <v>20</v>
      </c>
      <c r="J1569" t="s">
        <v>17</v>
      </c>
      <c r="K1569" t="str">
        <f>"10000679"</f>
        <v>10000679</v>
      </c>
      <c r="L1569" t="str">
        <f>"10000679"</f>
        <v>10000679</v>
      </c>
      <c r="M1569" t="s">
        <v>21</v>
      </c>
      <c r="N1569" s="1">
        <v>43753.656944444447</v>
      </c>
      <c r="O1569" t="s">
        <v>19</v>
      </c>
    </row>
    <row r="1570" spans="1:15" x14ac:dyDescent="0.25">
      <c r="A1570" t="s">
        <v>1425</v>
      </c>
      <c r="B1570" t="s">
        <v>15</v>
      </c>
      <c r="C1570" t="s">
        <v>23</v>
      </c>
      <c r="D1570" t="s">
        <v>17</v>
      </c>
      <c r="E1570" t="s">
        <v>18</v>
      </c>
      <c r="F1570" t="s">
        <v>19</v>
      </c>
      <c r="G1570" t="s">
        <v>20</v>
      </c>
      <c r="J1570" t="s">
        <v>17</v>
      </c>
      <c r="K1570" t="str">
        <f>"6925871641654"</f>
        <v>6925871641654</v>
      </c>
      <c r="L1570" t="str">
        <f>"22084165"</f>
        <v>22084165</v>
      </c>
      <c r="M1570" t="s">
        <v>21</v>
      </c>
      <c r="N1570" s="1">
        <v>43404.739583333336</v>
      </c>
      <c r="O1570" t="s">
        <v>19</v>
      </c>
    </row>
    <row r="1571" spans="1:15" x14ac:dyDescent="0.25">
      <c r="A1571" t="s">
        <v>1426</v>
      </c>
      <c r="B1571" t="s">
        <v>15</v>
      </c>
      <c r="C1571" t="s">
        <v>23</v>
      </c>
      <c r="D1571" t="s">
        <v>17</v>
      </c>
      <c r="E1571" t="s">
        <v>18</v>
      </c>
      <c r="F1571" t="s">
        <v>19</v>
      </c>
      <c r="G1571" t="s">
        <v>20</v>
      </c>
      <c r="J1571" t="s">
        <v>17</v>
      </c>
      <c r="K1571" t="str">
        <f>"6925871603034"</f>
        <v>6925871603034</v>
      </c>
      <c r="L1571" t="str">
        <f>"22084340"</f>
        <v>22084340</v>
      </c>
      <c r="M1571" t="s">
        <v>21</v>
      </c>
      <c r="N1571" s="1">
        <v>44341.79791666667</v>
      </c>
      <c r="O1571" t="s">
        <v>19</v>
      </c>
    </row>
    <row r="1572" spans="1:15" x14ac:dyDescent="0.25">
      <c r="A1572" t="s">
        <v>1427</v>
      </c>
      <c r="B1572" t="s">
        <v>15</v>
      </c>
      <c r="C1572" t="s">
        <v>23</v>
      </c>
      <c r="D1572" t="s">
        <v>17</v>
      </c>
      <c r="E1572" t="s">
        <v>18</v>
      </c>
      <c r="F1572" t="s">
        <v>19</v>
      </c>
      <c r="G1572" t="s">
        <v>20</v>
      </c>
      <c r="J1572" t="s">
        <v>17</v>
      </c>
      <c r="K1572" t="str">
        <f>"1100000341109"</f>
        <v>1100000341109</v>
      </c>
      <c r="L1572" t="str">
        <f>"92080700"</f>
        <v>92080700</v>
      </c>
      <c r="M1572" t="s">
        <v>21</v>
      </c>
      <c r="N1572" s="1">
        <v>43713.939583333333</v>
      </c>
      <c r="O1572" t="s">
        <v>19</v>
      </c>
    </row>
    <row r="1573" spans="1:15" x14ac:dyDescent="0.25">
      <c r="A1573" t="s">
        <v>1428</v>
      </c>
      <c r="B1573" t="s">
        <v>15</v>
      </c>
      <c r="C1573" t="s">
        <v>23</v>
      </c>
      <c r="D1573" t="s">
        <v>17</v>
      </c>
      <c r="E1573" t="s">
        <v>18</v>
      </c>
      <c r="F1573" t="s">
        <v>19</v>
      </c>
      <c r="G1573" t="s">
        <v>20</v>
      </c>
      <c r="J1573" t="s">
        <v>17</v>
      </c>
      <c r="K1573" t="str">
        <f>"7858816021152"</f>
        <v>7858816021152</v>
      </c>
      <c r="L1573" t="str">
        <f>"87082115"</f>
        <v>87082115</v>
      </c>
      <c r="M1573" t="s">
        <v>21</v>
      </c>
      <c r="N1573" s="1">
        <v>43853.65902777778</v>
      </c>
      <c r="O1573" t="s">
        <v>19</v>
      </c>
    </row>
    <row r="1574" spans="1:15" x14ac:dyDescent="0.25">
      <c r="A1574" t="s">
        <v>1429</v>
      </c>
      <c r="B1574" t="s">
        <v>15</v>
      </c>
      <c r="C1574" t="s">
        <v>23</v>
      </c>
      <c r="D1574" t="s">
        <v>17</v>
      </c>
      <c r="E1574" t="s">
        <v>18</v>
      </c>
      <c r="F1574" t="s">
        <v>19</v>
      </c>
      <c r="G1574" t="s">
        <v>20</v>
      </c>
      <c r="J1574" t="s">
        <v>17</v>
      </c>
      <c r="K1574" t="str">
        <f>"7858816041068"</f>
        <v>7858816041068</v>
      </c>
      <c r="L1574" t="str">
        <f>"87084106"</f>
        <v>87084106</v>
      </c>
      <c r="M1574" t="s">
        <v>21</v>
      </c>
      <c r="N1574" s="1">
        <v>43819.619444444441</v>
      </c>
      <c r="O1574" t="s">
        <v>19</v>
      </c>
    </row>
    <row r="1575" spans="1:15" x14ac:dyDescent="0.25">
      <c r="A1575" t="s">
        <v>1430</v>
      </c>
      <c r="B1575" t="s">
        <v>15</v>
      </c>
      <c r="C1575" t="s">
        <v>23</v>
      </c>
      <c r="D1575" t="s">
        <v>17</v>
      </c>
      <c r="E1575" t="s">
        <v>18</v>
      </c>
      <c r="F1575" t="s">
        <v>19</v>
      </c>
      <c r="G1575" t="s">
        <v>20</v>
      </c>
      <c r="J1575" t="s">
        <v>17</v>
      </c>
      <c r="K1575" t="str">
        <f>"7858816055324"</f>
        <v>7858816055324</v>
      </c>
      <c r="L1575" t="str">
        <f>"87085532"</f>
        <v>87085532</v>
      </c>
      <c r="M1575" t="s">
        <v>21</v>
      </c>
      <c r="N1575" s="1">
        <v>43839.832638888889</v>
      </c>
      <c r="O1575" t="s">
        <v>19</v>
      </c>
    </row>
    <row r="1576" spans="1:15" x14ac:dyDescent="0.25">
      <c r="A1576" t="s">
        <v>1431</v>
      </c>
      <c r="B1576" t="s">
        <v>15</v>
      </c>
      <c r="C1576" t="s">
        <v>23</v>
      </c>
      <c r="D1576" t="s">
        <v>17</v>
      </c>
      <c r="E1576" t="s">
        <v>18</v>
      </c>
      <c r="F1576" t="s">
        <v>19</v>
      </c>
      <c r="G1576" t="s">
        <v>20</v>
      </c>
      <c r="J1576" t="s">
        <v>17</v>
      </c>
      <c r="K1576" t="str">
        <f>"7858816065286"</f>
        <v>7858816065286</v>
      </c>
      <c r="L1576" t="str">
        <f>"87086528"</f>
        <v>87086528</v>
      </c>
      <c r="M1576" t="s">
        <v>21</v>
      </c>
      <c r="N1576" s="1">
        <v>43889.906944444447</v>
      </c>
      <c r="O1576" t="s">
        <v>19</v>
      </c>
    </row>
    <row r="1577" spans="1:15" x14ac:dyDescent="0.25">
      <c r="A1577" t="s">
        <v>1432</v>
      </c>
      <c r="B1577" t="s">
        <v>15</v>
      </c>
      <c r="C1577" t="s">
        <v>23</v>
      </c>
      <c r="D1577" t="s">
        <v>17</v>
      </c>
      <c r="E1577" t="s">
        <v>18</v>
      </c>
      <c r="F1577" t="s">
        <v>19</v>
      </c>
      <c r="G1577" t="s">
        <v>20</v>
      </c>
      <c r="J1577" t="s">
        <v>17</v>
      </c>
      <c r="K1577" t="str">
        <f>"7858816078187"</f>
        <v>7858816078187</v>
      </c>
      <c r="L1577" t="str">
        <f>"87087818"</f>
        <v>87087818</v>
      </c>
      <c r="M1577" t="s">
        <v>21</v>
      </c>
      <c r="N1577" s="1">
        <v>44211.897916666669</v>
      </c>
      <c r="O1577" t="s">
        <v>19</v>
      </c>
    </row>
    <row r="1578" spans="1:15" x14ac:dyDescent="0.25">
      <c r="A1578" t="s">
        <v>1433</v>
      </c>
      <c r="B1578" t="s">
        <v>15</v>
      </c>
      <c r="C1578" t="s">
        <v>23</v>
      </c>
      <c r="D1578" t="s">
        <v>17</v>
      </c>
      <c r="E1578" t="s">
        <v>18</v>
      </c>
      <c r="F1578" t="s">
        <v>19</v>
      </c>
      <c r="G1578" t="s">
        <v>20</v>
      </c>
      <c r="J1578" t="s">
        <v>17</v>
      </c>
      <c r="K1578" t="str">
        <f>"8944870161138"</f>
        <v>8944870161138</v>
      </c>
      <c r="L1578" t="str">
        <f>"87081962"</f>
        <v>87081962</v>
      </c>
      <c r="M1578" t="s">
        <v>21</v>
      </c>
      <c r="N1578" s="1">
        <v>42987.936111111114</v>
      </c>
      <c r="O1578" t="s">
        <v>19</v>
      </c>
    </row>
    <row r="1579" spans="1:15" x14ac:dyDescent="0.25">
      <c r="A1579" t="s">
        <v>1434</v>
      </c>
      <c r="B1579" t="s">
        <v>15</v>
      </c>
      <c r="C1579" t="s">
        <v>23</v>
      </c>
      <c r="D1579" t="s">
        <v>17</v>
      </c>
      <c r="E1579" t="s">
        <v>18</v>
      </c>
      <c r="F1579" t="s">
        <v>19</v>
      </c>
      <c r="G1579" t="s">
        <v>20</v>
      </c>
      <c r="J1579" t="s">
        <v>17</v>
      </c>
      <c r="K1579" t="str">
        <f>"6995411110117"</f>
        <v>6995411110117</v>
      </c>
      <c r="L1579" t="str">
        <f>"76080715"</f>
        <v>76080715</v>
      </c>
      <c r="M1579" t="s">
        <v>21</v>
      </c>
      <c r="N1579" s="1">
        <v>42872.847222222219</v>
      </c>
      <c r="O1579" t="s">
        <v>19</v>
      </c>
    </row>
    <row r="1580" spans="1:15" x14ac:dyDescent="0.25">
      <c r="A1580" t="s">
        <v>1434</v>
      </c>
      <c r="B1580" t="s">
        <v>15</v>
      </c>
      <c r="C1580" t="s">
        <v>23</v>
      </c>
      <c r="D1580" t="s">
        <v>17</v>
      </c>
      <c r="E1580" t="s">
        <v>18</v>
      </c>
      <c r="F1580" t="s">
        <v>19</v>
      </c>
      <c r="G1580" t="s">
        <v>20</v>
      </c>
      <c r="J1580" t="s">
        <v>17</v>
      </c>
      <c r="K1580" t="str">
        <f>"79080721"</f>
        <v>79080721</v>
      </c>
      <c r="L1580" t="str">
        <f>"79080721"</f>
        <v>79080721</v>
      </c>
      <c r="M1580" t="s">
        <v>75</v>
      </c>
      <c r="N1580" s="1">
        <v>42872.847222222219</v>
      </c>
      <c r="O1580" t="s">
        <v>19</v>
      </c>
    </row>
    <row r="1581" spans="1:15" x14ac:dyDescent="0.25">
      <c r="A1581" t="s">
        <v>1434</v>
      </c>
      <c r="B1581" t="s">
        <v>15</v>
      </c>
      <c r="C1581" t="s">
        <v>23</v>
      </c>
      <c r="D1581" t="s">
        <v>17</v>
      </c>
      <c r="E1581" t="s">
        <v>18</v>
      </c>
      <c r="F1581" t="s">
        <v>19</v>
      </c>
      <c r="G1581" t="s">
        <v>20</v>
      </c>
      <c r="J1581" t="s">
        <v>17</v>
      </c>
      <c r="K1581" t="str">
        <f>"6541255212328"</f>
        <v>6541255212328</v>
      </c>
      <c r="L1581" t="str">
        <f>"76082328"</f>
        <v>76082328</v>
      </c>
      <c r="M1581" t="s">
        <v>84</v>
      </c>
      <c r="N1581" s="1">
        <v>43465.768055555556</v>
      </c>
      <c r="O1581" t="s">
        <v>19</v>
      </c>
    </row>
    <row r="1582" spans="1:15" x14ac:dyDescent="0.25">
      <c r="A1582" t="s">
        <v>1435</v>
      </c>
      <c r="B1582" t="s">
        <v>15</v>
      </c>
      <c r="C1582" t="s">
        <v>23</v>
      </c>
      <c r="D1582" t="s">
        <v>17</v>
      </c>
      <c r="E1582" t="s">
        <v>18</v>
      </c>
      <c r="F1582" t="s">
        <v>19</v>
      </c>
      <c r="G1582" t="s">
        <v>20</v>
      </c>
      <c r="J1582" t="s">
        <v>17</v>
      </c>
      <c r="K1582" t="str">
        <f>"6995411220014"</f>
        <v>6995411220014</v>
      </c>
      <c r="L1582" t="str">
        <f>"76080702"</f>
        <v>76080702</v>
      </c>
      <c r="M1582" t="s">
        <v>21</v>
      </c>
      <c r="N1582" s="1">
        <v>42872.839583333334</v>
      </c>
      <c r="O1582" t="s">
        <v>19</v>
      </c>
    </row>
    <row r="1583" spans="1:15" x14ac:dyDescent="0.25">
      <c r="A1583" t="s">
        <v>1435</v>
      </c>
      <c r="B1583" t="s">
        <v>15</v>
      </c>
      <c r="C1583" t="s">
        <v>23</v>
      </c>
      <c r="D1583" t="s">
        <v>17</v>
      </c>
      <c r="E1583" t="s">
        <v>18</v>
      </c>
      <c r="F1583" t="s">
        <v>19</v>
      </c>
      <c r="G1583" t="s">
        <v>20</v>
      </c>
      <c r="J1583" t="s">
        <v>17</v>
      </c>
      <c r="K1583" t="str">
        <f>"78080014"</f>
        <v>78080014</v>
      </c>
      <c r="L1583" t="str">
        <f>"78080014"</f>
        <v>78080014</v>
      </c>
      <c r="M1583" t="s">
        <v>21</v>
      </c>
      <c r="N1583" s="1">
        <v>44037.666666666664</v>
      </c>
      <c r="O1583" t="s">
        <v>19</v>
      </c>
    </row>
    <row r="1584" spans="1:15" x14ac:dyDescent="0.25">
      <c r="A1584" t="s">
        <v>1436</v>
      </c>
      <c r="B1584" t="s">
        <v>15</v>
      </c>
      <c r="C1584" t="s">
        <v>23</v>
      </c>
      <c r="D1584" t="s">
        <v>17</v>
      </c>
      <c r="E1584" t="s">
        <v>18</v>
      </c>
      <c r="F1584" t="s">
        <v>19</v>
      </c>
      <c r="G1584" t="s">
        <v>20</v>
      </c>
      <c r="J1584" t="s">
        <v>17</v>
      </c>
      <c r="K1584" t="str">
        <f>"6995411330010"</f>
        <v>6995411330010</v>
      </c>
      <c r="L1584" t="str">
        <f>"76080703"</f>
        <v>76080703</v>
      </c>
      <c r="M1584" t="s">
        <v>21</v>
      </c>
      <c r="N1584" s="1">
        <v>42872.847222222219</v>
      </c>
      <c r="O1584" t="s">
        <v>19</v>
      </c>
    </row>
    <row r="1585" spans="1:15" x14ac:dyDescent="0.25">
      <c r="A1585" t="s">
        <v>1437</v>
      </c>
      <c r="B1585" t="s">
        <v>15</v>
      </c>
      <c r="C1585" t="s">
        <v>23</v>
      </c>
      <c r="D1585" t="s">
        <v>17</v>
      </c>
      <c r="E1585" t="s">
        <v>18</v>
      </c>
      <c r="F1585" t="s">
        <v>19</v>
      </c>
      <c r="G1585" t="s">
        <v>20</v>
      </c>
      <c r="J1585" t="s">
        <v>17</v>
      </c>
      <c r="K1585" t="str">
        <f>"40080700"</f>
        <v>40080700</v>
      </c>
      <c r="L1585" t="str">
        <f>"40080700"</f>
        <v>40080700</v>
      </c>
      <c r="M1585" t="s">
        <v>21</v>
      </c>
      <c r="N1585" s="1">
        <v>44435.620833333334</v>
      </c>
      <c r="O1585" t="s">
        <v>19</v>
      </c>
    </row>
    <row r="1586" spans="1:15" x14ac:dyDescent="0.25">
      <c r="A1586" t="s">
        <v>1438</v>
      </c>
      <c r="B1586" t="s">
        <v>15</v>
      </c>
      <c r="C1586" t="s">
        <v>23</v>
      </c>
      <c r="D1586" t="s">
        <v>17</v>
      </c>
      <c r="E1586" t="s">
        <v>18</v>
      </c>
      <c r="F1586" t="s">
        <v>19</v>
      </c>
      <c r="G1586" t="s">
        <v>20</v>
      </c>
      <c r="J1586" t="s">
        <v>17</v>
      </c>
      <c r="K1586" t="str">
        <f>"6951613980408"</f>
        <v>6951613980408</v>
      </c>
      <c r="L1586" t="str">
        <f>"98082508"</f>
        <v>98082508</v>
      </c>
      <c r="M1586" t="s">
        <v>21</v>
      </c>
      <c r="N1586" s="1">
        <v>43545.865972222222</v>
      </c>
      <c r="O1586" t="s">
        <v>19</v>
      </c>
    </row>
    <row r="1587" spans="1:15" x14ac:dyDescent="0.25">
      <c r="A1587" t="s">
        <v>1439</v>
      </c>
      <c r="B1587" t="s">
        <v>15</v>
      </c>
      <c r="C1587" t="s">
        <v>23</v>
      </c>
      <c r="D1587" t="s">
        <v>17</v>
      </c>
      <c r="E1587" t="s">
        <v>18</v>
      </c>
      <c r="F1587" t="s">
        <v>19</v>
      </c>
      <c r="G1587" t="s">
        <v>20</v>
      </c>
      <c r="J1587" t="s">
        <v>17</v>
      </c>
      <c r="K1587" t="str">
        <f>"7297279215287"</f>
        <v>7297279215287</v>
      </c>
      <c r="L1587" t="str">
        <f>"98080700"</f>
        <v>98080700</v>
      </c>
      <c r="M1587" t="s">
        <v>21</v>
      </c>
      <c r="N1587" s="1">
        <v>44321.884722222225</v>
      </c>
      <c r="O1587" t="s">
        <v>19</v>
      </c>
    </row>
    <row r="1588" spans="1:15" x14ac:dyDescent="0.25">
      <c r="A1588" t="s">
        <v>1440</v>
      </c>
      <c r="B1588" t="s">
        <v>15</v>
      </c>
      <c r="C1588" t="s">
        <v>31</v>
      </c>
      <c r="D1588" t="s">
        <v>17</v>
      </c>
      <c r="E1588" t="s">
        <v>18</v>
      </c>
      <c r="F1588" t="s">
        <v>19</v>
      </c>
      <c r="G1588" t="s">
        <v>20</v>
      </c>
      <c r="J1588" t="s">
        <v>17</v>
      </c>
      <c r="K1588" t="str">
        <f>"6924494001241"</f>
        <v>6924494001241</v>
      </c>
      <c r="L1588" t="str">
        <f>"29USB35524"</f>
        <v>29USB35524</v>
      </c>
      <c r="M1588" t="s">
        <v>21</v>
      </c>
      <c r="N1588" s="1">
        <v>43994.820138888892</v>
      </c>
      <c r="O1588" t="s">
        <v>19</v>
      </c>
    </row>
    <row r="1589" spans="1:15" x14ac:dyDescent="0.25">
      <c r="A1589" t="s">
        <v>1441</v>
      </c>
      <c r="B1589" t="s">
        <v>15</v>
      </c>
      <c r="C1589" t="s">
        <v>23</v>
      </c>
      <c r="D1589" t="s">
        <v>17</v>
      </c>
      <c r="E1589" t="s">
        <v>18</v>
      </c>
      <c r="F1589" t="s">
        <v>19</v>
      </c>
      <c r="G1589" t="s">
        <v>20</v>
      </c>
      <c r="J1589" t="s">
        <v>17</v>
      </c>
      <c r="K1589" t="str">
        <f>"5620000930814"</f>
        <v>5620000930814</v>
      </c>
      <c r="L1589" t="str">
        <f>"280893081"</f>
        <v>280893081</v>
      </c>
      <c r="M1589" t="s">
        <v>84</v>
      </c>
      <c r="N1589" s="1">
        <v>43266.960416666669</v>
      </c>
      <c r="O1589" t="s">
        <v>19</v>
      </c>
    </row>
    <row r="1590" spans="1:15" x14ac:dyDescent="0.25">
      <c r="A1590" t="s">
        <v>1442</v>
      </c>
      <c r="B1590" t="s">
        <v>15</v>
      </c>
      <c r="C1590" t="s">
        <v>31</v>
      </c>
      <c r="D1590" t="s">
        <v>17</v>
      </c>
      <c r="E1590" t="s">
        <v>18</v>
      </c>
      <c r="F1590" t="s">
        <v>19</v>
      </c>
      <c r="G1590" t="s">
        <v>20</v>
      </c>
      <c r="J1590" t="s">
        <v>17</v>
      </c>
      <c r="K1590" t="str">
        <f>"7858816056468"</f>
        <v>7858816056468</v>
      </c>
      <c r="L1590" t="str">
        <f>"87085646"</f>
        <v>87085646</v>
      </c>
      <c r="M1590" t="s">
        <v>21</v>
      </c>
      <c r="N1590" s="1">
        <v>43853.647222222222</v>
      </c>
      <c r="O1590" t="s">
        <v>19</v>
      </c>
    </row>
    <row r="1591" spans="1:15" x14ac:dyDescent="0.25">
      <c r="A1591" t="s">
        <v>1443</v>
      </c>
      <c r="B1591" t="s">
        <v>15</v>
      </c>
      <c r="C1591" t="s">
        <v>31</v>
      </c>
      <c r="D1591" t="s">
        <v>17</v>
      </c>
      <c r="E1591" t="s">
        <v>18</v>
      </c>
      <c r="F1591" t="s">
        <v>19</v>
      </c>
      <c r="G1591" t="s">
        <v>20</v>
      </c>
      <c r="J1591" t="s">
        <v>17</v>
      </c>
      <c r="K1591" t="str">
        <f>"7858816060458"</f>
        <v>7858816060458</v>
      </c>
      <c r="L1591" t="str">
        <f>"87086045"</f>
        <v>87086045</v>
      </c>
      <c r="M1591" t="s">
        <v>21</v>
      </c>
      <c r="N1591" s="1">
        <v>44357.711805555555</v>
      </c>
      <c r="O1591" t="s">
        <v>19</v>
      </c>
    </row>
    <row r="1592" spans="1:15" x14ac:dyDescent="0.25">
      <c r="A1592" t="s">
        <v>1444</v>
      </c>
      <c r="B1592" t="s">
        <v>15</v>
      </c>
      <c r="C1592" t="s">
        <v>23</v>
      </c>
      <c r="D1592" t="s">
        <v>17</v>
      </c>
      <c r="E1592" t="s">
        <v>18</v>
      </c>
      <c r="F1592" t="s">
        <v>19</v>
      </c>
      <c r="G1592" t="s">
        <v>20</v>
      </c>
      <c r="J1592" t="s">
        <v>17</v>
      </c>
      <c r="K1592" t="str">
        <f>"5620000932603"</f>
        <v>5620000932603</v>
      </c>
      <c r="L1592" t="str">
        <f>"280893260"</f>
        <v>280893260</v>
      </c>
      <c r="M1592" t="s">
        <v>84</v>
      </c>
      <c r="N1592" s="1">
        <v>43266.961111111108</v>
      </c>
      <c r="O1592" t="s">
        <v>19</v>
      </c>
    </row>
    <row r="1593" spans="1:15" x14ac:dyDescent="0.25">
      <c r="A1593" t="s">
        <v>1445</v>
      </c>
      <c r="B1593" t="s">
        <v>15</v>
      </c>
      <c r="C1593" t="s">
        <v>23</v>
      </c>
      <c r="D1593" t="s">
        <v>17</v>
      </c>
      <c r="E1593" t="s">
        <v>18</v>
      </c>
      <c r="F1593" t="s">
        <v>19</v>
      </c>
      <c r="G1593" t="s">
        <v>20</v>
      </c>
      <c r="J1593" t="s">
        <v>17</v>
      </c>
      <c r="K1593" t="str">
        <f>"78080038"</f>
        <v>78080038</v>
      </c>
      <c r="L1593" t="str">
        <f>"78080038"</f>
        <v>78080038</v>
      </c>
      <c r="M1593" t="s">
        <v>21</v>
      </c>
      <c r="N1593" s="1">
        <v>44037.665972222225</v>
      </c>
      <c r="O1593" t="s">
        <v>19</v>
      </c>
    </row>
    <row r="1594" spans="1:15" x14ac:dyDescent="0.25">
      <c r="A1594" t="s">
        <v>1446</v>
      </c>
      <c r="B1594" t="s">
        <v>15</v>
      </c>
      <c r="C1594" t="s">
        <v>31</v>
      </c>
      <c r="D1594" t="s">
        <v>17</v>
      </c>
      <c r="E1594" t="s">
        <v>18</v>
      </c>
      <c r="F1594" t="s">
        <v>19</v>
      </c>
      <c r="G1594" t="s">
        <v>20</v>
      </c>
      <c r="J1594" t="s">
        <v>17</v>
      </c>
      <c r="K1594" t="str">
        <f>"6686996002385"</f>
        <v>6686996002385</v>
      </c>
      <c r="L1594" t="str">
        <f>"400812129"</f>
        <v>400812129</v>
      </c>
      <c r="M1594" t="s">
        <v>21</v>
      </c>
      <c r="N1594" s="1">
        <v>44306.856249999997</v>
      </c>
      <c r="O1594" t="s">
        <v>19</v>
      </c>
    </row>
    <row r="1595" spans="1:15" x14ac:dyDescent="0.25">
      <c r="A1595" t="s">
        <v>1447</v>
      </c>
      <c r="B1595" t="s">
        <v>15</v>
      </c>
      <c r="C1595" t="s">
        <v>31</v>
      </c>
      <c r="D1595" t="s">
        <v>17</v>
      </c>
      <c r="E1595" t="s">
        <v>18</v>
      </c>
      <c r="F1595" t="s">
        <v>19</v>
      </c>
      <c r="G1595" t="s">
        <v>20</v>
      </c>
      <c r="J1595" t="s">
        <v>17</v>
      </c>
      <c r="K1595" t="str">
        <f>"7858816080364"</f>
        <v>7858816080364</v>
      </c>
      <c r="L1595" t="str">
        <f>"87088036"</f>
        <v>87088036</v>
      </c>
      <c r="M1595" t="s">
        <v>21</v>
      </c>
      <c r="N1595" s="1">
        <v>44356.702777777777</v>
      </c>
      <c r="O1595" t="s">
        <v>19</v>
      </c>
    </row>
    <row r="1596" spans="1:15" x14ac:dyDescent="0.25">
      <c r="A1596" t="s">
        <v>1448</v>
      </c>
      <c r="B1596" t="s">
        <v>15</v>
      </c>
      <c r="C1596" t="s">
        <v>31</v>
      </c>
      <c r="D1596" t="s">
        <v>17</v>
      </c>
      <c r="E1596" t="s">
        <v>18</v>
      </c>
      <c r="F1596" t="s">
        <v>19</v>
      </c>
      <c r="G1596" t="s">
        <v>20</v>
      </c>
      <c r="J1596" t="s">
        <v>17</v>
      </c>
      <c r="K1596" t="str">
        <f>"766623333412"</f>
        <v>766623333412</v>
      </c>
      <c r="L1596" t="str">
        <f>"56083412"</f>
        <v>56083412</v>
      </c>
      <c r="M1596" t="s">
        <v>21</v>
      </c>
      <c r="N1596" s="1">
        <v>43985.811111111114</v>
      </c>
      <c r="O1596" t="s">
        <v>19</v>
      </c>
    </row>
    <row r="1597" spans="1:15" x14ac:dyDescent="0.25">
      <c r="A1597" t="s">
        <v>1449</v>
      </c>
      <c r="B1597" t="s">
        <v>15</v>
      </c>
      <c r="C1597" t="s">
        <v>31</v>
      </c>
      <c r="D1597" t="s">
        <v>17</v>
      </c>
      <c r="E1597" t="s">
        <v>18</v>
      </c>
      <c r="F1597" t="s">
        <v>19</v>
      </c>
      <c r="G1597" t="s">
        <v>20</v>
      </c>
      <c r="J1597" t="s">
        <v>17</v>
      </c>
      <c r="K1597" t="str">
        <f>"6686996210995"</f>
        <v>6686996210995</v>
      </c>
      <c r="L1597" t="str">
        <f>"540821099"</f>
        <v>540821099</v>
      </c>
      <c r="M1597" t="s">
        <v>21</v>
      </c>
      <c r="N1597" s="1">
        <v>44210.767361111109</v>
      </c>
      <c r="O1597" t="s">
        <v>19</v>
      </c>
    </row>
    <row r="1598" spans="1:15" x14ac:dyDescent="0.25">
      <c r="A1598" t="s">
        <v>1450</v>
      </c>
      <c r="B1598" t="s">
        <v>15</v>
      </c>
      <c r="C1598" t="s">
        <v>31</v>
      </c>
      <c r="D1598" t="s">
        <v>17</v>
      </c>
      <c r="E1598" t="s">
        <v>18</v>
      </c>
      <c r="F1598" t="s">
        <v>19</v>
      </c>
      <c r="G1598" t="s">
        <v>20</v>
      </c>
      <c r="J1598" t="s">
        <v>17</v>
      </c>
      <c r="K1598" t="str">
        <f>"7862318245626"</f>
        <v>7862318245626</v>
      </c>
      <c r="L1598" t="str">
        <f>"98080825"</f>
        <v>98080825</v>
      </c>
      <c r="M1598" t="s">
        <v>21</v>
      </c>
      <c r="N1598" s="1">
        <v>44455.867361111108</v>
      </c>
      <c r="O1598" t="s">
        <v>19</v>
      </c>
    </row>
    <row r="1599" spans="1:15" x14ac:dyDescent="0.25">
      <c r="A1599" t="s">
        <v>1451</v>
      </c>
      <c r="B1599" t="s">
        <v>15</v>
      </c>
      <c r="C1599" t="s">
        <v>23</v>
      </c>
      <c r="D1599" t="s">
        <v>17</v>
      </c>
      <c r="E1599" t="s">
        <v>18</v>
      </c>
      <c r="F1599" t="s">
        <v>19</v>
      </c>
      <c r="G1599" t="s">
        <v>20</v>
      </c>
      <c r="J1599" t="s">
        <v>17</v>
      </c>
      <c r="K1599" t="str">
        <f>"22080150"</f>
        <v>22080150</v>
      </c>
      <c r="L1599" t="str">
        <f>"22080150"</f>
        <v>22080150</v>
      </c>
      <c r="M1599" t="s">
        <v>84</v>
      </c>
      <c r="N1599" s="1">
        <v>43369.893750000003</v>
      </c>
      <c r="O1599" t="s">
        <v>19</v>
      </c>
    </row>
    <row r="1600" spans="1:15" x14ac:dyDescent="0.25">
      <c r="A1600" t="s">
        <v>1452</v>
      </c>
      <c r="B1600" t="s">
        <v>15</v>
      </c>
      <c r="C1600" t="s">
        <v>23</v>
      </c>
      <c r="D1600" t="s">
        <v>17</v>
      </c>
      <c r="E1600" t="s">
        <v>18</v>
      </c>
      <c r="F1600" t="s">
        <v>19</v>
      </c>
      <c r="G1600" t="s">
        <v>20</v>
      </c>
      <c r="J1600" t="s">
        <v>17</v>
      </c>
      <c r="K1600" t="str">
        <f>"22080120"</f>
        <v>22080120</v>
      </c>
      <c r="L1600" t="str">
        <f>"22080120"</f>
        <v>22080120</v>
      </c>
      <c r="M1600" t="s">
        <v>84</v>
      </c>
      <c r="N1600" s="1">
        <v>43404.742361111108</v>
      </c>
      <c r="O1600" t="s">
        <v>19</v>
      </c>
    </row>
    <row r="1601" spans="1:15" x14ac:dyDescent="0.25">
      <c r="A1601" t="s">
        <v>1453</v>
      </c>
      <c r="B1601" t="s">
        <v>15</v>
      </c>
      <c r="C1601" t="s">
        <v>23</v>
      </c>
      <c r="D1601" t="s">
        <v>17</v>
      </c>
      <c r="E1601" t="s">
        <v>18</v>
      </c>
      <c r="F1601" t="s">
        <v>19</v>
      </c>
      <c r="G1601" t="s">
        <v>20</v>
      </c>
      <c r="J1601" t="s">
        <v>17</v>
      </c>
      <c r="K1601" t="str">
        <f>"6971393457013"</f>
        <v>6971393457013</v>
      </c>
      <c r="L1601" t="str">
        <f>"40087013"</f>
        <v>40087013</v>
      </c>
      <c r="M1601" t="s">
        <v>21</v>
      </c>
      <c r="N1601" s="1">
        <v>44349.663194444445</v>
      </c>
      <c r="O1601" t="s">
        <v>19</v>
      </c>
    </row>
    <row r="1602" spans="1:15" x14ac:dyDescent="0.25">
      <c r="A1602" t="s">
        <v>1454</v>
      </c>
      <c r="B1602" t="s">
        <v>15</v>
      </c>
      <c r="C1602" t="s">
        <v>23</v>
      </c>
      <c r="D1602" t="s">
        <v>17</v>
      </c>
      <c r="E1602" t="s">
        <v>18</v>
      </c>
      <c r="F1602" t="s">
        <v>19</v>
      </c>
      <c r="G1602" t="s">
        <v>20</v>
      </c>
      <c r="J1602" t="s">
        <v>17</v>
      </c>
      <c r="K1602" t="str">
        <f>"6925871643405"</f>
        <v>6925871643405</v>
      </c>
      <c r="L1602" t="str">
        <f>"22080340"</f>
        <v>22080340</v>
      </c>
      <c r="M1602" t="s">
        <v>21</v>
      </c>
      <c r="N1602" s="1">
        <v>44352.706250000003</v>
      </c>
      <c r="O1602" t="s">
        <v>19</v>
      </c>
    </row>
    <row r="1603" spans="1:15" x14ac:dyDescent="0.25">
      <c r="A1603" t="s">
        <v>1455</v>
      </c>
      <c r="B1603" t="s">
        <v>15</v>
      </c>
      <c r="C1603" t="s">
        <v>23</v>
      </c>
      <c r="D1603" t="s">
        <v>17</v>
      </c>
      <c r="E1603" t="s">
        <v>18</v>
      </c>
      <c r="F1603" t="s">
        <v>19</v>
      </c>
      <c r="G1603" t="s">
        <v>20</v>
      </c>
      <c r="J1603" t="s">
        <v>17</v>
      </c>
      <c r="K1603" t="str">
        <f>"6925871643658"</f>
        <v>6925871643658</v>
      </c>
      <c r="L1603" t="str">
        <f>"22084365"</f>
        <v>22084365</v>
      </c>
      <c r="M1603" t="s">
        <v>21</v>
      </c>
      <c r="N1603" s="1">
        <v>44352.7</v>
      </c>
      <c r="O1603" t="s">
        <v>19</v>
      </c>
    </row>
    <row r="1604" spans="1:15" x14ac:dyDescent="0.25">
      <c r="A1604" t="s">
        <v>1456</v>
      </c>
      <c r="B1604" t="s">
        <v>15</v>
      </c>
      <c r="C1604" t="s">
        <v>23</v>
      </c>
      <c r="D1604" t="s">
        <v>17</v>
      </c>
      <c r="E1604" t="s">
        <v>18</v>
      </c>
      <c r="F1604" t="s">
        <v>19</v>
      </c>
      <c r="G1604" t="s">
        <v>20</v>
      </c>
      <c r="J1604" t="s">
        <v>17</v>
      </c>
      <c r="K1604" t="str">
        <f>"6925871643665"</f>
        <v>6925871643665</v>
      </c>
      <c r="L1604" t="str">
        <f>"22084366"</f>
        <v>22084366</v>
      </c>
      <c r="M1604" t="s">
        <v>21</v>
      </c>
      <c r="N1604" s="1">
        <v>44341.808333333334</v>
      </c>
      <c r="O1604" t="s">
        <v>19</v>
      </c>
    </row>
    <row r="1605" spans="1:15" x14ac:dyDescent="0.25">
      <c r="A1605" t="s">
        <v>1457</v>
      </c>
      <c r="B1605" t="s">
        <v>15</v>
      </c>
      <c r="C1605" t="s">
        <v>23</v>
      </c>
      <c r="D1605" t="s">
        <v>17</v>
      </c>
      <c r="E1605" t="s">
        <v>18</v>
      </c>
      <c r="F1605" t="s">
        <v>19</v>
      </c>
      <c r="G1605" t="s">
        <v>20</v>
      </c>
      <c r="J1605" t="s">
        <v>17</v>
      </c>
      <c r="K1605" t="str">
        <f>"6925871643696"</f>
        <v>6925871643696</v>
      </c>
      <c r="L1605" t="str">
        <f>"22084369"</f>
        <v>22084369</v>
      </c>
      <c r="M1605" t="s">
        <v>21</v>
      </c>
      <c r="N1605" s="1">
        <v>44352.697916666664</v>
      </c>
      <c r="O1605" t="s">
        <v>19</v>
      </c>
    </row>
    <row r="1606" spans="1:15" x14ac:dyDescent="0.25">
      <c r="A1606" t="s">
        <v>1458</v>
      </c>
      <c r="B1606" t="s">
        <v>15</v>
      </c>
      <c r="C1606" t="s">
        <v>23</v>
      </c>
      <c r="D1606" t="s">
        <v>17</v>
      </c>
      <c r="E1606" t="s">
        <v>18</v>
      </c>
      <c r="F1606" t="s">
        <v>19</v>
      </c>
      <c r="G1606" t="s">
        <v>20</v>
      </c>
      <c r="J1606" t="s">
        <v>17</v>
      </c>
      <c r="K1606" t="str">
        <f>"6925871643702"</f>
        <v>6925871643702</v>
      </c>
      <c r="L1606" t="str">
        <f>"22084370"</f>
        <v>22084370</v>
      </c>
      <c r="M1606" t="s">
        <v>21</v>
      </c>
      <c r="N1606" s="1">
        <v>44341.809027777781</v>
      </c>
      <c r="O1606" t="s">
        <v>19</v>
      </c>
    </row>
    <row r="1607" spans="1:15" x14ac:dyDescent="0.25">
      <c r="A1607" t="s">
        <v>1459</v>
      </c>
      <c r="B1607" t="s">
        <v>15</v>
      </c>
      <c r="C1607" t="s">
        <v>23</v>
      </c>
      <c r="D1607" t="s">
        <v>17</v>
      </c>
      <c r="E1607" t="s">
        <v>18</v>
      </c>
      <c r="F1607" t="s">
        <v>19</v>
      </c>
      <c r="G1607" t="s">
        <v>20</v>
      </c>
      <c r="J1607" t="s">
        <v>17</v>
      </c>
      <c r="K1607" t="str">
        <f>"7858816041075"</f>
        <v>7858816041075</v>
      </c>
      <c r="L1607" t="str">
        <f>"87084107"</f>
        <v>87084107</v>
      </c>
      <c r="M1607" t="s">
        <v>21</v>
      </c>
      <c r="N1607" s="1">
        <v>43595.79791666667</v>
      </c>
      <c r="O1607" t="s">
        <v>19</v>
      </c>
    </row>
    <row r="1608" spans="1:15" x14ac:dyDescent="0.25">
      <c r="A1608" t="s">
        <v>1460</v>
      </c>
      <c r="B1608" t="s">
        <v>15</v>
      </c>
      <c r="C1608" t="s">
        <v>23</v>
      </c>
      <c r="D1608" t="s">
        <v>17</v>
      </c>
      <c r="E1608" t="s">
        <v>18</v>
      </c>
      <c r="F1608" t="s">
        <v>19</v>
      </c>
      <c r="G1608" t="s">
        <v>20</v>
      </c>
      <c r="J1608" t="s">
        <v>17</v>
      </c>
      <c r="K1608" t="str">
        <f>"7858816062247"</f>
        <v>7858816062247</v>
      </c>
      <c r="L1608" t="str">
        <f>"87086224"</f>
        <v>87086224</v>
      </c>
      <c r="M1608" t="s">
        <v>21</v>
      </c>
      <c r="N1608" s="1">
        <v>44356.677083333336</v>
      </c>
      <c r="O1608" t="s">
        <v>19</v>
      </c>
    </row>
    <row r="1609" spans="1:15" x14ac:dyDescent="0.25">
      <c r="A1609" t="s">
        <v>1461</v>
      </c>
      <c r="B1609" t="s">
        <v>15</v>
      </c>
      <c r="C1609" t="s">
        <v>23</v>
      </c>
      <c r="D1609" t="s">
        <v>17</v>
      </c>
      <c r="E1609" t="s">
        <v>18</v>
      </c>
      <c r="F1609" t="s">
        <v>19</v>
      </c>
      <c r="G1609" t="s">
        <v>20</v>
      </c>
      <c r="J1609" t="s">
        <v>17</v>
      </c>
      <c r="K1609" t="str">
        <f>"7858816078118"</f>
        <v>7858816078118</v>
      </c>
      <c r="L1609" t="str">
        <f>"87087811"</f>
        <v>87087811</v>
      </c>
      <c r="M1609" t="s">
        <v>21</v>
      </c>
      <c r="N1609" s="1">
        <v>43609.791666666664</v>
      </c>
      <c r="O1609" t="s">
        <v>19</v>
      </c>
    </row>
    <row r="1610" spans="1:15" x14ac:dyDescent="0.25">
      <c r="A1610" t="s">
        <v>1462</v>
      </c>
      <c r="B1610" t="s">
        <v>15</v>
      </c>
      <c r="C1610" t="s">
        <v>23</v>
      </c>
      <c r="D1610" t="s">
        <v>17</v>
      </c>
      <c r="E1610" t="s">
        <v>18</v>
      </c>
      <c r="F1610" t="s">
        <v>19</v>
      </c>
      <c r="G1610" t="s">
        <v>20</v>
      </c>
      <c r="J1610" t="s">
        <v>17</v>
      </c>
      <c r="K1610" t="str">
        <f>"7858816078170"</f>
        <v>7858816078170</v>
      </c>
      <c r="L1610" t="str">
        <f>"87087817"</f>
        <v>87087817</v>
      </c>
      <c r="M1610" t="s">
        <v>21</v>
      </c>
      <c r="N1610" s="1">
        <v>44356.931944444441</v>
      </c>
      <c r="O1610" t="s">
        <v>19</v>
      </c>
    </row>
    <row r="1611" spans="1:15" x14ac:dyDescent="0.25">
      <c r="A1611" t="s">
        <v>1463</v>
      </c>
      <c r="B1611" t="s">
        <v>15</v>
      </c>
      <c r="C1611" t="s">
        <v>23</v>
      </c>
      <c r="D1611" t="s">
        <v>17</v>
      </c>
      <c r="E1611" t="s">
        <v>18</v>
      </c>
      <c r="F1611" t="s">
        <v>19</v>
      </c>
      <c r="G1611" t="s">
        <v>20</v>
      </c>
      <c r="J1611" t="s">
        <v>17</v>
      </c>
      <c r="K1611" t="str">
        <f>"7858816083761"</f>
        <v>7858816083761</v>
      </c>
      <c r="L1611" t="str">
        <f>"87088376"</f>
        <v>87088376</v>
      </c>
      <c r="M1611" t="s">
        <v>21</v>
      </c>
      <c r="N1611" s="1">
        <v>44356.689583333333</v>
      </c>
      <c r="O1611" t="s">
        <v>19</v>
      </c>
    </row>
    <row r="1612" spans="1:15" x14ac:dyDescent="0.25">
      <c r="A1612" t="s">
        <v>1464</v>
      </c>
      <c r="B1612" t="s">
        <v>15</v>
      </c>
      <c r="C1612" t="s">
        <v>23</v>
      </c>
      <c r="D1612" t="s">
        <v>17</v>
      </c>
      <c r="E1612" t="s">
        <v>18</v>
      </c>
      <c r="F1612" t="s">
        <v>19</v>
      </c>
      <c r="G1612" t="s">
        <v>20</v>
      </c>
      <c r="J1612" t="s">
        <v>17</v>
      </c>
      <c r="K1612" t="str">
        <f>"7858816083952"</f>
        <v>7858816083952</v>
      </c>
      <c r="L1612" t="str">
        <f>"87088395"</f>
        <v>87088395</v>
      </c>
      <c r="M1612" t="s">
        <v>21</v>
      </c>
      <c r="N1612" s="1">
        <v>44356.87777777778</v>
      </c>
      <c r="O1612" t="s">
        <v>19</v>
      </c>
    </row>
    <row r="1613" spans="1:15" x14ac:dyDescent="0.25">
      <c r="A1613" t="s">
        <v>1465</v>
      </c>
      <c r="B1613" t="s">
        <v>15</v>
      </c>
      <c r="C1613" t="s">
        <v>23</v>
      </c>
      <c r="D1613" t="s">
        <v>17</v>
      </c>
      <c r="E1613" t="s">
        <v>18</v>
      </c>
      <c r="F1613" t="s">
        <v>19</v>
      </c>
      <c r="G1613" t="s">
        <v>20</v>
      </c>
      <c r="J1613" t="s">
        <v>17</v>
      </c>
      <c r="K1613" t="str">
        <f>"6956116793487"</f>
        <v>6956116793487</v>
      </c>
      <c r="L1613" t="str">
        <f>"40080118"</f>
        <v>40080118</v>
      </c>
      <c r="M1613" t="s">
        <v>21</v>
      </c>
      <c r="N1613" s="1">
        <v>43125.631249999999</v>
      </c>
      <c r="O1613" t="s">
        <v>19</v>
      </c>
    </row>
    <row r="1614" spans="1:15" x14ac:dyDescent="0.25">
      <c r="A1614" t="s">
        <v>1466</v>
      </c>
      <c r="B1614" t="s">
        <v>15</v>
      </c>
      <c r="C1614" t="s">
        <v>23</v>
      </c>
      <c r="D1614" t="s">
        <v>17</v>
      </c>
      <c r="E1614" t="s">
        <v>18</v>
      </c>
      <c r="F1614" t="s">
        <v>19</v>
      </c>
      <c r="G1614" t="s">
        <v>20</v>
      </c>
      <c r="J1614" t="s">
        <v>17</v>
      </c>
      <c r="K1614" t="str">
        <f>"6954851258698"</f>
        <v>6954851258698</v>
      </c>
      <c r="L1614" t="str">
        <f>"13088698"</f>
        <v>13088698</v>
      </c>
      <c r="M1614" t="s">
        <v>21</v>
      </c>
      <c r="N1614" s="1">
        <v>44348.661111111112</v>
      </c>
      <c r="O1614" t="s">
        <v>19</v>
      </c>
    </row>
    <row r="1615" spans="1:15" x14ac:dyDescent="0.25">
      <c r="A1615" t="s">
        <v>1467</v>
      </c>
      <c r="B1615" t="s">
        <v>15</v>
      </c>
      <c r="C1615" t="s">
        <v>23</v>
      </c>
      <c r="D1615" t="s">
        <v>17</v>
      </c>
      <c r="E1615" t="s">
        <v>18</v>
      </c>
      <c r="F1615" t="s">
        <v>19</v>
      </c>
      <c r="G1615" t="s">
        <v>20</v>
      </c>
      <c r="J1615" t="s">
        <v>17</v>
      </c>
      <c r="K1615" t="str">
        <f>"6954851258674"</f>
        <v>6954851258674</v>
      </c>
      <c r="L1615" t="str">
        <f>"13088674"</f>
        <v>13088674</v>
      </c>
      <c r="M1615" t="s">
        <v>21</v>
      </c>
      <c r="N1615" s="1">
        <v>44348.647916666669</v>
      </c>
      <c r="O1615" t="s">
        <v>19</v>
      </c>
    </row>
    <row r="1616" spans="1:15" x14ac:dyDescent="0.25">
      <c r="A1616" t="s">
        <v>1468</v>
      </c>
      <c r="B1616" t="s">
        <v>15</v>
      </c>
      <c r="C1616" t="s">
        <v>23</v>
      </c>
      <c r="D1616" t="s">
        <v>17</v>
      </c>
      <c r="E1616" t="s">
        <v>18</v>
      </c>
      <c r="F1616" t="s">
        <v>19</v>
      </c>
      <c r="G1616" t="s">
        <v>20</v>
      </c>
      <c r="J1616" t="s">
        <v>17</v>
      </c>
      <c r="K1616" t="str">
        <f>"6954851258681"</f>
        <v>6954851258681</v>
      </c>
      <c r="L1616" t="str">
        <f>"13088681"</f>
        <v>13088681</v>
      </c>
      <c r="M1616" t="s">
        <v>21</v>
      </c>
      <c r="N1616" s="1">
        <v>44348.660416666666</v>
      </c>
      <c r="O1616" t="s">
        <v>19</v>
      </c>
    </row>
    <row r="1617" spans="1:15" x14ac:dyDescent="0.25">
      <c r="A1617" t="s">
        <v>1469</v>
      </c>
      <c r="B1617" t="s">
        <v>15</v>
      </c>
      <c r="C1617" t="s">
        <v>23</v>
      </c>
      <c r="D1617" t="s">
        <v>17</v>
      </c>
      <c r="E1617" t="s">
        <v>18</v>
      </c>
      <c r="F1617" t="s">
        <v>19</v>
      </c>
      <c r="G1617" t="s">
        <v>20</v>
      </c>
      <c r="J1617" t="s">
        <v>17</v>
      </c>
      <c r="K1617" t="str">
        <f>"6972174153490"</f>
        <v>6972174153490</v>
      </c>
      <c r="L1617" t="str">
        <f>"6972174153483"</f>
        <v>6972174153483</v>
      </c>
      <c r="M1617" t="s">
        <v>21</v>
      </c>
      <c r="N1617" s="1">
        <v>44348.63958333333</v>
      </c>
      <c r="O1617" t="s">
        <v>19</v>
      </c>
    </row>
    <row r="1618" spans="1:15" x14ac:dyDescent="0.25">
      <c r="A1618" t="s">
        <v>1470</v>
      </c>
      <c r="B1618" t="s">
        <v>15</v>
      </c>
      <c r="C1618" t="s">
        <v>23</v>
      </c>
      <c r="D1618" t="s">
        <v>17</v>
      </c>
      <c r="E1618" t="s">
        <v>18</v>
      </c>
      <c r="F1618" t="s">
        <v>19</v>
      </c>
      <c r="G1618" t="s">
        <v>20</v>
      </c>
      <c r="J1618" t="s">
        <v>17</v>
      </c>
      <c r="K1618" t="str">
        <f>"6954851258667"</f>
        <v>6954851258667</v>
      </c>
      <c r="L1618" t="str">
        <f>"13088667"</f>
        <v>13088667</v>
      </c>
      <c r="M1618" t="s">
        <v>21</v>
      </c>
      <c r="N1618" s="1">
        <v>44348.647222222222</v>
      </c>
      <c r="O1618" t="s">
        <v>19</v>
      </c>
    </row>
    <row r="1619" spans="1:15" x14ac:dyDescent="0.25">
      <c r="A1619" t="s">
        <v>1471</v>
      </c>
      <c r="B1619" t="s">
        <v>15</v>
      </c>
      <c r="C1619" t="s">
        <v>23</v>
      </c>
      <c r="D1619" t="s">
        <v>17</v>
      </c>
      <c r="E1619" t="s">
        <v>18</v>
      </c>
      <c r="F1619" t="s">
        <v>19</v>
      </c>
      <c r="G1619" t="s">
        <v>20</v>
      </c>
      <c r="J1619" t="s">
        <v>17</v>
      </c>
      <c r="K1619" t="str">
        <f>"87000796"</f>
        <v>87000796</v>
      </c>
      <c r="L1619" t="str">
        <f>"87000796"</f>
        <v>87000796</v>
      </c>
      <c r="M1619" t="s">
        <v>75</v>
      </c>
      <c r="N1619" s="1">
        <v>42872.847222222219</v>
      </c>
      <c r="O1619" t="s">
        <v>19</v>
      </c>
    </row>
    <row r="1620" spans="1:15" x14ac:dyDescent="0.25">
      <c r="A1620" t="s">
        <v>1472</v>
      </c>
      <c r="B1620" t="s">
        <v>15</v>
      </c>
      <c r="C1620" t="s">
        <v>23</v>
      </c>
      <c r="D1620" t="s">
        <v>17</v>
      </c>
      <c r="E1620" t="s">
        <v>18</v>
      </c>
      <c r="F1620" t="s">
        <v>19</v>
      </c>
      <c r="G1620" t="s">
        <v>20</v>
      </c>
      <c r="J1620" t="s">
        <v>17</v>
      </c>
      <c r="K1620" t="str">
        <f>"87000786"</f>
        <v>87000786</v>
      </c>
      <c r="L1620" t="str">
        <f>"87000786"</f>
        <v>87000786</v>
      </c>
      <c r="M1620" t="s">
        <v>75</v>
      </c>
      <c r="N1620" s="1">
        <v>42872.847222222219</v>
      </c>
      <c r="O1620" t="s">
        <v>19</v>
      </c>
    </row>
    <row r="1621" spans="1:15" x14ac:dyDescent="0.25">
      <c r="A1621" t="s">
        <v>1473</v>
      </c>
      <c r="B1621" t="s">
        <v>15</v>
      </c>
      <c r="C1621" t="s">
        <v>23</v>
      </c>
      <c r="D1621" t="s">
        <v>17</v>
      </c>
      <c r="E1621" t="s">
        <v>18</v>
      </c>
      <c r="F1621" t="s">
        <v>19</v>
      </c>
      <c r="G1621" t="s">
        <v>20</v>
      </c>
      <c r="J1621" t="s">
        <v>17</v>
      </c>
      <c r="K1621" t="str">
        <f>"6925871600224"</f>
        <v>6925871600224</v>
      </c>
      <c r="L1621" t="str">
        <f>"22084343"</f>
        <v>22084343</v>
      </c>
      <c r="M1621" t="s">
        <v>21</v>
      </c>
      <c r="N1621" s="1">
        <v>44349.915972222225</v>
      </c>
      <c r="O1621" t="s">
        <v>19</v>
      </c>
    </row>
    <row r="1622" spans="1:15" x14ac:dyDescent="0.25">
      <c r="A1622" t="s">
        <v>1474</v>
      </c>
      <c r="B1622" t="s">
        <v>15</v>
      </c>
      <c r="C1622" t="s">
        <v>23</v>
      </c>
      <c r="D1622" t="s">
        <v>17</v>
      </c>
      <c r="E1622" t="s">
        <v>18</v>
      </c>
      <c r="F1622" t="s">
        <v>19</v>
      </c>
      <c r="G1622" t="s">
        <v>20</v>
      </c>
      <c r="J1622" t="s">
        <v>17</v>
      </c>
      <c r="K1622" t="str">
        <f>"22080125"</f>
        <v>22080125</v>
      </c>
      <c r="L1622" t="str">
        <f>"22080125"</f>
        <v>22080125</v>
      </c>
      <c r="M1622" t="s">
        <v>84</v>
      </c>
      <c r="N1622" s="1">
        <v>43350.59375</v>
      </c>
      <c r="O1622" t="s">
        <v>19</v>
      </c>
    </row>
    <row r="1623" spans="1:15" x14ac:dyDescent="0.25">
      <c r="A1623" t="s">
        <v>1475</v>
      </c>
      <c r="B1623" t="s">
        <v>15</v>
      </c>
      <c r="C1623" t="s">
        <v>23</v>
      </c>
      <c r="D1623" t="s">
        <v>17</v>
      </c>
      <c r="E1623" t="s">
        <v>18</v>
      </c>
      <c r="F1623" t="s">
        <v>19</v>
      </c>
      <c r="G1623" t="s">
        <v>20</v>
      </c>
      <c r="J1623" t="s">
        <v>17</v>
      </c>
      <c r="K1623" t="str">
        <f>"6746456798699"</f>
        <v>6746456798699</v>
      </c>
      <c r="L1623" t="str">
        <f>"40088699"</f>
        <v>40088699</v>
      </c>
      <c r="M1623" t="s">
        <v>21</v>
      </c>
      <c r="N1623" s="1">
        <v>44349.665972222225</v>
      </c>
      <c r="O1623" t="s">
        <v>19</v>
      </c>
    </row>
    <row r="1624" spans="1:15" x14ac:dyDescent="0.25">
      <c r="A1624" t="s">
        <v>1476</v>
      </c>
      <c r="B1624" t="s">
        <v>15</v>
      </c>
      <c r="C1624" t="s">
        <v>23</v>
      </c>
      <c r="D1624" t="s">
        <v>17</v>
      </c>
      <c r="E1624" t="s">
        <v>18</v>
      </c>
      <c r="F1624" t="s">
        <v>19</v>
      </c>
      <c r="G1624" t="s">
        <v>20</v>
      </c>
      <c r="J1624" t="s">
        <v>17</v>
      </c>
      <c r="K1624" t="str">
        <f>"9780201379624"</f>
        <v>9780201379624</v>
      </c>
      <c r="L1624" t="str">
        <f>"10002339"</f>
        <v>10002339</v>
      </c>
      <c r="M1624" t="s">
        <v>21</v>
      </c>
      <c r="N1624" s="1">
        <v>43596.640277777777</v>
      </c>
      <c r="O1624" t="s">
        <v>19</v>
      </c>
    </row>
    <row r="1625" spans="1:15" x14ac:dyDescent="0.25">
      <c r="A1625" t="s">
        <v>1477</v>
      </c>
      <c r="B1625" t="s">
        <v>15</v>
      </c>
      <c r="C1625" t="s">
        <v>23</v>
      </c>
      <c r="D1625" t="s">
        <v>17</v>
      </c>
      <c r="E1625" t="s">
        <v>18</v>
      </c>
      <c r="F1625" t="s">
        <v>19</v>
      </c>
      <c r="G1625" t="s">
        <v>20</v>
      </c>
      <c r="J1625" t="s">
        <v>18</v>
      </c>
      <c r="K1625" t="str">
        <f>"220817871"</f>
        <v>220817871</v>
      </c>
      <c r="L1625" t="str">
        <f>"220817871"</f>
        <v>220817871</v>
      </c>
      <c r="M1625" t="s">
        <v>21</v>
      </c>
      <c r="N1625" s="1">
        <v>44047.695833333331</v>
      </c>
      <c r="O1625" t="s">
        <v>19</v>
      </c>
    </row>
    <row r="1626" spans="1:15" x14ac:dyDescent="0.25">
      <c r="A1626" t="s">
        <v>1478</v>
      </c>
      <c r="B1626" t="s">
        <v>15</v>
      </c>
      <c r="C1626" t="s">
        <v>23</v>
      </c>
      <c r="D1626" t="s">
        <v>17</v>
      </c>
      <c r="E1626" t="s">
        <v>18</v>
      </c>
      <c r="F1626" t="s">
        <v>19</v>
      </c>
      <c r="G1626" t="s">
        <v>20</v>
      </c>
      <c r="J1626" t="s">
        <v>17</v>
      </c>
      <c r="K1626" t="str">
        <f>"8435606751100"</f>
        <v>8435606751100</v>
      </c>
      <c r="L1626" t="str">
        <f>"870815248"</f>
        <v>870815248</v>
      </c>
      <c r="M1626" t="s">
        <v>21</v>
      </c>
      <c r="N1626" s="1">
        <v>44356.690972222219</v>
      </c>
      <c r="O1626" t="s">
        <v>19</v>
      </c>
    </row>
    <row r="1627" spans="1:15" x14ac:dyDescent="0.25">
      <c r="A1627" t="s">
        <v>1479</v>
      </c>
      <c r="B1627" t="s">
        <v>15</v>
      </c>
      <c r="C1627" t="s">
        <v>23</v>
      </c>
      <c r="D1627" t="s">
        <v>17</v>
      </c>
      <c r="E1627" t="s">
        <v>18</v>
      </c>
      <c r="F1627" t="s">
        <v>19</v>
      </c>
      <c r="G1627" t="s">
        <v>20</v>
      </c>
      <c r="J1627" t="s">
        <v>17</v>
      </c>
      <c r="K1627" t="str">
        <f>"7858816075315"</f>
        <v>7858816075315</v>
      </c>
      <c r="L1627" t="str">
        <f>"87087531"</f>
        <v>87087531</v>
      </c>
      <c r="M1627" t="s">
        <v>21</v>
      </c>
      <c r="N1627" s="1">
        <v>43853.644444444442</v>
      </c>
      <c r="O1627" t="s">
        <v>19</v>
      </c>
    </row>
    <row r="1628" spans="1:15" x14ac:dyDescent="0.25">
      <c r="A1628" t="s">
        <v>1480</v>
      </c>
      <c r="B1628" t="s">
        <v>15</v>
      </c>
      <c r="C1628" t="s">
        <v>23</v>
      </c>
      <c r="D1628" t="s">
        <v>17</v>
      </c>
      <c r="E1628" t="s">
        <v>18</v>
      </c>
      <c r="F1628" t="s">
        <v>19</v>
      </c>
      <c r="G1628" t="s">
        <v>20</v>
      </c>
      <c r="J1628" t="s">
        <v>17</v>
      </c>
      <c r="K1628" t="str">
        <f>"87082124"</f>
        <v>87082124</v>
      </c>
      <c r="L1628" t="str">
        <f>"87082124"</f>
        <v>87082124</v>
      </c>
      <c r="M1628" t="s">
        <v>84</v>
      </c>
      <c r="N1628" s="1">
        <v>43252.730555555558</v>
      </c>
      <c r="O1628" t="s">
        <v>19</v>
      </c>
    </row>
    <row r="1629" spans="1:15" x14ac:dyDescent="0.25">
      <c r="A1629" t="s">
        <v>1481</v>
      </c>
      <c r="B1629" t="s">
        <v>15</v>
      </c>
      <c r="C1629" t="s">
        <v>23</v>
      </c>
      <c r="D1629" t="s">
        <v>17</v>
      </c>
      <c r="E1629" t="s">
        <v>18</v>
      </c>
      <c r="F1629" t="s">
        <v>19</v>
      </c>
      <c r="G1629" t="s">
        <v>20</v>
      </c>
      <c r="J1629" t="s">
        <v>17</v>
      </c>
      <c r="K1629" t="str">
        <f>"2018103552539"</f>
        <v>2018103552539</v>
      </c>
      <c r="L1629" t="str">
        <f>"18085253"</f>
        <v>18085253</v>
      </c>
      <c r="M1629" t="s">
        <v>21</v>
      </c>
      <c r="N1629" s="1">
        <v>43126.661111111112</v>
      </c>
      <c r="O1629" t="s">
        <v>19</v>
      </c>
    </row>
    <row r="1630" spans="1:15" x14ac:dyDescent="0.25">
      <c r="A1630" t="s">
        <v>1482</v>
      </c>
      <c r="B1630" t="s">
        <v>15</v>
      </c>
      <c r="C1630" t="s">
        <v>23</v>
      </c>
      <c r="D1630" t="s">
        <v>17</v>
      </c>
      <c r="E1630" t="s">
        <v>18</v>
      </c>
      <c r="F1630" t="s">
        <v>19</v>
      </c>
      <c r="G1630" t="s">
        <v>20</v>
      </c>
      <c r="J1630" t="s">
        <v>17</v>
      </c>
      <c r="K1630" t="str">
        <f>"2020050060388"</f>
        <v>2020050060388</v>
      </c>
      <c r="L1630" t="str">
        <f>"18086038"</f>
        <v>18086038</v>
      </c>
      <c r="M1630" t="s">
        <v>21</v>
      </c>
      <c r="N1630" s="1">
        <v>43609.794444444444</v>
      </c>
      <c r="O1630" t="s">
        <v>19</v>
      </c>
    </row>
    <row r="1631" spans="1:15" x14ac:dyDescent="0.25">
      <c r="A1631" t="s">
        <v>1483</v>
      </c>
      <c r="B1631" t="s">
        <v>15</v>
      </c>
      <c r="C1631" t="s">
        <v>23</v>
      </c>
      <c r="D1631" t="s">
        <v>17</v>
      </c>
      <c r="E1631" t="s">
        <v>18</v>
      </c>
      <c r="F1631" t="s">
        <v>19</v>
      </c>
      <c r="G1631" t="s">
        <v>20</v>
      </c>
      <c r="J1631" t="s">
        <v>17</v>
      </c>
      <c r="K1631" t="str">
        <f>"2020050061057"</f>
        <v>2020050061057</v>
      </c>
      <c r="L1631" t="str">
        <f>"18086105"</f>
        <v>18086105</v>
      </c>
      <c r="M1631" t="s">
        <v>21</v>
      </c>
      <c r="N1631" s="1">
        <v>43146.828472222223</v>
      </c>
      <c r="O1631" t="s">
        <v>19</v>
      </c>
    </row>
    <row r="1632" spans="1:15" x14ac:dyDescent="0.25">
      <c r="A1632" t="s">
        <v>1484</v>
      </c>
      <c r="B1632" t="s">
        <v>15</v>
      </c>
      <c r="C1632" t="s">
        <v>23</v>
      </c>
      <c r="D1632" t="s">
        <v>17</v>
      </c>
      <c r="E1632" t="s">
        <v>18</v>
      </c>
      <c r="F1632" t="s">
        <v>19</v>
      </c>
      <c r="G1632" t="s">
        <v>20</v>
      </c>
      <c r="J1632" t="s">
        <v>17</v>
      </c>
      <c r="K1632" t="str">
        <f>"6925871642170"</f>
        <v>6925871642170</v>
      </c>
      <c r="L1632" t="str">
        <f>"22084217"</f>
        <v>22084217</v>
      </c>
      <c r="M1632" t="s">
        <v>84</v>
      </c>
      <c r="N1632" s="1">
        <v>43173.675694444442</v>
      </c>
      <c r="O1632" t="s">
        <v>19</v>
      </c>
    </row>
    <row r="1633" spans="1:15" x14ac:dyDescent="0.25">
      <c r="A1633" t="s">
        <v>1485</v>
      </c>
      <c r="B1633" t="s">
        <v>15</v>
      </c>
      <c r="C1633" t="s">
        <v>23</v>
      </c>
      <c r="D1633" t="s">
        <v>17</v>
      </c>
      <c r="E1633" t="s">
        <v>18</v>
      </c>
      <c r="F1633" t="s">
        <v>19</v>
      </c>
      <c r="G1633" t="s">
        <v>20</v>
      </c>
      <c r="J1633" t="s">
        <v>17</v>
      </c>
      <c r="K1633" t="str">
        <f>"6925871642538"</f>
        <v>6925871642538</v>
      </c>
      <c r="L1633" t="str">
        <f>"22084253"</f>
        <v>22084253</v>
      </c>
      <c r="M1633" t="s">
        <v>21</v>
      </c>
      <c r="N1633" s="1">
        <v>43752.755555555559</v>
      </c>
      <c r="O1633" t="s">
        <v>19</v>
      </c>
    </row>
    <row r="1634" spans="1:15" x14ac:dyDescent="0.25">
      <c r="A1634" t="s">
        <v>1486</v>
      </c>
      <c r="B1634" t="s">
        <v>15</v>
      </c>
      <c r="C1634" t="s">
        <v>23</v>
      </c>
      <c r="D1634" t="s">
        <v>17</v>
      </c>
      <c r="E1634" t="s">
        <v>18</v>
      </c>
      <c r="F1634" t="s">
        <v>19</v>
      </c>
      <c r="G1634" t="s">
        <v>20</v>
      </c>
      <c r="J1634" t="s">
        <v>17</v>
      </c>
      <c r="K1634" t="str">
        <f>"6925871642545"</f>
        <v>6925871642545</v>
      </c>
      <c r="L1634" t="str">
        <f>"22084254"</f>
        <v>22084254</v>
      </c>
      <c r="M1634" t="s">
        <v>21</v>
      </c>
      <c r="N1634" s="1">
        <v>43752.756944444445</v>
      </c>
      <c r="O1634" t="s">
        <v>19</v>
      </c>
    </row>
    <row r="1635" spans="1:15" x14ac:dyDescent="0.25">
      <c r="A1635" t="s">
        <v>1487</v>
      </c>
      <c r="B1635" t="s">
        <v>15</v>
      </c>
      <c r="C1635" t="s">
        <v>23</v>
      </c>
      <c r="D1635" t="s">
        <v>17</v>
      </c>
      <c r="E1635" t="s">
        <v>18</v>
      </c>
      <c r="F1635" t="s">
        <v>19</v>
      </c>
      <c r="G1635" t="s">
        <v>20</v>
      </c>
      <c r="J1635" t="s">
        <v>17</v>
      </c>
      <c r="K1635" t="str">
        <f>"6925871642569"</f>
        <v>6925871642569</v>
      </c>
      <c r="L1635" t="str">
        <f>"22084256"</f>
        <v>22084256</v>
      </c>
      <c r="M1635" t="s">
        <v>21</v>
      </c>
      <c r="N1635" s="1">
        <v>43752.757638888892</v>
      </c>
      <c r="O1635" t="s">
        <v>19</v>
      </c>
    </row>
    <row r="1636" spans="1:15" x14ac:dyDescent="0.25">
      <c r="A1636" t="s">
        <v>1488</v>
      </c>
      <c r="B1636" t="s">
        <v>15</v>
      </c>
      <c r="C1636" t="s">
        <v>23</v>
      </c>
      <c r="D1636" t="s">
        <v>17</v>
      </c>
      <c r="E1636" t="s">
        <v>18</v>
      </c>
      <c r="F1636" t="s">
        <v>19</v>
      </c>
      <c r="G1636" t="s">
        <v>20</v>
      </c>
      <c r="J1636" t="s">
        <v>17</v>
      </c>
      <c r="K1636" t="str">
        <f>"86081010"</f>
        <v>86081010</v>
      </c>
      <c r="L1636" t="str">
        <f>"86081010"</f>
        <v>86081010</v>
      </c>
      <c r="M1636" t="s">
        <v>21</v>
      </c>
      <c r="N1636" s="1">
        <v>43665.75</v>
      </c>
      <c r="O1636" t="s">
        <v>19</v>
      </c>
    </row>
    <row r="1637" spans="1:15" x14ac:dyDescent="0.25">
      <c r="A1637" t="s">
        <v>1489</v>
      </c>
      <c r="B1637" t="s">
        <v>15</v>
      </c>
      <c r="C1637" t="s">
        <v>23</v>
      </c>
      <c r="D1637" t="s">
        <v>17</v>
      </c>
      <c r="E1637" t="s">
        <v>18</v>
      </c>
      <c r="F1637" t="s">
        <v>19</v>
      </c>
      <c r="G1637" t="s">
        <v>20</v>
      </c>
      <c r="J1637" t="s">
        <v>17</v>
      </c>
      <c r="K1637" t="str">
        <f>"7858816042867"</f>
        <v>7858816042867</v>
      </c>
      <c r="L1637" t="str">
        <f>"87084286"</f>
        <v>87084286</v>
      </c>
      <c r="M1637" t="s">
        <v>84</v>
      </c>
      <c r="N1637" s="1">
        <v>43252.726388888892</v>
      </c>
      <c r="O1637" t="s">
        <v>19</v>
      </c>
    </row>
    <row r="1638" spans="1:15" x14ac:dyDescent="0.25">
      <c r="A1638" t="s">
        <v>1490</v>
      </c>
      <c r="B1638" t="s">
        <v>15</v>
      </c>
      <c r="C1638" t="s">
        <v>23</v>
      </c>
      <c r="D1638" t="s">
        <v>17</v>
      </c>
      <c r="E1638" t="s">
        <v>18</v>
      </c>
      <c r="F1638" t="s">
        <v>19</v>
      </c>
      <c r="G1638" t="s">
        <v>20</v>
      </c>
      <c r="J1638" t="s">
        <v>17</v>
      </c>
      <c r="K1638" t="str">
        <f>"10111803"</f>
        <v>10111803</v>
      </c>
      <c r="L1638" t="str">
        <f>"10111803"</f>
        <v>10111803</v>
      </c>
      <c r="M1638" t="s">
        <v>21</v>
      </c>
      <c r="N1638" s="1">
        <v>43967.801388888889</v>
      </c>
      <c r="O1638" t="s">
        <v>19</v>
      </c>
    </row>
    <row r="1639" spans="1:15" x14ac:dyDescent="0.25">
      <c r="A1639" t="s">
        <v>1491</v>
      </c>
      <c r="B1639" t="s">
        <v>15</v>
      </c>
      <c r="C1639" t="s">
        <v>23</v>
      </c>
      <c r="D1639" t="s">
        <v>17</v>
      </c>
      <c r="E1639" t="s">
        <v>18</v>
      </c>
      <c r="F1639" t="s">
        <v>19</v>
      </c>
      <c r="G1639" t="s">
        <v>20</v>
      </c>
      <c r="J1639" t="s">
        <v>17</v>
      </c>
      <c r="K1639" t="str">
        <f>"6971083491686"</f>
        <v>6971083491686</v>
      </c>
      <c r="L1639" t="str">
        <f>"10011273"</f>
        <v>10011273</v>
      </c>
      <c r="M1639" t="s">
        <v>84</v>
      </c>
      <c r="N1639" s="1">
        <v>43510.686111111114</v>
      </c>
      <c r="O1639" t="s">
        <v>19</v>
      </c>
    </row>
    <row r="1640" spans="1:15" x14ac:dyDescent="0.25">
      <c r="A1640" t="s">
        <v>1492</v>
      </c>
      <c r="B1640" t="s">
        <v>15</v>
      </c>
      <c r="C1640" t="s">
        <v>23</v>
      </c>
      <c r="D1640" t="s">
        <v>17</v>
      </c>
      <c r="E1640" t="s">
        <v>18</v>
      </c>
      <c r="F1640" t="s">
        <v>19</v>
      </c>
      <c r="G1640" t="s">
        <v>20</v>
      </c>
      <c r="J1640" t="s">
        <v>17</v>
      </c>
      <c r="K1640" t="str">
        <f>"6999996231465"</f>
        <v>6999996231465</v>
      </c>
      <c r="L1640" t="str">
        <f>"10114234"</f>
        <v>10114234</v>
      </c>
      <c r="M1640" t="s">
        <v>21</v>
      </c>
      <c r="N1640" s="1">
        <v>43967.804861111108</v>
      </c>
      <c r="O1640" t="s">
        <v>19</v>
      </c>
    </row>
    <row r="1641" spans="1:15" x14ac:dyDescent="0.25">
      <c r="A1641" t="s">
        <v>1493</v>
      </c>
      <c r="B1641" t="s">
        <v>15</v>
      </c>
      <c r="C1641" t="s">
        <v>23</v>
      </c>
      <c r="D1641" t="s">
        <v>17</v>
      </c>
      <c r="E1641" t="s">
        <v>18</v>
      </c>
      <c r="F1641" t="s">
        <v>19</v>
      </c>
      <c r="G1641" t="s">
        <v>20</v>
      </c>
      <c r="J1641" t="s">
        <v>17</v>
      </c>
      <c r="K1641" t="str">
        <f>"6986591358567"</f>
        <v>6986591358567</v>
      </c>
      <c r="L1641" t="str">
        <f>"10116247"</f>
        <v>10116247</v>
      </c>
      <c r="M1641" t="s">
        <v>21</v>
      </c>
      <c r="N1641" s="1">
        <v>42872.839583333334</v>
      </c>
      <c r="O1641" t="s">
        <v>19</v>
      </c>
    </row>
    <row r="1642" spans="1:15" x14ac:dyDescent="0.25">
      <c r="A1642" t="s">
        <v>1494</v>
      </c>
      <c r="B1642" t="s">
        <v>15</v>
      </c>
      <c r="C1642" t="s">
        <v>23</v>
      </c>
      <c r="D1642" t="s">
        <v>17</v>
      </c>
      <c r="E1642" t="s">
        <v>18</v>
      </c>
      <c r="F1642" t="s">
        <v>19</v>
      </c>
      <c r="G1642" t="s">
        <v>20</v>
      </c>
      <c r="J1642" t="s">
        <v>17</v>
      </c>
      <c r="K1642" t="str">
        <f>"10011658"</f>
        <v>10011658</v>
      </c>
      <c r="L1642" t="str">
        <f>"10011658"</f>
        <v>10011658</v>
      </c>
      <c r="M1642" t="s">
        <v>21</v>
      </c>
      <c r="N1642" s="1">
        <v>43753.661111111112</v>
      </c>
      <c r="O1642" t="s">
        <v>19</v>
      </c>
    </row>
    <row r="1643" spans="1:15" x14ac:dyDescent="0.25">
      <c r="A1643" t="s">
        <v>1495</v>
      </c>
      <c r="B1643" t="s">
        <v>15</v>
      </c>
      <c r="C1643" t="s">
        <v>23</v>
      </c>
      <c r="D1643" t="s">
        <v>17</v>
      </c>
      <c r="E1643" t="s">
        <v>18</v>
      </c>
      <c r="F1643" t="s">
        <v>19</v>
      </c>
      <c r="G1643" t="s">
        <v>20</v>
      </c>
      <c r="J1643" t="s">
        <v>17</v>
      </c>
      <c r="K1643" t="str">
        <f>"10016245"</f>
        <v>10016245</v>
      </c>
      <c r="L1643" t="str">
        <f>"10016245"</f>
        <v>10016245</v>
      </c>
      <c r="M1643" t="s">
        <v>21</v>
      </c>
      <c r="N1643" s="1">
        <v>43495.92083333333</v>
      </c>
      <c r="O1643" t="s">
        <v>19</v>
      </c>
    </row>
    <row r="1644" spans="1:15" x14ac:dyDescent="0.25">
      <c r="A1644" t="s">
        <v>1496</v>
      </c>
      <c r="B1644" t="s">
        <v>15</v>
      </c>
      <c r="C1644" t="s">
        <v>23</v>
      </c>
      <c r="D1644" t="s">
        <v>17</v>
      </c>
      <c r="E1644" t="s">
        <v>18</v>
      </c>
      <c r="F1644" t="s">
        <v>19</v>
      </c>
      <c r="G1644" t="s">
        <v>20</v>
      </c>
      <c r="J1644" t="s">
        <v>17</v>
      </c>
      <c r="K1644" t="str">
        <f>"10002512"</f>
        <v>10002512</v>
      </c>
      <c r="L1644" t="str">
        <f>"10002512"</f>
        <v>10002512</v>
      </c>
      <c r="M1644" t="s">
        <v>21</v>
      </c>
      <c r="N1644" s="1">
        <v>43917.806250000001</v>
      </c>
      <c r="O1644" t="s">
        <v>19</v>
      </c>
    </row>
    <row r="1645" spans="1:15" x14ac:dyDescent="0.25">
      <c r="A1645" t="s">
        <v>1497</v>
      </c>
      <c r="B1645" t="s">
        <v>15</v>
      </c>
      <c r="C1645" t="s">
        <v>23</v>
      </c>
      <c r="D1645" t="s">
        <v>17</v>
      </c>
      <c r="E1645" t="s">
        <v>18</v>
      </c>
      <c r="F1645" t="s">
        <v>19</v>
      </c>
      <c r="G1645" t="s">
        <v>20</v>
      </c>
      <c r="J1645" t="s">
        <v>17</v>
      </c>
      <c r="K1645" t="str">
        <f>"680988393136"</f>
        <v>680988393136</v>
      </c>
      <c r="L1645" t="str">
        <f>"10002545"</f>
        <v>10002545</v>
      </c>
      <c r="M1645" t="s">
        <v>84</v>
      </c>
      <c r="N1645" s="1">
        <v>43571.973611111112</v>
      </c>
      <c r="O1645" t="s">
        <v>19</v>
      </c>
    </row>
    <row r="1646" spans="1:15" x14ac:dyDescent="0.25">
      <c r="A1646" t="s">
        <v>1498</v>
      </c>
      <c r="B1646" t="s">
        <v>15</v>
      </c>
      <c r="C1646" t="s">
        <v>23</v>
      </c>
      <c r="D1646" t="s">
        <v>17</v>
      </c>
      <c r="E1646" t="s">
        <v>18</v>
      </c>
      <c r="F1646" t="s">
        <v>19</v>
      </c>
      <c r="G1646" t="s">
        <v>20</v>
      </c>
      <c r="J1646" t="s">
        <v>17</v>
      </c>
      <c r="K1646" t="str">
        <f>"10002563"</f>
        <v>10002563</v>
      </c>
      <c r="L1646" t="str">
        <f>"10002563"</f>
        <v>10002563</v>
      </c>
      <c r="M1646" t="s">
        <v>21</v>
      </c>
      <c r="N1646" s="1">
        <v>42941.859722222223</v>
      </c>
      <c r="O1646" t="s">
        <v>19</v>
      </c>
    </row>
    <row r="1647" spans="1:15" x14ac:dyDescent="0.25">
      <c r="A1647" t="s">
        <v>1499</v>
      </c>
      <c r="B1647" t="s">
        <v>15</v>
      </c>
      <c r="C1647" t="s">
        <v>23</v>
      </c>
      <c r="D1647" t="s">
        <v>17</v>
      </c>
      <c r="E1647" t="s">
        <v>18</v>
      </c>
      <c r="F1647" t="s">
        <v>19</v>
      </c>
      <c r="G1647" t="s">
        <v>20</v>
      </c>
      <c r="J1647" t="s">
        <v>17</v>
      </c>
      <c r="K1647" t="str">
        <f>"10004106"</f>
        <v>10004106</v>
      </c>
      <c r="L1647" t="str">
        <f>"10004106"</f>
        <v>10004106</v>
      </c>
      <c r="M1647" t="s">
        <v>21</v>
      </c>
      <c r="N1647" s="1">
        <v>42872.847222222219</v>
      </c>
      <c r="O1647" t="s">
        <v>19</v>
      </c>
    </row>
    <row r="1648" spans="1:15" x14ac:dyDescent="0.25">
      <c r="A1648" t="s">
        <v>1500</v>
      </c>
      <c r="B1648" t="s">
        <v>15</v>
      </c>
      <c r="C1648" t="s">
        <v>23</v>
      </c>
      <c r="D1648" t="s">
        <v>17</v>
      </c>
      <c r="E1648" t="s">
        <v>18</v>
      </c>
      <c r="F1648" t="s">
        <v>19</v>
      </c>
      <c r="G1648" t="s">
        <v>20</v>
      </c>
      <c r="J1648" t="s">
        <v>17</v>
      </c>
      <c r="K1648" t="str">
        <f>"6656325558757"</f>
        <v>6656325558757</v>
      </c>
      <c r="L1648" t="str">
        <f>"10004143"</f>
        <v>10004143</v>
      </c>
      <c r="M1648" t="s">
        <v>84</v>
      </c>
      <c r="N1648" s="1">
        <v>43495.921527777777</v>
      </c>
      <c r="O1648" t="s">
        <v>19</v>
      </c>
    </row>
    <row r="1649" spans="1:15" x14ac:dyDescent="0.25">
      <c r="A1649" t="s">
        <v>1501</v>
      </c>
      <c r="B1649" t="s">
        <v>15</v>
      </c>
      <c r="C1649" t="s">
        <v>23</v>
      </c>
      <c r="D1649" t="s">
        <v>17</v>
      </c>
      <c r="E1649" t="s">
        <v>18</v>
      </c>
      <c r="F1649" t="s">
        <v>19</v>
      </c>
      <c r="G1649" t="s">
        <v>20</v>
      </c>
      <c r="J1649" t="s">
        <v>17</v>
      </c>
      <c r="K1649" t="str">
        <f>"10004212"</f>
        <v>10004212</v>
      </c>
      <c r="L1649" t="str">
        <f>"10004212"</f>
        <v>10004212</v>
      </c>
      <c r="M1649" t="s">
        <v>21</v>
      </c>
      <c r="N1649" s="1">
        <v>43854.7</v>
      </c>
      <c r="O1649" t="s">
        <v>19</v>
      </c>
    </row>
    <row r="1650" spans="1:15" x14ac:dyDescent="0.25">
      <c r="A1650" t="s">
        <v>1502</v>
      </c>
      <c r="B1650" t="s">
        <v>15</v>
      </c>
      <c r="C1650" t="s">
        <v>23</v>
      </c>
      <c r="D1650" t="s">
        <v>17</v>
      </c>
      <c r="E1650" t="s">
        <v>18</v>
      </c>
      <c r="F1650" t="s">
        <v>19</v>
      </c>
      <c r="G1650" t="s">
        <v>20</v>
      </c>
      <c r="J1650" t="s">
        <v>17</v>
      </c>
      <c r="K1650" t="str">
        <f>"6970476549300"</f>
        <v>6970476549300</v>
      </c>
      <c r="L1650" t="str">
        <f>"10004248"</f>
        <v>10004248</v>
      </c>
      <c r="M1650" t="s">
        <v>21</v>
      </c>
      <c r="N1650" s="1">
        <v>43854.699305555558</v>
      </c>
      <c r="O1650" t="s">
        <v>19</v>
      </c>
    </row>
    <row r="1651" spans="1:15" x14ac:dyDescent="0.25">
      <c r="A1651" t="s">
        <v>1503</v>
      </c>
      <c r="B1651" t="s">
        <v>15</v>
      </c>
      <c r="C1651" t="s">
        <v>23</v>
      </c>
      <c r="D1651" t="s">
        <v>17</v>
      </c>
      <c r="E1651" t="s">
        <v>18</v>
      </c>
      <c r="F1651" t="s">
        <v>19</v>
      </c>
      <c r="G1651" t="s">
        <v>20</v>
      </c>
      <c r="J1651" t="s">
        <v>17</v>
      </c>
      <c r="K1651" t="str">
        <f>"10000488"</f>
        <v>10000488</v>
      </c>
      <c r="L1651" t="str">
        <f>"10000488"</f>
        <v>10000488</v>
      </c>
      <c r="M1651" t="s">
        <v>84</v>
      </c>
      <c r="N1651" s="1">
        <v>43546.636111111111</v>
      </c>
      <c r="O1651" t="s">
        <v>19</v>
      </c>
    </row>
    <row r="1652" spans="1:15" x14ac:dyDescent="0.25">
      <c r="A1652" t="s">
        <v>1504</v>
      </c>
      <c r="B1652" t="s">
        <v>15</v>
      </c>
      <c r="C1652" t="s">
        <v>23</v>
      </c>
      <c r="D1652" t="s">
        <v>17</v>
      </c>
      <c r="E1652" t="s">
        <v>18</v>
      </c>
      <c r="F1652" t="s">
        <v>19</v>
      </c>
      <c r="G1652" t="s">
        <v>20</v>
      </c>
      <c r="J1652" t="s">
        <v>17</v>
      </c>
      <c r="K1652" t="str">
        <f>"10000659"</f>
        <v>10000659</v>
      </c>
      <c r="L1652" t="str">
        <f>"10000659"</f>
        <v>10000659</v>
      </c>
      <c r="M1652" t="s">
        <v>75</v>
      </c>
      <c r="N1652" s="1">
        <v>42872.839583333334</v>
      </c>
      <c r="O1652" t="s">
        <v>19</v>
      </c>
    </row>
    <row r="1653" spans="1:15" x14ac:dyDescent="0.25">
      <c r="A1653" t="s">
        <v>1505</v>
      </c>
      <c r="B1653" t="s">
        <v>15</v>
      </c>
      <c r="C1653" t="s">
        <v>23</v>
      </c>
      <c r="D1653" t="s">
        <v>17</v>
      </c>
      <c r="E1653" t="s">
        <v>18</v>
      </c>
      <c r="F1653" t="s">
        <v>19</v>
      </c>
      <c r="G1653" t="s">
        <v>20</v>
      </c>
      <c r="J1653" t="s">
        <v>17</v>
      </c>
      <c r="K1653" t="str">
        <f>"1546896768666"</f>
        <v>1546896768666</v>
      </c>
      <c r="L1653" t="str">
        <f>"10007016"</f>
        <v>10007016</v>
      </c>
      <c r="M1653" t="s">
        <v>84</v>
      </c>
      <c r="N1653" s="1">
        <v>43495.922222222223</v>
      </c>
      <c r="O1653" t="s">
        <v>19</v>
      </c>
    </row>
    <row r="1654" spans="1:15" x14ac:dyDescent="0.25">
      <c r="A1654" t="s">
        <v>1506</v>
      </c>
      <c r="B1654" t="s">
        <v>15</v>
      </c>
      <c r="C1654" t="s">
        <v>23</v>
      </c>
      <c r="D1654" t="s">
        <v>17</v>
      </c>
      <c r="E1654" t="s">
        <v>18</v>
      </c>
      <c r="F1654" t="s">
        <v>19</v>
      </c>
      <c r="G1654" t="s">
        <v>20</v>
      </c>
      <c r="J1654" t="s">
        <v>18</v>
      </c>
      <c r="K1654" t="str">
        <f>"6959033842139"</f>
        <v>6959033842139</v>
      </c>
      <c r="L1654" t="str">
        <f>"98082528"</f>
        <v>98082528</v>
      </c>
      <c r="M1654" t="s">
        <v>84</v>
      </c>
      <c r="N1654" s="1">
        <v>43495.824999999997</v>
      </c>
      <c r="O1654" t="s">
        <v>19</v>
      </c>
    </row>
    <row r="1655" spans="1:15" x14ac:dyDescent="0.25">
      <c r="A1655" t="s">
        <v>1507</v>
      </c>
      <c r="B1655" t="s">
        <v>15</v>
      </c>
      <c r="C1655" t="s">
        <v>23</v>
      </c>
      <c r="D1655" t="s">
        <v>17</v>
      </c>
      <c r="E1655" t="s">
        <v>18</v>
      </c>
      <c r="F1655" t="s">
        <v>19</v>
      </c>
      <c r="G1655" t="s">
        <v>20</v>
      </c>
      <c r="J1655" t="s">
        <v>17</v>
      </c>
      <c r="K1655" t="str">
        <f>"6925871643375"</f>
        <v>6925871643375</v>
      </c>
      <c r="L1655" t="str">
        <f>"98080000"</f>
        <v>98080000</v>
      </c>
      <c r="M1655" t="s">
        <v>21</v>
      </c>
      <c r="N1655" s="1">
        <v>44321.842361111114</v>
      </c>
      <c r="O1655" t="s">
        <v>19</v>
      </c>
    </row>
    <row r="1656" spans="1:15" x14ac:dyDescent="0.25">
      <c r="A1656" t="s">
        <v>1508</v>
      </c>
      <c r="B1656" t="s">
        <v>15</v>
      </c>
      <c r="C1656" t="s">
        <v>23</v>
      </c>
      <c r="D1656" t="s">
        <v>17</v>
      </c>
      <c r="E1656" t="s">
        <v>18</v>
      </c>
      <c r="F1656" t="s">
        <v>19</v>
      </c>
      <c r="G1656" t="s">
        <v>20</v>
      </c>
      <c r="J1656" t="s">
        <v>17</v>
      </c>
      <c r="K1656" t="str">
        <f>"6925871643511"</f>
        <v>6925871643511</v>
      </c>
      <c r="L1656" t="str">
        <f>"98084351"</f>
        <v>98084351</v>
      </c>
      <c r="M1656" t="s">
        <v>21</v>
      </c>
      <c r="N1656" s="1">
        <v>44321.888888888891</v>
      </c>
      <c r="O1656" t="s">
        <v>19</v>
      </c>
    </row>
    <row r="1657" spans="1:15" x14ac:dyDescent="0.25">
      <c r="A1657" t="s">
        <v>1509</v>
      </c>
      <c r="B1657" t="s">
        <v>15</v>
      </c>
      <c r="C1657" t="s">
        <v>23</v>
      </c>
      <c r="D1657" t="s">
        <v>17</v>
      </c>
      <c r="E1657" t="s">
        <v>18</v>
      </c>
      <c r="F1657" t="s">
        <v>19</v>
      </c>
      <c r="G1657" t="s">
        <v>20</v>
      </c>
      <c r="J1657" t="s">
        <v>17</v>
      </c>
      <c r="K1657" t="str">
        <f>"22084516"</f>
        <v>22084516</v>
      </c>
      <c r="L1657" t="str">
        <f>"22084516"</f>
        <v>22084516</v>
      </c>
      <c r="M1657" t="s">
        <v>75</v>
      </c>
      <c r="N1657" s="1">
        <v>43218.819444444445</v>
      </c>
      <c r="O1657" t="s">
        <v>19</v>
      </c>
    </row>
    <row r="1658" spans="1:15" x14ac:dyDescent="0.25">
      <c r="A1658" t="s">
        <v>1510</v>
      </c>
      <c r="B1658" t="s">
        <v>15</v>
      </c>
      <c r="C1658" t="s">
        <v>23</v>
      </c>
      <c r="D1658" t="s">
        <v>17</v>
      </c>
      <c r="E1658" t="s">
        <v>18</v>
      </c>
      <c r="F1658" t="s">
        <v>19</v>
      </c>
      <c r="G1658" t="s">
        <v>20</v>
      </c>
      <c r="J1658" t="s">
        <v>17</v>
      </c>
      <c r="K1658" t="str">
        <f>"22084018"</f>
        <v>22084018</v>
      </c>
      <c r="L1658" t="str">
        <f>"22084018"</f>
        <v>22084018</v>
      </c>
      <c r="M1658" t="s">
        <v>21</v>
      </c>
      <c r="N1658" s="1">
        <v>43853.765972222223</v>
      </c>
      <c r="O1658" t="s">
        <v>19</v>
      </c>
    </row>
    <row r="1659" spans="1:15" x14ac:dyDescent="0.25">
      <c r="A1659" t="s">
        <v>1511</v>
      </c>
      <c r="B1659" t="s">
        <v>15</v>
      </c>
      <c r="C1659" t="s">
        <v>23</v>
      </c>
      <c r="D1659" t="s">
        <v>17</v>
      </c>
      <c r="E1659" t="s">
        <v>18</v>
      </c>
      <c r="F1659" t="s">
        <v>19</v>
      </c>
      <c r="G1659" t="s">
        <v>20</v>
      </c>
      <c r="J1659" t="s">
        <v>17</v>
      </c>
      <c r="K1659" t="str">
        <f>"22084019"</f>
        <v>22084019</v>
      </c>
      <c r="L1659" t="str">
        <f>"22084019"</f>
        <v>22084019</v>
      </c>
      <c r="M1659" t="s">
        <v>21</v>
      </c>
      <c r="N1659" s="1">
        <v>43752.741666666669</v>
      </c>
      <c r="O1659" t="s">
        <v>19</v>
      </c>
    </row>
    <row r="1660" spans="1:15" x14ac:dyDescent="0.25">
      <c r="A1660" t="s">
        <v>1512</v>
      </c>
      <c r="B1660" t="s">
        <v>15</v>
      </c>
      <c r="C1660" t="s">
        <v>23</v>
      </c>
      <c r="D1660" t="s">
        <v>17</v>
      </c>
      <c r="E1660" t="s">
        <v>18</v>
      </c>
      <c r="F1660" t="s">
        <v>19</v>
      </c>
      <c r="G1660" t="s">
        <v>20</v>
      </c>
      <c r="J1660" t="s">
        <v>17</v>
      </c>
      <c r="K1660" t="str">
        <f>"6925871641319"</f>
        <v>6925871641319</v>
      </c>
      <c r="L1660" t="str">
        <f>"22084131"</f>
        <v>22084131</v>
      </c>
      <c r="M1660" t="s">
        <v>84</v>
      </c>
      <c r="N1660" s="1">
        <v>43350.597916666666</v>
      </c>
      <c r="O1660" t="s">
        <v>19</v>
      </c>
    </row>
    <row r="1661" spans="1:15" x14ac:dyDescent="0.25">
      <c r="A1661" t="s">
        <v>1513</v>
      </c>
      <c r="B1661" t="s">
        <v>15</v>
      </c>
      <c r="C1661" t="s">
        <v>23</v>
      </c>
      <c r="D1661" t="s">
        <v>17</v>
      </c>
      <c r="E1661" t="s">
        <v>18</v>
      </c>
      <c r="F1661" t="s">
        <v>19</v>
      </c>
      <c r="G1661" t="s">
        <v>20</v>
      </c>
      <c r="J1661" t="s">
        <v>17</v>
      </c>
      <c r="K1661" t="str">
        <f>"6925871641470"</f>
        <v>6925871641470</v>
      </c>
      <c r="L1661" t="str">
        <f>"22084147"</f>
        <v>22084147</v>
      </c>
      <c r="M1661" t="s">
        <v>21</v>
      </c>
      <c r="N1661" s="1">
        <v>42872.847222222219</v>
      </c>
      <c r="O1661" t="s">
        <v>19</v>
      </c>
    </row>
    <row r="1662" spans="1:15" x14ac:dyDescent="0.25">
      <c r="A1662" t="s">
        <v>1514</v>
      </c>
      <c r="B1662" t="s">
        <v>15</v>
      </c>
      <c r="C1662" t="s">
        <v>23</v>
      </c>
      <c r="D1662" t="s">
        <v>17</v>
      </c>
      <c r="E1662" t="s">
        <v>18</v>
      </c>
      <c r="F1662" t="s">
        <v>19</v>
      </c>
      <c r="G1662" t="s">
        <v>20</v>
      </c>
      <c r="J1662" t="s">
        <v>17</v>
      </c>
      <c r="K1662" t="str">
        <f>"6925871641661"</f>
        <v>6925871641661</v>
      </c>
      <c r="L1662" t="str">
        <f>"22084166"</f>
        <v>22084166</v>
      </c>
      <c r="M1662" t="s">
        <v>84</v>
      </c>
      <c r="N1662" s="1">
        <v>43404.739583333336</v>
      </c>
      <c r="O1662" t="s">
        <v>19</v>
      </c>
    </row>
    <row r="1663" spans="1:15" x14ac:dyDescent="0.25">
      <c r="A1663" t="s">
        <v>1515</v>
      </c>
      <c r="B1663" t="s">
        <v>15</v>
      </c>
      <c r="C1663" t="s">
        <v>23</v>
      </c>
      <c r="D1663" t="s">
        <v>17</v>
      </c>
      <c r="E1663" t="s">
        <v>18</v>
      </c>
      <c r="F1663" t="s">
        <v>19</v>
      </c>
      <c r="G1663" t="s">
        <v>20</v>
      </c>
      <c r="J1663" t="s">
        <v>17</v>
      </c>
      <c r="K1663" t="str">
        <f>"6925871642385"</f>
        <v>6925871642385</v>
      </c>
      <c r="L1663" t="str">
        <f>"22084238"</f>
        <v>22084238</v>
      </c>
      <c r="M1663" t="s">
        <v>21</v>
      </c>
      <c r="N1663" s="1">
        <v>43853.822222222225</v>
      </c>
      <c r="O1663" t="s">
        <v>19</v>
      </c>
    </row>
    <row r="1664" spans="1:15" x14ac:dyDescent="0.25">
      <c r="A1664" t="s">
        <v>1516</v>
      </c>
      <c r="B1664" t="s">
        <v>15</v>
      </c>
      <c r="C1664" t="s">
        <v>23</v>
      </c>
      <c r="D1664" t="s">
        <v>17</v>
      </c>
      <c r="E1664" t="s">
        <v>18</v>
      </c>
      <c r="F1664" t="s">
        <v>19</v>
      </c>
      <c r="G1664" t="s">
        <v>20</v>
      </c>
      <c r="J1664" t="s">
        <v>17</v>
      </c>
      <c r="K1664" t="str">
        <f>"6925871643214"</f>
        <v>6925871643214</v>
      </c>
      <c r="L1664" t="str">
        <f>"22084321"</f>
        <v>22084321</v>
      </c>
      <c r="M1664" t="s">
        <v>21</v>
      </c>
      <c r="N1664" s="1">
        <v>43195.63958333333</v>
      </c>
      <c r="O1664" t="s">
        <v>19</v>
      </c>
    </row>
    <row r="1665" spans="1:15" x14ac:dyDescent="0.25">
      <c r="A1665" t="s">
        <v>1517</v>
      </c>
      <c r="B1665" t="s">
        <v>15</v>
      </c>
      <c r="C1665" t="s">
        <v>23</v>
      </c>
      <c r="D1665" t="s">
        <v>17</v>
      </c>
      <c r="E1665" t="s">
        <v>18</v>
      </c>
      <c r="F1665" t="s">
        <v>19</v>
      </c>
      <c r="G1665" t="s">
        <v>20</v>
      </c>
      <c r="J1665" t="s">
        <v>17</v>
      </c>
      <c r="K1665" t="str">
        <f>"6925871649247"</f>
        <v>6925871649247</v>
      </c>
      <c r="L1665" t="str">
        <f>"22084924"</f>
        <v>22084924</v>
      </c>
      <c r="M1665" t="s">
        <v>84</v>
      </c>
      <c r="N1665" s="1">
        <v>43545.907638888886</v>
      </c>
      <c r="O1665" t="s">
        <v>19</v>
      </c>
    </row>
    <row r="1666" spans="1:15" x14ac:dyDescent="0.25">
      <c r="A1666" t="s">
        <v>1518</v>
      </c>
      <c r="B1666" t="s">
        <v>15</v>
      </c>
      <c r="C1666" t="s">
        <v>23</v>
      </c>
      <c r="D1666" t="s">
        <v>17</v>
      </c>
      <c r="E1666" t="s">
        <v>18</v>
      </c>
      <c r="F1666" t="s">
        <v>19</v>
      </c>
      <c r="G1666" t="s">
        <v>20</v>
      </c>
      <c r="J1666" t="s">
        <v>17</v>
      </c>
      <c r="K1666" t="str">
        <f>"1100000342007"</f>
        <v>1100000342007</v>
      </c>
      <c r="L1666" t="str">
        <f>"92080374"</f>
        <v>92080374</v>
      </c>
      <c r="M1666" t="s">
        <v>21</v>
      </c>
      <c r="N1666" s="1">
        <v>43746.886111111111</v>
      </c>
      <c r="O1666" t="s">
        <v>19</v>
      </c>
    </row>
    <row r="1667" spans="1:15" x14ac:dyDescent="0.25">
      <c r="A1667" t="s">
        <v>1519</v>
      </c>
      <c r="B1667" t="s">
        <v>15</v>
      </c>
      <c r="C1667" t="s">
        <v>23</v>
      </c>
      <c r="D1667" t="s">
        <v>17</v>
      </c>
      <c r="E1667" t="s">
        <v>18</v>
      </c>
      <c r="F1667" t="s">
        <v>19</v>
      </c>
      <c r="G1667" t="s">
        <v>20</v>
      </c>
      <c r="J1667" t="s">
        <v>17</v>
      </c>
      <c r="K1667" t="str">
        <f>"86080500"</f>
        <v>86080500</v>
      </c>
      <c r="L1667" t="str">
        <f>"86080500"</f>
        <v>86080500</v>
      </c>
      <c r="M1667" t="s">
        <v>84</v>
      </c>
      <c r="N1667" s="1">
        <v>43355.896527777775</v>
      </c>
      <c r="O1667" t="s">
        <v>19</v>
      </c>
    </row>
    <row r="1668" spans="1:15" x14ac:dyDescent="0.25">
      <c r="A1668" t="s">
        <v>1520</v>
      </c>
      <c r="B1668" t="s">
        <v>15</v>
      </c>
      <c r="C1668" t="s">
        <v>23</v>
      </c>
      <c r="D1668" t="s">
        <v>17</v>
      </c>
      <c r="E1668" t="s">
        <v>18</v>
      </c>
      <c r="F1668" t="s">
        <v>19</v>
      </c>
      <c r="G1668" t="s">
        <v>20</v>
      </c>
      <c r="J1668" t="s">
        <v>17</v>
      </c>
      <c r="K1668" t="str">
        <f>"92080070"</f>
        <v>92080070</v>
      </c>
      <c r="L1668" t="str">
        <f>"92080070"</f>
        <v>92080070</v>
      </c>
      <c r="M1668" t="s">
        <v>21</v>
      </c>
      <c r="N1668" s="1">
        <v>43630.951388888891</v>
      </c>
      <c r="O1668" t="s">
        <v>19</v>
      </c>
    </row>
    <row r="1669" spans="1:15" x14ac:dyDescent="0.25">
      <c r="A1669" t="s">
        <v>1521</v>
      </c>
      <c r="B1669" t="s">
        <v>15</v>
      </c>
      <c r="C1669" t="s">
        <v>23</v>
      </c>
      <c r="D1669" t="s">
        <v>17</v>
      </c>
      <c r="E1669" t="s">
        <v>18</v>
      </c>
      <c r="F1669" t="s">
        <v>19</v>
      </c>
      <c r="G1669" t="s">
        <v>20</v>
      </c>
      <c r="J1669" t="s">
        <v>17</v>
      </c>
      <c r="K1669" t="str">
        <f>"6901443083718"</f>
        <v>6901443083718</v>
      </c>
      <c r="L1669" t="str">
        <f>"79HUE0AP70"</f>
        <v>79HUE0AP70</v>
      </c>
      <c r="M1669" t="s">
        <v>21</v>
      </c>
      <c r="N1669" s="1">
        <v>43665.74722222222</v>
      </c>
      <c r="O1669" t="s">
        <v>19</v>
      </c>
    </row>
    <row r="1670" spans="1:15" x14ac:dyDescent="0.25">
      <c r="A1670" t="s">
        <v>1520</v>
      </c>
      <c r="B1670" t="s">
        <v>15</v>
      </c>
      <c r="C1670" t="s">
        <v>23</v>
      </c>
      <c r="D1670" t="s">
        <v>17</v>
      </c>
      <c r="E1670" t="s">
        <v>18</v>
      </c>
      <c r="F1670" t="s">
        <v>19</v>
      </c>
      <c r="G1670" t="s">
        <v>20</v>
      </c>
      <c r="J1670" t="s">
        <v>17</v>
      </c>
      <c r="K1670" t="str">
        <f>"6901443225903"</f>
        <v>6901443225903</v>
      </c>
      <c r="L1670" t="str">
        <f>"63080570"</f>
        <v>63080570</v>
      </c>
      <c r="M1670" t="s">
        <v>21</v>
      </c>
      <c r="N1670" s="1">
        <v>43879.783333333333</v>
      </c>
      <c r="O1670" t="s">
        <v>19</v>
      </c>
    </row>
    <row r="1671" spans="1:15" x14ac:dyDescent="0.25">
      <c r="A1671" t="s">
        <v>1522</v>
      </c>
      <c r="B1671" t="s">
        <v>15</v>
      </c>
      <c r="C1671" t="s">
        <v>23</v>
      </c>
      <c r="D1671" t="s">
        <v>17</v>
      </c>
      <c r="E1671" t="s">
        <v>18</v>
      </c>
      <c r="F1671" t="s">
        <v>19</v>
      </c>
      <c r="G1671" t="s">
        <v>20</v>
      </c>
      <c r="J1671" t="s">
        <v>17</v>
      </c>
      <c r="K1671" t="str">
        <f>"7858816053375"</f>
        <v>7858816053375</v>
      </c>
      <c r="L1671" t="str">
        <f>"87085337"</f>
        <v>87085337</v>
      </c>
      <c r="M1671" t="s">
        <v>21</v>
      </c>
      <c r="N1671" s="1">
        <v>43889.906944444447</v>
      </c>
      <c r="O1671" t="s">
        <v>19</v>
      </c>
    </row>
    <row r="1672" spans="1:15" x14ac:dyDescent="0.25">
      <c r="A1672" t="s">
        <v>1523</v>
      </c>
      <c r="B1672" t="s">
        <v>15</v>
      </c>
      <c r="C1672" t="s">
        <v>23</v>
      </c>
      <c r="D1672" t="s">
        <v>17</v>
      </c>
      <c r="E1672" t="s">
        <v>18</v>
      </c>
      <c r="F1672" t="s">
        <v>19</v>
      </c>
      <c r="G1672" t="s">
        <v>20</v>
      </c>
      <c r="J1672" t="s">
        <v>17</v>
      </c>
      <c r="K1672" t="str">
        <f>"7858816055317"</f>
        <v>7858816055317</v>
      </c>
      <c r="L1672" t="str">
        <f>"87085531"</f>
        <v>87085531</v>
      </c>
      <c r="M1672" t="s">
        <v>21</v>
      </c>
      <c r="N1672" s="1">
        <v>43595.806250000001</v>
      </c>
      <c r="O1672" t="s">
        <v>19</v>
      </c>
    </row>
    <row r="1673" spans="1:15" x14ac:dyDescent="0.25">
      <c r="A1673" t="s">
        <v>1524</v>
      </c>
      <c r="B1673" t="s">
        <v>15</v>
      </c>
      <c r="C1673" t="s">
        <v>23</v>
      </c>
      <c r="D1673" t="s">
        <v>17</v>
      </c>
      <c r="E1673" t="s">
        <v>18</v>
      </c>
      <c r="F1673" t="s">
        <v>19</v>
      </c>
      <c r="G1673" t="s">
        <v>20</v>
      </c>
      <c r="J1673" t="s">
        <v>17</v>
      </c>
      <c r="K1673" t="str">
        <f>"7858816056147"</f>
        <v>7858816056147</v>
      </c>
      <c r="L1673" t="str">
        <f>"87085614"</f>
        <v>87085614</v>
      </c>
      <c r="M1673" t="s">
        <v>21</v>
      </c>
      <c r="N1673" s="1">
        <v>43853.652777777781</v>
      </c>
      <c r="O1673" t="s">
        <v>19</v>
      </c>
    </row>
    <row r="1674" spans="1:15" x14ac:dyDescent="0.25">
      <c r="A1674" t="s">
        <v>1525</v>
      </c>
      <c r="B1674" t="s">
        <v>15</v>
      </c>
      <c r="C1674" t="s">
        <v>23</v>
      </c>
      <c r="D1674" t="s">
        <v>17</v>
      </c>
      <c r="E1674" t="s">
        <v>18</v>
      </c>
      <c r="F1674" t="s">
        <v>19</v>
      </c>
      <c r="G1674" t="s">
        <v>20</v>
      </c>
      <c r="J1674" t="s">
        <v>17</v>
      </c>
      <c r="K1674" t="str">
        <f>"7858816073816"</f>
        <v>7858816073816</v>
      </c>
      <c r="L1674" t="str">
        <f>"87087381"</f>
        <v>87087381</v>
      </c>
      <c r="M1674" t="s">
        <v>21</v>
      </c>
      <c r="N1674" s="1">
        <v>43853.657638888886</v>
      </c>
      <c r="O1674" t="s">
        <v>19</v>
      </c>
    </row>
    <row r="1675" spans="1:15" x14ac:dyDescent="0.25">
      <c r="A1675" t="s">
        <v>1526</v>
      </c>
      <c r="B1675" t="s">
        <v>15</v>
      </c>
      <c r="C1675" t="s">
        <v>23</v>
      </c>
      <c r="D1675" t="s">
        <v>17</v>
      </c>
      <c r="E1675" t="s">
        <v>18</v>
      </c>
      <c r="F1675" t="s">
        <v>19</v>
      </c>
      <c r="G1675" t="s">
        <v>20</v>
      </c>
      <c r="J1675" t="s">
        <v>17</v>
      </c>
      <c r="K1675" t="str">
        <f>"7858816021145"</f>
        <v>7858816021145</v>
      </c>
      <c r="L1675" t="str">
        <f>"87082114"</f>
        <v>87082114</v>
      </c>
      <c r="M1675" t="s">
        <v>84</v>
      </c>
      <c r="N1675" s="1">
        <v>43146.847916666666</v>
      </c>
      <c r="O1675" t="s">
        <v>19</v>
      </c>
    </row>
    <row r="1676" spans="1:15" x14ac:dyDescent="0.25">
      <c r="A1676" t="s">
        <v>1527</v>
      </c>
      <c r="B1676" t="s">
        <v>15</v>
      </c>
      <c r="C1676" t="s">
        <v>23</v>
      </c>
      <c r="D1676" t="s">
        <v>17</v>
      </c>
      <c r="E1676" t="s">
        <v>18</v>
      </c>
      <c r="F1676" t="s">
        <v>19</v>
      </c>
      <c r="G1676" t="s">
        <v>20</v>
      </c>
      <c r="J1676" t="s">
        <v>17</v>
      </c>
      <c r="K1676" t="str">
        <f>"6995411110070"</f>
        <v>6995411110070</v>
      </c>
      <c r="L1676" t="str">
        <f>"76080002"</f>
        <v>76080002</v>
      </c>
      <c r="M1676" t="s">
        <v>21</v>
      </c>
      <c r="N1676" s="1">
        <v>43890.618055555555</v>
      </c>
      <c r="O1676" t="s">
        <v>19</v>
      </c>
    </row>
    <row r="1677" spans="1:15" x14ac:dyDescent="0.25">
      <c r="A1677" t="s">
        <v>1528</v>
      </c>
      <c r="B1677" t="s">
        <v>15</v>
      </c>
      <c r="C1677" t="s">
        <v>23</v>
      </c>
      <c r="D1677" t="s">
        <v>17</v>
      </c>
      <c r="E1677" t="s">
        <v>18</v>
      </c>
      <c r="F1677" t="s">
        <v>19</v>
      </c>
      <c r="G1677" t="s">
        <v>20</v>
      </c>
      <c r="J1677" t="s">
        <v>17</v>
      </c>
      <c r="K1677" t="str">
        <f>"6995411120017"</f>
        <v>6995411120017</v>
      </c>
      <c r="L1677" t="str">
        <f>"76080017"</f>
        <v>76080017</v>
      </c>
      <c r="M1677" t="s">
        <v>21</v>
      </c>
      <c r="N1677" s="1">
        <v>43890.614583333336</v>
      </c>
      <c r="O1677" t="s">
        <v>19</v>
      </c>
    </row>
    <row r="1678" spans="1:15" x14ac:dyDescent="0.25">
      <c r="A1678" t="s">
        <v>1529</v>
      </c>
      <c r="B1678" t="s">
        <v>15</v>
      </c>
      <c r="C1678" t="s">
        <v>23</v>
      </c>
      <c r="D1678" t="s">
        <v>17</v>
      </c>
      <c r="E1678" t="s">
        <v>18</v>
      </c>
      <c r="F1678" t="s">
        <v>19</v>
      </c>
      <c r="G1678" t="s">
        <v>20</v>
      </c>
      <c r="J1678" t="s">
        <v>17</v>
      </c>
      <c r="K1678" t="str">
        <f>"6995411330034"</f>
        <v>6995411330034</v>
      </c>
      <c r="L1678" t="str">
        <f>"78080034"</f>
        <v>78080034</v>
      </c>
      <c r="M1678" t="s">
        <v>21</v>
      </c>
      <c r="N1678" s="1">
        <v>44037.670138888891</v>
      </c>
      <c r="O1678" t="s">
        <v>19</v>
      </c>
    </row>
    <row r="1679" spans="1:15" x14ac:dyDescent="0.25">
      <c r="A1679" t="s">
        <v>1530</v>
      </c>
      <c r="B1679" t="s">
        <v>15</v>
      </c>
      <c r="C1679" t="s">
        <v>23</v>
      </c>
      <c r="D1679" t="s">
        <v>17</v>
      </c>
      <c r="E1679" t="s">
        <v>18</v>
      </c>
      <c r="F1679" t="s">
        <v>19</v>
      </c>
      <c r="G1679" t="s">
        <v>20</v>
      </c>
      <c r="J1679" t="s">
        <v>17</v>
      </c>
      <c r="K1679" t="str">
        <f>"6951613996386"</f>
        <v>6951613996386</v>
      </c>
      <c r="L1679" t="str">
        <f>"98081530"</f>
        <v>98081530</v>
      </c>
      <c r="M1679" t="s">
        <v>21</v>
      </c>
      <c r="N1679" s="1">
        <v>42872.839583333334</v>
      </c>
      <c r="O1679" t="s">
        <v>19</v>
      </c>
    </row>
    <row r="1680" spans="1:15" x14ac:dyDescent="0.25">
      <c r="A1680" t="s">
        <v>1531</v>
      </c>
      <c r="B1680" t="s">
        <v>15</v>
      </c>
      <c r="C1680" t="s">
        <v>23</v>
      </c>
      <c r="D1680" t="s">
        <v>17</v>
      </c>
      <c r="E1680" t="s">
        <v>18</v>
      </c>
      <c r="F1680" t="s">
        <v>19</v>
      </c>
      <c r="G1680" t="s">
        <v>20</v>
      </c>
      <c r="J1680" t="s">
        <v>17</v>
      </c>
      <c r="K1680" t="str">
        <f>"22080200"</f>
        <v>22080200</v>
      </c>
      <c r="L1680" t="str">
        <f>"22080200"</f>
        <v>22080200</v>
      </c>
      <c r="M1680" t="s">
        <v>21</v>
      </c>
      <c r="N1680" s="1">
        <v>43752.740972222222</v>
      </c>
      <c r="O1680" t="s">
        <v>19</v>
      </c>
    </row>
    <row r="1681" spans="1:15" x14ac:dyDescent="0.25">
      <c r="A1681" t="s">
        <v>1532</v>
      </c>
      <c r="B1681" t="s">
        <v>15</v>
      </c>
      <c r="C1681" t="s">
        <v>23</v>
      </c>
      <c r="D1681" t="s">
        <v>17</v>
      </c>
      <c r="E1681" t="s">
        <v>18</v>
      </c>
      <c r="F1681" t="s">
        <v>19</v>
      </c>
      <c r="G1681" t="s">
        <v>20</v>
      </c>
      <c r="J1681" t="s">
        <v>17</v>
      </c>
      <c r="K1681" t="str">
        <f>"79ORGDU4AW"</f>
        <v>79ORGDU4AW</v>
      </c>
      <c r="L1681" t="str">
        <f>"79ORGDU4AW"</f>
        <v>79ORGDU4AW</v>
      </c>
      <c r="M1681" t="s">
        <v>21</v>
      </c>
      <c r="N1681" s="1">
        <v>44001.659722222219</v>
      </c>
      <c r="O1681" t="s">
        <v>19</v>
      </c>
    </row>
    <row r="1682" spans="1:15" x14ac:dyDescent="0.25">
      <c r="A1682" t="s">
        <v>1533</v>
      </c>
      <c r="B1682" t="s">
        <v>15</v>
      </c>
      <c r="C1682" t="s">
        <v>23</v>
      </c>
      <c r="D1682" t="s">
        <v>17</v>
      </c>
      <c r="E1682" t="s">
        <v>18</v>
      </c>
      <c r="F1682" t="s">
        <v>19</v>
      </c>
      <c r="G1682" t="s">
        <v>20</v>
      </c>
      <c r="J1682" t="s">
        <v>17</v>
      </c>
      <c r="K1682" t="str">
        <f>"86081401"</f>
        <v>86081401</v>
      </c>
      <c r="L1682" t="str">
        <f>"86081401"</f>
        <v>86081401</v>
      </c>
      <c r="M1682" t="s">
        <v>84</v>
      </c>
      <c r="N1682" s="1">
        <v>43314.90902777778</v>
      </c>
      <c r="O1682" t="s">
        <v>19</v>
      </c>
    </row>
    <row r="1683" spans="1:15" x14ac:dyDescent="0.25">
      <c r="A1683" t="s">
        <v>1534</v>
      </c>
      <c r="B1683" t="s">
        <v>15</v>
      </c>
      <c r="C1683" t="s">
        <v>23</v>
      </c>
      <c r="D1683" t="s">
        <v>17</v>
      </c>
      <c r="E1683" t="s">
        <v>18</v>
      </c>
      <c r="F1683" t="s">
        <v>19</v>
      </c>
      <c r="G1683" t="s">
        <v>20</v>
      </c>
      <c r="J1683" t="s">
        <v>18</v>
      </c>
      <c r="K1683" t="str">
        <f>"54081400"</f>
        <v>54081400</v>
      </c>
      <c r="L1683" t="str">
        <f>"54081400"</f>
        <v>54081400</v>
      </c>
      <c r="M1683" t="s">
        <v>21</v>
      </c>
      <c r="N1683" s="1">
        <v>44210.739583333336</v>
      </c>
      <c r="O1683" t="s">
        <v>19</v>
      </c>
    </row>
    <row r="1684" spans="1:15" x14ac:dyDescent="0.25">
      <c r="A1684" t="s">
        <v>1534</v>
      </c>
      <c r="B1684" t="s">
        <v>15</v>
      </c>
      <c r="C1684" t="s">
        <v>23</v>
      </c>
      <c r="D1684" t="s">
        <v>17</v>
      </c>
      <c r="E1684" t="s">
        <v>18</v>
      </c>
      <c r="F1684" t="s">
        <v>19</v>
      </c>
      <c r="G1684" t="s">
        <v>20</v>
      </c>
      <c r="J1684" t="s">
        <v>17</v>
      </c>
      <c r="K1684" t="str">
        <f>"8806088359502"</f>
        <v>8806088359502</v>
      </c>
      <c r="L1684" t="str">
        <f>"54081414"</f>
        <v>54081414</v>
      </c>
      <c r="M1684" t="s">
        <v>21</v>
      </c>
      <c r="N1684" s="1">
        <v>44210.745833333334</v>
      </c>
      <c r="O1684" t="s">
        <v>19</v>
      </c>
    </row>
    <row r="1685" spans="1:15" x14ac:dyDescent="0.25">
      <c r="A1685" t="s">
        <v>1535</v>
      </c>
      <c r="B1685" t="s">
        <v>15</v>
      </c>
      <c r="C1685" t="s">
        <v>23</v>
      </c>
      <c r="D1685" t="s">
        <v>17</v>
      </c>
      <c r="E1685" t="s">
        <v>18</v>
      </c>
      <c r="F1685" t="s">
        <v>19</v>
      </c>
      <c r="G1685" t="s">
        <v>20</v>
      </c>
      <c r="J1685" t="s">
        <v>17</v>
      </c>
      <c r="K1685" t="str">
        <f>"6995411220033"</f>
        <v>6995411220033</v>
      </c>
      <c r="L1685" t="str">
        <f>"76080033"</f>
        <v>76080033</v>
      </c>
      <c r="M1685" t="s">
        <v>21</v>
      </c>
      <c r="N1685" s="1">
        <v>44210.870833333334</v>
      </c>
      <c r="O1685" t="s">
        <v>19</v>
      </c>
    </row>
    <row r="1686" spans="1:15" x14ac:dyDescent="0.25">
      <c r="A1686" t="s">
        <v>1536</v>
      </c>
      <c r="B1686" t="s">
        <v>15</v>
      </c>
      <c r="C1686" t="s">
        <v>23</v>
      </c>
      <c r="D1686" t="s">
        <v>17</v>
      </c>
      <c r="E1686" t="s">
        <v>18</v>
      </c>
      <c r="F1686" t="s">
        <v>19</v>
      </c>
      <c r="G1686" t="s">
        <v>20</v>
      </c>
      <c r="J1686" t="s">
        <v>17</v>
      </c>
      <c r="K1686" t="str">
        <f>"6995411220032"</f>
        <v>6995411220032</v>
      </c>
      <c r="L1686" t="str">
        <f>"76080032"</f>
        <v>76080032</v>
      </c>
      <c r="M1686" t="s">
        <v>21</v>
      </c>
      <c r="N1686" s="1">
        <v>44210.871527777781</v>
      </c>
      <c r="O1686" t="s">
        <v>19</v>
      </c>
    </row>
    <row r="1687" spans="1:15" x14ac:dyDescent="0.25">
      <c r="A1687" t="s">
        <v>1537</v>
      </c>
      <c r="B1687" t="s">
        <v>15</v>
      </c>
      <c r="C1687" t="s">
        <v>23</v>
      </c>
      <c r="D1687" t="s">
        <v>17</v>
      </c>
      <c r="E1687" t="s">
        <v>18</v>
      </c>
      <c r="F1687" t="s">
        <v>19</v>
      </c>
      <c r="G1687" t="s">
        <v>20</v>
      </c>
      <c r="J1687" t="s">
        <v>17</v>
      </c>
      <c r="K1687" t="str">
        <f>"7858816077173"</f>
        <v>7858816077173</v>
      </c>
      <c r="L1687" t="str">
        <f>"87087717"</f>
        <v>87087717</v>
      </c>
      <c r="M1687" t="s">
        <v>21</v>
      </c>
      <c r="N1687" s="1">
        <v>44404.734027777777</v>
      </c>
      <c r="O1687" t="s">
        <v>19</v>
      </c>
    </row>
    <row r="1688" spans="1:15" x14ac:dyDescent="0.25">
      <c r="A1688" t="s">
        <v>1538</v>
      </c>
      <c r="B1688" t="s">
        <v>15</v>
      </c>
      <c r="C1688" t="s">
        <v>23</v>
      </c>
      <c r="D1688" t="s">
        <v>17</v>
      </c>
      <c r="E1688" t="s">
        <v>18</v>
      </c>
      <c r="F1688" t="s">
        <v>19</v>
      </c>
      <c r="G1688" t="s">
        <v>20</v>
      </c>
      <c r="J1688" t="s">
        <v>17</v>
      </c>
      <c r="K1688" t="str">
        <f>"7867866109086"</f>
        <v>7867866109086</v>
      </c>
      <c r="L1688" t="str">
        <f>"22080908"</f>
        <v>22080908</v>
      </c>
      <c r="M1688" t="s">
        <v>21</v>
      </c>
      <c r="N1688" s="1">
        <v>43967.706944444442</v>
      </c>
      <c r="O1688" t="s">
        <v>19</v>
      </c>
    </row>
    <row r="1689" spans="1:15" x14ac:dyDescent="0.25">
      <c r="A1689" t="s">
        <v>1539</v>
      </c>
      <c r="B1689" t="s">
        <v>15</v>
      </c>
      <c r="C1689" t="s">
        <v>23</v>
      </c>
      <c r="D1689" t="s">
        <v>17</v>
      </c>
      <c r="E1689" t="s">
        <v>18</v>
      </c>
      <c r="F1689" t="s">
        <v>19</v>
      </c>
      <c r="G1689" t="s">
        <v>20</v>
      </c>
      <c r="J1689" t="s">
        <v>17</v>
      </c>
      <c r="K1689" t="str">
        <f>"6925871642293"</f>
        <v>6925871642293</v>
      </c>
      <c r="L1689" t="str">
        <f>"22084229"</f>
        <v>22084229</v>
      </c>
      <c r="M1689" t="s">
        <v>21</v>
      </c>
      <c r="N1689" s="1">
        <v>43853.768750000003</v>
      </c>
      <c r="O1689" t="s">
        <v>19</v>
      </c>
    </row>
    <row r="1690" spans="1:15" x14ac:dyDescent="0.25">
      <c r="A1690" t="s">
        <v>1540</v>
      </c>
      <c r="B1690" t="s">
        <v>15</v>
      </c>
      <c r="C1690" t="s">
        <v>23</v>
      </c>
      <c r="D1690" t="s">
        <v>17</v>
      </c>
      <c r="E1690" t="s">
        <v>18</v>
      </c>
      <c r="F1690" t="s">
        <v>19</v>
      </c>
      <c r="G1690" t="s">
        <v>20</v>
      </c>
      <c r="J1690" t="s">
        <v>17</v>
      </c>
      <c r="K1690" t="str">
        <f>"6925871643412"</f>
        <v>6925871643412</v>
      </c>
      <c r="L1690" t="str">
        <f>"22084341"</f>
        <v>22084341</v>
      </c>
      <c r="M1690" t="s">
        <v>21</v>
      </c>
      <c r="N1690" s="1">
        <v>43125.769444444442</v>
      </c>
      <c r="O1690" t="s">
        <v>19</v>
      </c>
    </row>
    <row r="1691" spans="1:15" x14ac:dyDescent="0.25">
      <c r="A1691" t="s">
        <v>1541</v>
      </c>
      <c r="B1691" t="s">
        <v>15</v>
      </c>
      <c r="C1691" t="s">
        <v>23</v>
      </c>
      <c r="D1691" t="s">
        <v>17</v>
      </c>
      <c r="E1691" t="s">
        <v>18</v>
      </c>
      <c r="F1691" t="s">
        <v>19</v>
      </c>
      <c r="G1691" t="s">
        <v>20</v>
      </c>
      <c r="J1691" t="s">
        <v>17</v>
      </c>
      <c r="K1691" t="str">
        <f>"7858816081521"</f>
        <v>7858816081521</v>
      </c>
      <c r="L1691" t="str">
        <f>"87088152"</f>
        <v>87088152</v>
      </c>
      <c r="M1691" t="s">
        <v>21</v>
      </c>
      <c r="N1691" s="1">
        <v>44211.89166666667</v>
      </c>
      <c r="O1691" t="s">
        <v>19</v>
      </c>
    </row>
    <row r="1692" spans="1:15" x14ac:dyDescent="0.25">
      <c r="A1692" t="s">
        <v>1542</v>
      </c>
      <c r="B1692" t="s">
        <v>15</v>
      </c>
      <c r="C1692" t="s">
        <v>23</v>
      </c>
      <c r="D1692" t="s">
        <v>17</v>
      </c>
      <c r="E1692" t="s">
        <v>18</v>
      </c>
      <c r="F1692" t="s">
        <v>19</v>
      </c>
      <c r="G1692" t="s">
        <v>20</v>
      </c>
      <c r="J1692" t="s">
        <v>17</v>
      </c>
      <c r="K1692" t="str">
        <f>"1000001075303"</f>
        <v>1000001075303</v>
      </c>
      <c r="L1692" t="str">
        <f>"76087479"</f>
        <v>76087479</v>
      </c>
      <c r="M1692" t="s">
        <v>84</v>
      </c>
      <c r="N1692" s="1">
        <v>42986.90625</v>
      </c>
      <c r="O1692" t="s">
        <v>19</v>
      </c>
    </row>
    <row r="1693" spans="1:15" x14ac:dyDescent="0.25">
      <c r="A1693" t="s">
        <v>1543</v>
      </c>
      <c r="B1693" t="s">
        <v>15</v>
      </c>
      <c r="C1693" t="s">
        <v>23</v>
      </c>
      <c r="D1693" t="s">
        <v>17</v>
      </c>
      <c r="E1693" t="s">
        <v>18</v>
      </c>
      <c r="F1693" t="s">
        <v>19</v>
      </c>
      <c r="G1693" t="s">
        <v>20</v>
      </c>
      <c r="J1693" t="s">
        <v>17</v>
      </c>
      <c r="K1693" t="str">
        <f>"22084518"</f>
        <v>22084518</v>
      </c>
      <c r="L1693" t="str">
        <f>"22084518"</f>
        <v>22084518</v>
      </c>
      <c r="M1693" t="s">
        <v>75</v>
      </c>
      <c r="N1693" s="1">
        <v>43125.815972222219</v>
      </c>
      <c r="O1693" t="s">
        <v>19</v>
      </c>
    </row>
    <row r="1694" spans="1:15" x14ac:dyDescent="0.25">
      <c r="A1694" t="s">
        <v>1544</v>
      </c>
      <c r="B1694" t="s">
        <v>15</v>
      </c>
      <c r="C1694" t="s">
        <v>23</v>
      </c>
      <c r="D1694" t="s">
        <v>17</v>
      </c>
      <c r="E1694" t="s">
        <v>18</v>
      </c>
      <c r="F1694" t="s">
        <v>19</v>
      </c>
      <c r="G1694" t="s">
        <v>20</v>
      </c>
      <c r="J1694" t="s">
        <v>18</v>
      </c>
      <c r="K1694" t="str">
        <f>"6902130638242"</f>
        <v>6902130638242</v>
      </c>
      <c r="L1694" t="str">
        <f>"22080801"</f>
        <v>22080801</v>
      </c>
      <c r="M1694" t="s">
        <v>21</v>
      </c>
      <c r="N1694" s="1">
        <v>44047.691666666666</v>
      </c>
      <c r="O1694" t="s">
        <v>19</v>
      </c>
    </row>
    <row r="1695" spans="1:15" x14ac:dyDescent="0.25">
      <c r="A1695" t="s">
        <v>1545</v>
      </c>
      <c r="B1695" t="s">
        <v>15</v>
      </c>
      <c r="C1695" t="s">
        <v>23</v>
      </c>
      <c r="D1695" t="s">
        <v>17</v>
      </c>
      <c r="E1695" t="s">
        <v>18</v>
      </c>
      <c r="F1695" t="s">
        <v>19</v>
      </c>
      <c r="G1695" t="s">
        <v>20</v>
      </c>
      <c r="J1695" t="s">
        <v>17</v>
      </c>
      <c r="K1695" t="str">
        <f>"22084148"</f>
        <v>22084148</v>
      </c>
      <c r="L1695" t="str">
        <f>"22084148"</f>
        <v>22084148</v>
      </c>
      <c r="M1695" t="s">
        <v>84</v>
      </c>
      <c r="N1695" s="1">
        <v>43369.760416666664</v>
      </c>
      <c r="O1695" t="s">
        <v>19</v>
      </c>
    </row>
    <row r="1696" spans="1:15" x14ac:dyDescent="0.25">
      <c r="A1696" t="s">
        <v>1546</v>
      </c>
      <c r="B1696" t="s">
        <v>15</v>
      </c>
      <c r="C1696" t="s">
        <v>31</v>
      </c>
      <c r="D1696" t="s">
        <v>17</v>
      </c>
      <c r="E1696" t="s">
        <v>18</v>
      </c>
      <c r="F1696" t="s">
        <v>19</v>
      </c>
      <c r="G1696" t="s">
        <v>20</v>
      </c>
      <c r="J1696" t="s">
        <v>17</v>
      </c>
      <c r="K1696" t="str">
        <f>"10006697"</f>
        <v>10006697</v>
      </c>
      <c r="L1696" t="str">
        <f>"10006697"</f>
        <v>10006697</v>
      </c>
      <c r="M1696" t="s">
        <v>75</v>
      </c>
      <c r="N1696" s="1">
        <v>42872.839583333334</v>
      </c>
      <c r="O1696" t="s">
        <v>19</v>
      </c>
    </row>
    <row r="1697" spans="1:15" x14ac:dyDescent="0.25">
      <c r="A1697" t="s">
        <v>1547</v>
      </c>
      <c r="B1697" t="s">
        <v>15</v>
      </c>
      <c r="C1697" t="s">
        <v>23</v>
      </c>
      <c r="D1697" t="s">
        <v>17</v>
      </c>
      <c r="E1697" t="s">
        <v>18</v>
      </c>
      <c r="F1697" t="s">
        <v>19</v>
      </c>
      <c r="G1697" t="s">
        <v>20</v>
      </c>
      <c r="J1697" t="s">
        <v>17</v>
      </c>
      <c r="K1697" t="str">
        <f>"8435350768508"</f>
        <v>8435350768508</v>
      </c>
      <c r="L1697" t="str">
        <f>"85080108"</f>
        <v>85080108</v>
      </c>
      <c r="M1697" t="s">
        <v>84</v>
      </c>
      <c r="N1697" s="1">
        <v>43347.849305555559</v>
      </c>
      <c r="O1697" t="s">
        <v>19</v>
      </c>
    </row>
    <row r="1698" spans="1:15" x14ac:dyDescent="0.25">
      <c r="A1698" t="s">
        <v>1548</v>
      </c>
      <c r="B1698" t="s">
        <v>15</v>
      </c>
      <c r="C1698" t="s">
        <v>23</v>
      </c>
      <c r="D1698" t="s">
        <v>17</v>
      </c>
      <c r="E1698" t="s">
        <v>18</v>
      </c>
      <c r="F1698" t="s">
        <v>19</v>
      </c>
      <c r="G1698" t="s">
        <v>20</v>
      </c>
      <c r="J1698" t="s">
        <v>17</v>
      </c>
      <c r="K1698" t="str">
        <f>"86081400"</f>
        <v>86081400</v>
      </c>
      <c r="L1698" t="str">
        <f>"86081400"</f>
        <v>86081400</v>
      </c>
      <c r="M1698" t="s">
        <v>75</v>
      </c>
      <c r="N1698" s="1">
        <v>42965.654166666667</v>
      </c>
      <c r="O1698" t="s">
        <v>19</v>
      </c>
    </row>
    <row r="1699" spans="1:15" x14ac:dyDescent="0.25">
      <c r="A1699" t="s">
        <v>1549</v>
      </c>
      <c r="B1699" t="s">
        <v>15</v>
      </c>
      <c r="C1699" t="s">
        <v>23</v>
      </c>
      <c r="D1699" t="s">
        <v>17</v>
      </c>
      <c r="E1699" t="s">
        <v>18</v>
      </c>
      <c r="F1699" t="s">
        <v>19</v>
      </c>
      <c r="G1699" t="s">
        <v>20</v>
      </c>
      <c r="J1699" t="s">
        <v>17</v>
      </c>
      <c r="K1699" t="str">
        <f>"025215494994"</f>
        <v>025215494994</v>
      </c>
      <c r="L1699" t="str">
        <f>"60087445"</f>
        <v>60087445</v>
      </c>
      <c r="M1699" t="s">
        <v>21</v>
      </c>
      <c r="N1699" s="1">
        <v>43566.630555555559</v>
      </c>
      <c r="O1699" t="s">
        <v>19</v>
      </c>
    </row>
    <row r="1700" spans="1:15" x14ac:dyDescent="0.25">
      <c r="A1700" t="s">
        <v>1550</v>
      </c>
      <c r="B1700" t="s">
        <v>15</v>
      </c>
      <c r="C1700" t="s">
        <v>31</v>
      </c>
      <c r="D1700" t="s">
        <v>17</v>
      </c>
      <c r="E1700" t="s">
        <v>18</v>
      </c>
      <c r="F1700" t="s">
        <v>19</v>
      </c>
      <c r="G1700" t="s">
        <v>20</v>
      </c>
      <c r="J1700" t="s">
        <v>17</v>
      </c>
      <c r="K1700" t="str">
        <f>"42600070"</f>
        <v>42600070</v>
      </c>
      <c r="L1700" t="str">
        <f>"42600070"</f>
        <v>42600070</v>
      </c>
      <c r="M1700" t="s">
        <v>75</v>
      </c>
      <c r="N1700" s="1">
        <v>42872.839583333334</v>
      </c>
      <c r="O1700" t="s">
        <v>19</v>
      </c>
    </row>
    <row r="1701" spans="1:15" x14ac:dyDescent="0.25">
      <c r="A1701" t="s">
        <v>1551</v>
      </c>
      <c r="B1701" t="s">
        <v>15</v>
      </c>
      <c r="C1701" t="s">
        <v>31</v>
      </c>
      <c r="D1701" t="s">
        <v>17</v>
      </c>
      <c r="E1701" t="s">
        <v>18</v>
      </c>
      <c r="F1701" t="s">
        <v>19</v>
      </c>
      <c r="G1701" t="s">
        <v>20</v>
      </c>
      <c r="J1701" t="s">
        <v>17</v>
      </c>
      <c r="K1701" t="str">
        <f>"98080001"</f>
        <v>98080001</v>
      </c>
      <c r="L1701" t="str">
        <f>"98080001"</f>
        <v>98080001</v>
      </c>
      <c r="M1701" t="s">
        <v>75</v>
      </c>
      <c r="N1701" s="1">
        <v>43236.673611111109</v>
      </c>
      <c r="O1701" t="s">
        <v>19</v>
      </c>
    </row>
    <row r="1702" spans="1:15" x14ac:dyDescent="0.25">
      <c r="A1702" t="s">
        <v>1552</v>
      </c>
      <c r="B1702" t="s">
        <v>15</v>
      </c>
      <c r="C1702" t="s">
        <v>31</v>
      </c>
      <c r="D1702" t="s">
        <v>17</v>
      </c>
      <c r="E1702" t="s">
        <v>18</v>
      </c>
      <c r="F1702" t="s">
        <v>19</v>
      </c>
      <c r="G1702" t="s">
        <v>20</v>
      </c>
      <c r="J1702" t="s">
        <v>17</v>
      </c>
      <c r="K1702" t="str">
        <f>"6022299500447"</f>
        <v>6022299500447</v>
      </c>
      <c r="L1702" t="str">
        <f>"40080447"</f>
        <v>40080447</v>
      </c>
      <c r="M1702" t="s">
        <v>21</v>
      </c>
      <c r="N1702" s="1">
        <v>44349.637499999997</v>
      </c>
      <c r="O1702" t="s">
        <v>19</v>
      </c>
    </row>
    <row r="1703" spans="1:15" x14ac:dyDescent="0.25">
      <c r="A1703" t="s">
        <v>1552</v>
      </c>
      <c r="B1703" t="s">
        <v>15</v>
      </c>
      <c r="C1703" t="s">
        <v>31</v>
      </c>
      <c r="D1703" t="s">
        <v>17</v>
      </c>
      <c r="E1703" t="s">
        <v>18</v>
      </c>
      <c r="F1703" t="s">
        <v>19</v>
      </c>
      <c r="G1703" t="s">
        <v>20</v>
      </c>
      <c r="J1703" t="s">
        <v>17</v>
      </c>
      <c r="K1703" t="str">
        <f>"6686996002453"</f>
        <v>6686996002453</v>
      </c>
      <c r="L1703" t="str">
        <f>"40082453"</f>
        <v>40082453</v>
      </c>
      <c r="M1703" t="s">
        <v>21</v>
      </c>
      <c r="N1703" s="1">
        <v>44435.65</v>
      </c>
      <c r="O1703" t="s">
        <v>19</v>
      </c>
    </row>
    <row r="1704" spans="1:15" x14ac:dyDescent="0.25">
      <c r="A1704" t="s">
        <v>1553</v>
      </c>
      <c r="B1704" t="s">
        <v>15</v>
      </c>
      <c r="C1704" t="s">
        <v>31</v>
      </c>
      <c r="D1704" t="s">
        <v>17</v>
      </c>
      <c r="E1704" t="s">
        <v>18</v>
      </c>
      <c r="F1704" t="s">
        <v>19</v>
      </c>
      <c r="G1704" t="s">
        <v>20</v>
      </c>
      <c r="J1704" t="s">
        <v>17</v>
      </c>
      <c r="K1704" t="str">
        <f>"29VGA50018"</f>
        <v>29VGA50018</v>
      </c>
      <c r="L1704" t="str">
        <f>"29VGA50018"</f>
        <v>29VGA50018</v>
      </c>
      <c r="M1704" t="s">
        <v>21</v>
      </c>
      <c r="N1704" s="1">
        <v>44001.663888888892</v>
      </c>
      <c r="O1704" t="s">
        <v>19</v>
      </c>
    </row>
    <row r="1705" spans="1:15" x14ac:dyDescent="0.25">
      <c r="A1705" t="s">
        <v>1553</v>
      </c>
      <c r="B1705" t="s">
        <v>15</v>
      </c>
      <c r="C1705" t="s">
        <v>31</v>
      </c>
      <c r="D1705" t="s">
        <v>17</v>
      </c>
      <c r="E1705" t="s">
        <v>18</v>
      </c>
      <c r="F1705" t="s">
        <v>19</v>
      </c>
      <c r="G1705" t="s">
        <v>20</v>
      </c>
      <c r="J1705" t="s">
        <v>17</v>
      </c>
      <c r="K1705" t="str">
        <f>"766623300735"</f>
        <v>766623300735</v>
      </c>
      <c r="L1705" t="str">
        <f>"56080735"</f>
        <v>56080735</v>
      </c>
      <c r="M1705" t="s">
        <v>21</v>
      </c>
      <c r="N1705" s="1">
        <v>44037.632638888892</v>
      </c>
      <c r="O1705" t="s">
        <v>19</v>
      </c>
    </row>
    <row r="1706" spans="1:15" x14ac:dyDescent="0.25">
      <c r="A1706" t="s">
        <v>1554</v>
      </c>
      <c r="B1706" t="s">
        <v>15</v>
      </c>
      <c r="C1706" t="s">
        <v>31</v>
      </c>
      <c r="D1706" t="s">
        <v>17</v>
      </c>
      <c r="E1706" t="s">
        <v>18</v>
      </c>
      <c r="F1706" t="s">
        <v>19</v>
      </c>
      <c r="G1706" t="s">
        <v>20</v>
      </c>
      <c r="J1706" t="s">
        <v>17</v>
      </c>
      <c r="K1706" t="str">
        <f>"10013286"</f>
        <v>10013286</v>
      </c>
      <c r="L1706" t="str">
        <f>"10013286"</f>
        <v>10013286</v>
      </c>
      <c r="M1706" t="s">
        <v>21</v>
      </c>
      <c r="N1706" s="1">
        <v>43307.938194444447</v>
      </c>
      <c r="O1706" t="s">
        <v>19</v>
      </c>
    </row>
    <row r="1707" spans="1:15" x14ac:dyDescent="0.25">
      <c r="A1707" t="s">
        <v>1555</v>
      </c>
      <c r="B1707" t="s">
        <v>15</v>
      </c>
      <c r="C1707" t="s">
        <v>31</v>
      </c>
      <c r="D1707" t="s">
        <v>17</v>
      </c>
      <c r="E1707" t="s">
        <v>18</v>
      </c>
      <c r="F1707" t="s">
        <v>19</v>
      </c>
      <c r="G1707" t="s">
        <v>20</v>
      </c>
      <c r="J1707" t="s">
        <v>17</v>
      </c>
      <c r="K1707" t="str">
        <f>"798302167162"</f>
        <v>798302167162</v>
      </c>
      <c r="L1707" t="str">
        <f>"92080308"</f>
        <v>92080308</v>
      </c>
      <c r="M1707" t="s">
        <v>21</v>
      </c>
      <c r="N1707" s="1">
        <v>43985.87222222222</v>
      </c>
      <c r="O1707" t="s">
        <v>19</v>
      </c>
    </row>
    <row r="1708" spans="1:15" x14ac:dyDescent="0.25">
      <c r="A1708" t="s">
        <v>1556</v>
      </c>
      <c r="B1708" t="s">
        <v>15</v>
      </c>
      <c r="C1708" t="s">
        <v>23</v>
      </c>
      <c r="D1708" t="s">
        <v>17</v>
      </c>
      <c r="E1708" t="s">
        <v>18</v>
      </c>
      <c r="F1708" t="s">
        <v>19</v>
      </c>
      <c r="G1708" t="s">
        <v>20</v>
      </c>
      <c r="J1708" t="s">
        <v>17</v>
      </c>
      <c r="K1708" t="str">
        <f>"1100000470007"</f>
        <v>1100000470007</v>
      </c>
      <c r="L1708" t="str">
        <f>"57081109"</f>
        <v>57081109</v>
      </c>
      <c r="M1708" t="s">
        <v>21</v>
      </c>
      <c r="N1708" s="1">
        <v>43503.861805555556</v>
      </c>
      <c r="O1708" t="s">
        <v>19</v>
      </c>
    </row>
    <row r="1709" spans="1:15" x14ac:dyDescent="0.25">
      <c r="A1709" t="s">
        <v>1557</v>
      </c>
      <c r="B1709" t="s">
        <v>15</v>
      </c>
      <c r="C1709" t="s">
        <v>37</v>
      </c>
      <c r="D1709" t="s">
        <v>17</v>
      </c>
      <c r="E1709" t="s">
        <v>18</v>
      </c>
      <c r="F1709" t="s">
        <v>19</v>
      </c>
      <c r="G1709" t="s">
        <v>20</v>
      </c>
      <c r="J1709" t="s">
        <v>17</v>
      </c>
      <c r="K1709" t="str">
        <f>"6925625440861"</f>
        <v>6925625440861</v>
      </c>
      <c r="L1709" t="str">
        <f>"22520185"</f>
        <v>22520185</v>
      </c>
      <c r="M1709" t="s">
        <v>21</v>
      </c>
      <c r="N1709" s="1">
        <v>43396.625694444447</v>
      </c>
      <c r="O1709" t="s">
        <v>19</v>
      </c>
    </row>
    <row r="1710" spans="1:15" x14ac:dyDescent="0.25">
      <c r="A1710" t="s">
        <v>1558</v>
      </c>
      <c r="B1710" t="s">
        <v>15</v>
      </c>
      <c r="C1710" t="s">
        <v>37</v>
      </c>
      <c r="D1710" t="s">
        <v>17</v>
      </c>
      <c r="E1710" t="s">
        <v>18</v>
      </c>
      <c r="F1710" t="s">
        <v>19</v>
      </c>
      <c r="G1710" t="s">
        <v>20</v>
      </c>
      <c r="J1710" t="s">
        <v>17</v>
      </c>
      <c r="K1710" t="str">
        <f>"4971850090663"</f>
        <v>4971850090663</v>
      </c>
      <c r="L1710" t="str">
        <f>"98520350"</f>
        <v>98520350</v>
      </c>
      <c r="M1710" t="s">
        <v>84</v>
      </c>
      <c r="N1710" s="1">
        <v>43566.696527777778</v>
      </c>
      <c r="O1710" t="s">
        <v>19</v>
      </c>
    </row>
    <row r="1711" spans="1:15" x14ac:dyDescent="0.25">
      <c r="A1711" t="s">
        <v>1559</v>
      </c>
      <c r="B1711" t="s">
        <v>15</v>
      </c>
      <c r="C1711" t="s">
        <v>37</v>
      </c>
      <c r="D1711" t="s">
        <v>17</v>
      </c>
      <c r="E1711" t="s">
        <v>18</v>
      </c>
      <c r="F1711" t="s">
        <v>19</v>
      </c>
      <c r="G1711" t="s">
        <v>20</v>
      </c>
      <c r="J1711" t="s">
        <v>17</v>
      </c>
      <c r="K1711" t="str">
        <f>"4971850090687"</f>
        <v>4971850090687</v>
      </c>
      <c r="L1711" t="str">
        <f>"98520570"</f>
        <v>98520570</v>
      </c>
      <c r="M1711" t="s">
        <v>84</v>
      </c>
      <c r="N1711" s="1">
        <v>43566.697222222225</v>
      </c>
      <c r="O1711" t="s">
        <v>19</v>
      </c>
    </row>
    <row r="1712" spans="1:15" x14ac:dyDescent="0.25">
      <c r="A1712" t="s">
        <v>1560</v>
      </c>
      <c r="B1712" t="s">
        <v>15</v>
      </c>
      <c r="C1712" t="s">
        <v>37</v>
      </c>
      <c r="D1712" t="s">
        <v>17</v>
      </c>
      <c r="E1712" t="s">
        <v>18</v>
      </c>
      <c r="F1712" t="s">
        <v>19</v>
      </c>
      <c r="G1712" t="s">
        <v>20</v>
      </c>
      <c r="J1712" t="s">
        <v>17</v>
      </c>
      <c r="K1712" t="str">
        <f>"4971850090328"</f>
        <v>4971850090328</v>
      </c>
      <c r="L1712" t="str">
        <f>"98520082"</f>
        <v>98520082</v>
      </c>
      <c r="M1712" t="s">
        <v>84</v>
      </c>
      <c r="N1712" s="1">
        <v>43531.618750000001</v>
      </c>
      <c r="O1712" t="s">
        <v>19</v>
      </c>
    </row>
    <row r="1713" spans="1:15" x14ac:dyDescent="0.25">
      <c r="A1713" t="s">
        <v>1561</v>
      </c>
      <c r="B1713" t="s">
        <v>15</v>
      </c>
      <c r="C1713" t="s">
        <v>37</v>
      </c>
      <c r="D1713" t="s">
        <v>17</v>
      </c>
      <c r="E1713" t="s">
        <v>18</v>
      </c>
      <c r="F1713" t="s">
        <v>19</v>
      </c>
      <c r="G1713" t="s">
        <v>20</v>
      </c>
      <c r="J1713" t="s">
        <v>17</v>
      </c>
      <c r="K1713" t="str">
        <f>"6925871603508"</f>
        <v>6925871603508</v>
      </c>
      <c r="L1713" t="str">
        <f>"22520350"</f>
        <v>22520350</v>
      </c>
      <c r="M1713" t="s">
        <v>75</v>
      </c>
      <c r="N1713" s="1">
        <v>43173.652777777781</v>
      </c>
      <c r="O1713" t="s">
        <v>19</v>
      </c>
    </row>
    <row r="1714" spans="1:15" x14ac:dyDescent="0.25">
      <c r="A1714" t="s">
        <v>1562</v>
      </c>
      <c r="B1714" t="s">
        <v>15</v>
      </c>
      <c r="C1714" t="s">
        <v>37</v>
      </c>
      <c r="D1714" t="s">
        <v>17</v>
      </c>
      <c r="E1714" t="s">
        <v>18</v>
      </c>
      <c r="F1714" t="s">
        <v>19</v>
      </c>
      <c r="G1714" t="s">
        <v>20</v>
      </c>
      <c r="J1714" t="s">
        <v>17</v>
      </c>
      <c r="K1714" t="str">
        <f>"22523500"</f>
        <v>22523500</v>
      </c>
      <c r="L1714" t="str">
        <f>"22523500"</f>
        <v>22523500</v>
      </c>
      <c r="M1714" t="s">
        <v>84</v>
      </c>
      <c r="N1714" s="1">
        <v>43535.586805555555</v>
      </c>
      <c r="O1714" t="s">
        <v>19</v>
      </c>
    </row>
    <row r="1715" spans="1:15" x14ac:dyDescent="0.25">
      <c r="A1715" t="s">
        <v>1562</v>
      </c>
      <c r="B1715" t="s">
        <v>15</v>
      </c>
      <c r="C1715" t="s">
        <v>37</v>
      </c>
      <c r="D1715" t="s">
        <v>17</v>
      </c>
      <c r="E1715" t="s">
        <v>18</v>
      </c>
      <c r="F1715" t="s">
        <v>19</v>
      </c>
      <c r="G1715" t="s">
        <v>20</v>
      </c>
      <c r="J1715" t="s">
        <v>17</v>
      </c>
      <c r="K1715" t="str">
        <f>"6953889023506"</f>
        <v>6953889023506</v>
      </c>
      <c r="L1715" t="str">
        <f>"98523506"</f>
        <v>98523506</v>
      </c>
      <c r="M1715" t="s">
        <v>21</v>
      </c>
      <c r="N1715" s="1">
        <v>44370.835416666669</v>
      </c>
      <c r="O1715" t="s">
        <v>19</v>
      </c>
    </row>
    <row r="1716" spans="1:15" x14ac:dyDescent="0.25">
      <c r="A1716" t="s">
        <v>1563</v>
      </c>
      <c r="B1716" t="s">
        <v>15</v>
      </c>
      <c r="C1716" t="s">
        <v>37</v>
      </c>
      <c r="D1716" t="s">
        <v>17</v>
      </c>
      <c r="E1716" t="s">
        <v>18</v>
      </c>
      <c r="F1716" t="s">
        <v>19</v>
      </c>
      <c r="G1716" t="s">
        <v>20</v>
      </c>
      <c r="J1716" t="s">
        <v>17</v>
      </c>
      <c r="K1716" t="str">
        <f>"6925871605700"</f>
        <v>6925871605700</v>
      </c>
      <c r="L1716" t="str">
        <f>"22520570"</f>
        <v>22520570</v>
      </c>
      <c r="M1716" t="s">
        <v>84</v>
      </c>
      <c r="N1716" s="1">
        <v>43350.620833333334</v>
      </c>
      <c r="O1716" t="s">
        <v>19</v>
      </c>
    </row>
    <row r="1717" spans="1:15" x14ac:dyDescent="0.25">
      <c r="A1717" t="s">
        <v>1564</v>
      </c>
      <c r="B1717" t="s">
        <v>15</v>
      </c>
      <c r="C1717" t="s">
        <v>37</v>
      </c>
      <c r="D1717" t="s">
        <v>17</v>
      </c>
      <c r="E1717" t="s">
        <v>18</v>
      </c>
      <c r="F1717" t="s">
        <v>19</v>
      </c>
      <c r="G1717" t="s">
        <v>20</v>
      </c>
      <c r="J1717" t="s">
        <v>17</v>
      </c>
      <c r="K1717" t="str">
        <f>"6953889001825"</f>
        <v>6953889001825</v>
      </c>
      <c r="L1717" t="str">
        <f>"22520082"</f>
        <v>22520082</v>
      </c>
      <c r="M1717" t="s">
        <v>21</v>
      </c>
      <c r="N1717" s="1">
        <v>43350.621527777781</v>
      </c>
      <c r="O1717" t="s">
        <v>19</v>
      </c>
    </row>
    <row r="1718" spans="1:15" x14ac:dyDescent="0.25">
      <c r="A1718" t="s">
        <v>1565</v>
      </c>
      <c r="B1718" t="s">
        <v>15</v>
      </c>
      <c r="C1718" t="s">
        <v>37</v>
      </c>
      <c r="D1718" t="s">
        <v>17</v>
      </c>
      <c r="E1718" t="s">
        <v>18</v>
      </c>
      <c r="F1718" t="s">
        <v>19</v>
      </c>
      <c r="G1718" t="s">
        <v>20</v>
      </c>
      <c r="J1718" t="s">
        <v>17</v>
      </c>
      <c r="K1718" t="str">
        <f>"6932177474053"</f>
        <v>6932177474053</v>
      </c>
      <c r="L1718" t="str">
        <f>"10002155"</f>
        <v>10002155</v>
      </c>
      <c r="M1718" t="s">
        <v>21</v>
      </c>
      <c r="N1718" s="1">
        <v>43571.80972222222</v>
      </c>
      <c r="O1718" t="s">
        <v>19</v>
      </c>
    </row>
    <row r="1719" spans="1:15" x14ac:dyDescent="0.25">
      <c r="A1719" t="s">
        <v>1566</v>
      </c>
      <c r="B1719" t="s">
        <v>15</v>
      </c>
      <c r="C1719" t="s">
        <v>37</v>
      </c>
      <c r="D1719" t="s">
        <v>17</v>
      </c>
      <c r="E1719" t="s">
        <v>18</v>
      </c>
      <c r="F1719" t="s">
        <v>19</v>
      </c>
      <c r="G1719" t="s">
        <v>20</v>
      </c>
      <c r="J1719" t="s">
        <v>17</v>
      </c>
      <c r="K1719" t="str">
        <f>"6953048612008"</f>
        <v>6953048612008</v>
      </c>
      <c r="L1719" t="str">
        <f>"76521200"</f>
        <v>76521200</v>
      </c>
      <c r="M1719" t="s">
        <v>21</v>
      </c>
      <c r="N1719" s="1">
        <v>44211.633333333331</v>
      </c>
      <c r="O1719" t="s">
        <v>19</v>
      </c>
    </row>
    <row r="1720" spans="1:15" x14ac:dyDescent="0.25">
      <c r="A1720" t="s">
        <v>1567</v>
      </c>
      <c r="B1720" t="s">
        <v>15</v>
      </c>
      <c r="C1720" t="s">
        <v>37</v>
      </c>
      <c r="D1720" t="s">
        <v>17</v>
      </c>
      <c r="E1720" t="s">
        <v>18</v>
      </c>
      <c r="F1720" t="s">
        <v>19</v>
      </c>
      <c r="G1720" t="s">
        <v>20</v>
      </c>
      <c r="J1720" t="s">
        <v>17</v>
      </c>
      <c r="K1720" t="str">
        <f>"6925871605106"</f>
        <v>6925871605106</v>
      </c>
      <c r="L1720" t="str">
        <f>"22520510"</f>
        <v>22520510</v>
      </c>
      <c r="M1720" t="s">
        <v>84</v>
      </c>
      <c r="N1720" s="1">
        <v>43396.626388888886</v>
      </c>
      <c r="O1720" t="s">
        <v>19</v>
      </c>
    </row>
    <row r="1721" spans="1:15" x14ac:dyDescent="0.25">
      <c r="A1721" t="s">
        <v>1568</v>
      </c>
      <c r="B1721" t="s">
        <v>15</v>
      </c>
      <c r="C1721" t="s">
        <v>37</v>
      </c>
      <c r="D1721" t="s">
        <v>17</v>
      </c>
      <c r="E1721" t="s">
        <v>18</v>
      </c>
      <c r="F1721" t="s">
        <v>19</v>
      </c>
      <c r="G1721" t="s">
        <v>20</v>
      </c>
      <c r="J1721" t="s">
        <v>17</v>
      </c>
      <c r="K1721" t="str">
        <f>"10002430"</f>
        <v>10002430</v>
      </c>
      <c r="L1721" t="str">
        <f>"10002430"</f>
        <v>10002430</v>
      </c>
      <c r="M1721" t="s">
        <v>75</v>
      </c>
      <c r="N1721" s="1">
        <v>43097.879166666666</v>
      </c>
      <c r="O1721" t="s">
        <v>19</v>
      </c>
    </row>
    <row r="1722" spans="1:15" x14ac:dyDescent="0.25">
      <c r="A1722" t="s">
        <v>1569</v>
      </c>
      <c r="B1722" t="s">
        <v>15</v>
      </c>
      <c r="C1722" t="s">
        <v>37</v>
      </c>
      <c r="D1722" t="s">
        <v>17</v>
      </c>
      <c r="E1722" t="s">
        <v>18</v>
      </c>
      <c r="F1722" t="s">
        <v>19</v>
      </c>
      <c r="G1722" t="s">
        <v>20</v>
      </c>
      <c r="J1722" t="s">
        <v>17</v>
      </c>
      <c r="K1722" t="str">
        <f>"6917668648038"</f>
        <v>6917668648038</v>
      </c>
      <c r="L1722" t="str">
        <f>"96048038"</f>
        <v>96048038</v>
      </c>
      <c r="M1722" t="s">
        <v>21</v>
      </c>
      <c r="N1722" s="1">
        <v>43854.82708333333</v>
      </c>
      <c r="O1722" t="s">
        <v>19</v>
      </c>
    </row>
    <row r="1723" spans="1:15" x14ac:dyDescent="0.25">
      <c r="A1723" t="s">
        <v>1570</v>
      </c>
      <c r="B1723" t="s">
        <v>15</v>
      </c>
      <c r="C1723" t="s">
        <v>37</v>
      </c>
      <c r="D1723" t="s">
        <v>17</v>
      </c>
      <c r="E1723" t="s">
        <v>18</v>
      </c>
      <c r="F1723" t="s">
        <v>19</v>
      </c>
      <c r="G1723" t="s">
        <v>20</v>
      </c>
      <c r="J1723" t="s">
        <v>17</v>
      </c>
      <c r="K1723" t="str">
        <f>"76830001"</f>
        <v>76830001</v>
      </c>
      <c r="L1723" t="str">
        <f>"76830001"</f>
        <v>76830001</v>
      </c>
      <c r="M1723" t="s">
        <v>75</v>
      </c>
      <c r="N1723" s="1">
        <v>43237.961111111108</v>
      </c>
      <c r="O1723" t="s">
        <v>19</v>
      </c>
    </row>
    <row r="1724" spans="1:15" x14ac:dyDescent="0.25">
      <c r="A1724" t="s">
        <v>1571</v>
      </c>
      <c r="B1724" t="s">
        <v>15</v>
      </c>
      <c r="C1724" t="s">
        <v>37</v>
      </c>
      <c r="D1724" t="s">
        <v>17</v>
      </c>
      <c r="E1724" t="s">
        <v>18</v>
      </c>
      <c r="F1724" t="s">
        <v>19</v>
      </c>
      <c r="G1724" t="s">
        <v>20</v>
      </c>
      <c r="J1724" t="s">
        <v>17</v>
      </c>
      <c r="K1724" t="str">
        <f>"7858816012631"</f>
        <v>7858816012631</v>
      </c>
      <c r="L1724" t="str">
        <f>"87831263"</f>
        <v>87831263</v>
      </c>
      <c r="M1724" t="s">
        <v>75</v>
      </c>
      <c r="N1724" s="1">
        <v>43125.970138888886</v>
      </c>
      <c r="O1724" t="s">
        <v>19</v>
      </c>
    </row>
    <row r="1725" spans="1:15" x14ac:dyDescent="0.25">
      <c r="A1725" t="s">
        <v>1571</v>
      </c>
      <c r="B1725" t="s">
        <v>15</v>
      </c>
      <c r="C1725" t="s">
        <v>37</v>
      </c>
      <c r="D1725" t="s">
        <v>17</v>
      </c>
      <c r="E1725" t="s">
        <v>18</v>
      </c>
      <c r="F1725" t="s">
        <v>19</v>
      </c>
      <c r="G1725" t="s">
        <v>20</v>
      </c>
      <c r="J1725" t="s">
        <v>17</v>
      </c>
      <c r="K1725" t="str">
        <f>"7858816012648"</f>
        <v>7858816012648</v>
      </c>
      <c r="L1725" t="str">
        <f>"87831264"</f>
        <v>87831264</v>
      </c>
      <c r="M1725" t="s">
        <v>75</v>
      </c>
      <c r="N1725" s="1">
        <v>43125.97152777778</v>
      </c>
      <c r="O1725" t="s">
        <v>19</v>
      </c>
    </row>
    <row r="1726" spans="1:15" x14ac:dyDescent="0.25">
      <c r="A1726" t="s">
        <v>1572</v>
      </c>
      <c r="B1726" t="s">
        <v>15</v>
      </c>
      <c r="C1726" t="s">
        <v>171</v>
      </c>
      <c r="D1726" t="s">
        <v>17</v>
      </c>
      <c r="E1726" t="s">
        <v>18</v>
      </c>
      <c r="F1726" t="s">
        <v>19</v>
      </c>
      <c r="G1726" t="s">
        <v>20</v>
      </c>
      <c r="J1726" t="s">
        <v>17</v>
      </c>
      <c r="K1726" t="str">
        <f>"816479016004"</f>
        <v>816479016004</v>
      </c>
      <c r="L1726" t="str">
        <f>"10004321"</f>
        <v>10004321</v>
      </c>
      <c r="M1726" t="s">
        <v>21</v>
      </c>
      <c r="N1726" s="1">
        <v>43666.880555555559</v>
      </c>
      <c r="O1726" t="s">
        <v>19</v>
      </c>
    </row>
    <row r="1727" spans="1:15" x14ac:dyDescent="0.25">
      <c r="A1727" t="s">
        <v>1573</v>
      </c>
      <c r="B1727" t="s">
        <v>15</v>
      </c>
      <c r="C1727" t="s">
        <v>37</v>
      </c>
      <c r="D1727" t="s">
        <v>17</v>
      </c>
      <c r="E1727" t="s">
        <v>18</v>
      </c>
      <c r="F1727" t="s">
        <v>19</v>
      </c>
      <c r="G1727" t="s">
        <v>20</v>
      </c>
      <c r="J1727" t="s">
        <v>17</v>
      </c>
      <c r="K1727" t="str">
        <f>"10101609"</f>
        <v>10101609</v>
      </c>
      <c r="L1727" t="str">
        <f>"10101609"</f>
        <v>10101609</v>
      </c>
      <c r="M1727" t="s">
        <v>75</v>
      </c>
      <c r="N1727" s="1">
        <v>42971.656944444447</v>
      </c>
      <c r="O1727" t="s">
        <v>19</v>
      </c>
    </row>
    <row r="1728" spans="1:15" x14ac:dyDescent="0.25">
      <c r="A1728" t="s">
        <v>1574</v>
      </c>
      <c r="B1728" t="s">
        <v>15</v>
      </c>
      <c r="C1728" t="s">
        <v>37</v>
      </c>
      <c r="D1728" t="s">
        <v>17</v>
      </c>
      <c r="E1728" t="s">
        <v>18</v>
      </c>
      <c r="F1728" t="s">
        <v>19</v>
      </c>
      <c r="G1728" t="s">
        <v>20</v>
      </c>
      <c r="J1728" t="s">
        <v>17</v>
      </c>
      <c r="K1728" t="str">
        <f>"108300719"</f>
        <v>108300719</v>
      </c>
      <c r="L1728" t="str">
        <f>"108300719"</f>
        <v>108300719</v>
      </c>
      <c r="M1728" t="s">
        <v>75</v>
      </c>
      <c r="N1728" s="1">
        <v>42872.847222222219</v>
      </c>
      <c r="O1728" t="s">
        <v>19</v>
      </c>
    </row>
    <row r="1729" spans="1:15" x14ac:dyDescent="0.25">
      <c r="A1729" t="s">
        <v>1575</v>
      </c>
      <c r="B1729" t="s">
        <v>15</v>
      </c>
      <c r="C1729" t="s">
        <v>37</v>
      </c>
      <c r="D1729" t="s">
        <v>17</v>
      </c>
      <c r="E1729" t="s">
        <v>18</v>
      </c>
      <c r="F1729" t="s">
        <v>19</v>
      </c>
      <c r="G1729" t="s">
        <v>20</v>
      </c>
      <c r="J1729" t="s">
        <v>17</v>
      </c>
      <c r="K1729" t="str">
        <f>"96830000"</f>
        <v>96830000</v>
      </c>
      <c r="L1729" t="str">
        <f>"96830000"</f>
        <v>96830000</v>
      </c>
      <c r="M1729" t="s">
        <v>75</v>
      </c>
      <c r="N1729" s="1">
        <v>42872.847222222219</v>
      </c>
      <c r="O1729" t="s">
        <v>19</v>
      </c>
    </row>
    <row r="1730" spans="1:15" x14ac:dyDescent="0.25">
      <c r="A1730" t="s">
        <v>1576</v>
      </c>
      <c r="B1730" t="s">
        <v>15</v>
      </c>
      <c r="C1730" t="s">
        <v>37</v>
      </c>
      <c r="D1730" t="s">
        <v>17</v>
      </c>
      <c r="E1730" t="s">
        <v>18</v>
      </c>
      <c r="F1730" t="s">
        <v>19</v>
      </c>
      <c r="G1730" t="s">
        <v>20</v>
      </c>
      <c r="J1730" t="s">
        <v>17</v>
      </c>
      <c r="K1730" t="str">
        <f>"5620000025398"</f>
        <v>5620000025398</v>
      </c>
      <c r="L1730" t="str">
        <f>"28522539"</f>
        <v>28522539</v>
      </c>
      <c r="M1730" t="s">
        <v>84</v>
      </c>
      <c r="N1730" s="1">
        <v>43335.881249999999</v>
      </c>
      <c r="O1730" t="s">
        <v>19</v>
      </c>
    </row>
    <row r="1731" spans="1:15" x14ac:dyDescent="0.25">
      <c r="A1731" t="s">
        <v>1577</v>
      </c>
      <c r="B1731" t="s">
        <v>15</v>
      </c>
      <c r="C1731" t="s">
        <v>37</v>
      </c>
      <c r="D1731" t="s">
        <v>17</v>
      </c>
      <c r="E1731" t="s">
        <v>18</v>
      </c>
      <c r="F1731" t="s">
        <v>19</v>
      </c>
      <c r="G1731" t="s">
        <v>20</v>
      </c>
      <c r="J1731" t="s">
        <v>17</v>
      </c>
      <c r="K1731" t="str">
        <f>"10005278"</f>
        <v>10005278</v>
      </c>
      <c r="L1731" t="str">
        <f>"10005278"</f>
        <v>10005278</v>
      </c>
      <c r="M1731" t="s">
        <v>21</v>
      </c>
      <c r="N1731" s="1">
        <v>42872.849305555559</v>
      </c>
      <c r="O1731" t="s">
        <v>19</v>
      </c>
    </row>
    <row r="1732" spans="1:15" x14ac:dyDescent="0.25">
      <c r="A1732" t="s">
        <v>1578</v>
      </c>
      <c r="B1732" t="s">
        <v>15</v>
      </c>
      <c r="C1732" t="s">
        <v>171</v>
      </c>
      <c r="D1732" t="s">
        <v>17</v>
      </c>
      <c r="E1732" t="s">
        <v>18</v>
      </c>
      <c r="F1732" t="s">
        <v>19</v>
      </c>
      <c r="G1732" t="s">
        <v>20</v>
      </c>
      <c r="J1732" t="s">
        <v>17</v>
      </c>
      <c r="K1732" t="str">
        <f>"10000298"</f>
        <v>10000298</v>
      </c>
      <c r="L1732" t="str">
        <f>"10000298"</f>
        <v>10000298</v>
      </c>
      <c r="M1732" t="s">
        <v>21</v>
      </c>
      <c r="N1732" s="1">
        <v>43720.918055555558</v>
      </c>
      <c r="O1732" t="s">
        <v>19</v>
      </c>
    </row>
    <row r="1733" spans="1:15" x14ac:dyDescent="0.25">
      <c r="A1733" t="s">
        <v>1579</v>
      </c>
      <c r="B1733" t="s">
        <v>15</v>
      </c>
      <c r="C1733" t="s">
        <v>37</v>
      </c>
      <c r="D1733" t="s">
        <v>17</v>
      </c>
      <c r="E1733" t="s">
        <v>18</v>
      </c>
      <c r="F1733" t="s">
        <v>19</v>
      </c>
      <c r="G1733" t="s">
        <v>20</v>
      </c>
      <c r="J1733" t="s">
        <v>17</v>
      </c>
      <c r="K1733" t="str">
        <f>"10002368"</f>
        <v>10002368</v>
      </c>
      <c r="L1733" t="str">
        <f>"10000729"</f>
        <v>10000729</v>
      </c>
      <c r="M1733" t="s">
        <v>21</v>
      </c>
      <c r="N1733" s="1">
        <v>43720.918749999997</v>
      </c>
      <c r="O1733" t="s">
        <v>19</v>
      </c>
    </row>
    <row r="1734" spans="1:15" x14ac:dyDescent="0.25">
      <c r="A1734" t="s">
        <v>1580</v>
      </c>
      <c r="B1734" t="s">
        <v>15</v>
      </c>
      <c r="C1734" t="s">
        <v>37</v>
      </c>
      <c r="D1734" t="s">
        <v>17</v>
      </c>
      <c r="E1734" t="s">
        <v>18</v>
      </c>
      <c r="F1734" t="s">
        <v>19</v>
      </c>
      <c r="G1734" t="s">
        <v>20</v>
      </c>
      <c r="J1734" t="s">
        <v>17</v>
      </c>
      <c r="K1734" t="str">
        <f>"10109119"</f>
        <v>10109119</v>
      </c>
      <c r="L1734" t="str">
        <f>"10109119"</f>
        <v>10109119</v>
      </c>
      <c r="M1734" t="s">
        <v>21</v>
      </c>
      <c r="N1734" s="1">
        <v>43720.919444444444</v>
      </c>
      <c r="O1734" t="s">
        <v>19</v>
      </c>
    </row>
    <row r="1735" spans="1:15" x14ac:dyDescent="0.25">
      <c r="A1735" t="s">
        <v>1581</v>
      </c>
      <c r="B1735" t="s">
        <v>15</v>
      </c>
      <c r="C1735" t="s">
        <v>171</v>
      </c>
      <c r="D1735" t="s">
        <v>17</v>
      </c>
      <c r="E1735" t="s">
        <v>18</v>
      </c>
      <c r="F1735" t="s">
        <v>19</v>
      </c>
      <c r="G1735" t="s">
        <v>20</v>
      </c>
      <c r="J1735" t="s">
        <v>17</v>
      </c>
      <c r="K1735" t="str">
        <f>"7858816019142"</f>
        <v>7858816019142</v>
      </c>
      <c r="L1735" t="str">
        <f>"87211914"</f>
        <v>87211914</v>
      </c>
      <c r="M1735" t="s">
        <v>21</v>
      </c>
      <c r="N1735" s="1">
        <v>43746.615972222222</v>
      </c>
      <c r="O1735" t="s">
        <v>19</v>
      </c>
    </row>
    <row r="1736" spans="1:15" x14ac:dyDescent="0.25">
      <c r="A1736" t="s">
        <v>1582</v>
      </c>
      <c r="B1736" t="s">
        <v>15</v>
      </c>
      <c r="C1736" t="s">
        <v>171</v>
      </c>
      <c r="D1736" t="s">
        <v>17</v>
      </c>
      <c r="E1736" t="s">
        <v>18</v>
      </c>
      <c r="F1736" t="s">
        <v>19</v>
      </c>
      <c r="G1736" t="s">
        <v>20</v>
      </c>
      <c r="J1736" t="s">
        <v>17</v>
      </c>
      <c r="K1736" t="str">
        <f>"7258816018679"</f>
        <v>7258816018679</v>
      </c>
      <c r="L1736" t="str">
        <f>"87211861"</f>
        <v>87211861</v>
      </c>
      <c r="M1736" t="s">
        <v>21</v>
      </c>
      <c r="N1736" s="1">
        <v>43746.617361111108</v>
      </c>
      <c r="O1736" t="s">
        <v>19</v>
      </c>
    </row>
    <row r="1737" spans="1:15" x14ac:dyDescent="0.25">
      <c r="A1737" t="s">
        <v>1583</v>
      </c>
      <c r="B1737" t="s">
        <v>15</v>
      </c>
      <c r="C1737" t="s">
        <v>37</v>
      </c>
      <c r="D1737" t="s">
        <v>17</v>
      </c>
      <c r="E1737" t="s">
        <v>18</v>
      </c>
      <c r="F1737" t="s">
        <v>19</v>
      </c>
      <c r="G1737" t="s">
        <v>20</v>
      </c>
      <c r="J1737" t="s">
        <v>17</v>
      </c>
      <c r="K1737" t="str">
        <f>"10832923"</f>
        <v>10832923</v>
      </c>
      <c r="L1737" t="str">
        <f>"10832923"</f>
        <v>10832923</v>
      </c>
      <c r="M1737" t="s">
        <v>75</v>
      </c>
      <c r="N1737" s="1">
        <v>43084.868750000001</v>
      </c>
      <c r="O1737" t="s">
        <v>19</v>
      </c>
    </row>
    <row r="1738" spans="1:15" x14ac:dyDescent="0.25">
      <c r="A1738" t="s">
        <v>1583</v>
      </c>
      <c r="B1738" t="s">
        <v>15</v>
      </c>
      <c r="C1738" t="s">
        <v>37</v>
      </c>
      <c r="D1738" t="s">
        <v>17</v>
      </c>
      <c r="E1738" t="s">
        <v>18</v>
      </c>
      <c r="F1738" t="s">
        <v>19</v>
      </c>
      <c r="G1738" t="s">
        <v>20</v>
      </c>
      <c r="J1738" t="s">
        <v>17</v>
      </c>
      <c r="K1738" t="str">
        <f>"10002923"</f>
        <v>10002923</v>
      </c>
      <c r="L1738" t="str">
        <f>"10002923"</f>
        <v>10002923</v>
      </c>
      <c r="M1738" t="s">
        <v>84</v>
      </c>
      <c r="N1738" s="1">
        <v>43252.693749999999</v>
      </c>
      <c r="O1738" t="s">
        <v>19</v>
      </c>
    </row>
    <row r="1739" spans="1:15" x14ac:dyDescent="0.25">
      <c r="A1739" t="s">
        <v>1584</v>
      </c>
      <c r="B1739" t="s">
        <v>15</v>
      </c>
      <c r="C1739" t="s">
        <v>37</v>
      </c>
      <c r="D1739" t="s">
        <v>17</v>
      </c>
      <c r="E1739" t="s">
        <v>18</v>
      </c>
      <c r="F1739" t="s">
        <v>19</v>
      </c>
      <c r="G1739" t="s">
        <v>20</v>
      </c>
      <c r="J1739" t="s">
        <v>17</v>
      </c>
      <c r="K1739" t="str">
        <f>"10000719"</f>
        <v>10000719</v>
      </c>
      <c r="L1739" t="str">
        <f>"10000719"</f>
        <v>10000719</v>
      </c>
      <c r="M1739" t="s">
        <v>75</v>
      </c>
      <c r="N1739" s="1">
        <v>42872.839583333334</v>
      </c>
      <c r="O1739" t="s">
        <v>19</v>
      </c>
    </row>
    <row r="1740" spans="1:15" x14ac:dyDescent="0.25">
      <c r="A1740" t="s">
        <v>1585</v>
      </c>
      <c r="B1740" t="s">
        <v>15</v>
      </c>
      <c r="C1740" t="s">
        <v>171</v>
      </c>
      <c r="D1740" t="s">
        <v>17</v>
      </c>
      <c r="E1740" t="s">
        <v>18</v>
      </c>
      <c r="F1740" t="s">
        <v>19</v>
      </c>
      <c r="G1740" t="s">
        <v>20</v>
      </c>
      <c r="J1740" t="s">
        <v>17</v>
      </c>
      <c r="K1740" t="str">
        <f>"7858816007835"</f>
        <v>7858816007835</v>
      </c>
      <c r="L1740" t="str">
        <f>"87217835"</f>
        <v>87217835</v>
      </c>
      <c r="M1740" t="s">
        <v>75</v>
      </c>
      <c r="N1740" s="1">
        <v>43125.966666666667</v>
      </c>
      <c r="O1740" t="s">
        <v>19</v>
      </c>
    </row>
    <row r="1741" spans="1:15" x14ac:dyDescent="0.25">
      <c r="A1741" t="s">
        <v>1586</v>
      </c>
      <c r="B1741" t="s">
        <v>15</v>
      </c>
      <c r="C1741" t="s">
        <v>171</v>
      </c>
      <c r="D1741" t="s">
        <v>17</v>
      </c>
      <c r="E1741" t="s">
        <v>18</v>
      </c>
      <c r="F1741" t="s">
        <v>19</v>
      </c>
      <c r="G1741" t="s">
        <v>20</v>
      </c>
      <c r="J1741" t="s">
        <v>17</v>
      </c>
      <c r="K1741" t="str">
        <f>"1891271648348"</f>
        <v>1891271648348</v>
      </c>
      <c r="L1741" t="str">
        <f>"96064834"</f>
        <v>96064834</v>
      </c>
      <c r="M1741" t="s">
        <v>21</v>
      </c>
      <c r="N1741" s="1">
        <v>43854.827777777777</v>
      </c>
      <c r="O1741" t="s">
        <v>19</v>
      </c>
    </row>
    <row r="1742" spans="1:15" x14ac:dyDescent="0.25">
      <c r="A1742" t="s">
        <v>1587</v>
      </c>
      <c r="B1742" t="s">
        <v>15</v>
      </c>
      <c r="C1742" t="s">
        <v>171</v>
      </c>
      <c r="D1742" t="s">
        <v>17</v>
      </c>
      <c r="E1742" t="s">
        <v>18</v>
      </c>
      <c r="F1742" t="s">
        <v>19</v>
      </c>
      <c r="G1742" t="s">
        <v>20</v>
      </c>
      <c r="J1742" t="s">
        <v>17</v>
      </c>
      <c r="K1742" t="str">
        <f>"10112705"</f>
        <v>10112705</v>
      </c>
      <c r="L1742" t="str">
        <f>"10112705"</f>
        <v>10112705</v>
      </c>
      <c r="M1742" t="s">
        <v>21</v>
      </c>
      <c r="N1742" s="1">
        <v>43893.65625</v>
      </c>
      <c r="O1742" t="s">
        <v>19</v>
      </c>
    </row>
    <row r="1743" spans="1:15" x14ac:dyDescent="0.25">
      <c r="A1743" t="s">
        <v>1588</v>
      </c>
      <c r="B1743" t="s">
        <v>15</v>
      </c>
      <c r="C1743" t="s">
        <v>37</v>
      </c>
      <c r="D1743" t="s">
        <v>17</v>
      </c>
      <c r="E1743" t="s">
        <v>18</v>
      </c>
      <c r="F1743" t="s">
        <v>19</v>
      </c>
      <c r="G1743" t="s">
        <v>20</v>
      </c>
      <c r="J1743" t="s">
        <v>17</v>
      </c>
      <c r="K1743" t="str">
        <f>"10001157"</f>
        <v>10001157</v>
      </c>
      <c r="L1743" t="str">
        <f>"10001157"</f>
        <v>10001157</v>
      </c>
      <c r="M1743" t="s">
        <v>21</v>
      </c>
      <c r="N1743" s="1">
        <v>43854.679861111108</v>
      </c>
      <c r="O1743" t="s">
        <v>19</v>
      </c>
    </row>
    <row r="1744" spans="1:15" x14ac:dyDescent="0.25">
      <c r="A1744" t="s">
        <v>1589</v>
      </c>
      <c r="B1744" t="s">
        <v>15</v>
      </c>
      <c r="C1744" t="s">
        <v>37</v>
      </c>
      <c r="D1744" t="s">
        <v>17</v>
      </c>
      <c r="E1744" t="s">
        <v>18</v>
      </c>
      <c r="F1744" t="s">
        <v>19</v>
      </c>
      <c r="G1744" t="s">
        <v>20</v>
      </c>
      <c r="J1744" t="s">
        <v>17</v>
      </c>
      <c r="K1744" t="str">
        <f>"3682"</f>
        <v>3682</v>
      </c>
      <c r="L1744" t="str">
        <f>"10117182"</f>
        <v>10117182</v>
      </c>
      <c r="M1744" t="s">
        <v>21</v>
      </c>
      <c r="N1744" s="1">
        <v>43819.904166666667</v>
      </c>
      <c r="O1744" t="s">
        <v>19</v>
      </c>
    </row>
    <row r="1745" spans="1:15" x14ac:dyDescent="0.25">
      <c r="A1745" t="s">
        <v>1590</v>
      </c>
      <c r="B1745" t="s">
        <v>15</v>
      </c>
      <c r="C1745" t="s">
        <v>37</v>
      </c>
      <c r="D1745" t="s">
        <v>17</v>
      </c>
      <c r="E1745" t="s">
        <v>18</v>
      </c>
      <c r="F1745" t="s">
        <v>19</v>
      </c>
      <c r="G1745" t="s">
        <v>20</v>
      </c>
      <c r="J1745" t="s">
        <v>17</v>
      </c>
      <c r="K1745" t="str">
        <f>"66000454"</f>
        <v>66000454</v>
      </c>
      <c r="L1745" t="str">
        <f>"66000454"</f>
        <v>66000454</v>
      </c>
      <c r="M1745" t="s">
        <v>75</v>
      </c>
      <c r="N1745" s="1">
        <v>42872.839583333334</v>
      </c>
      <c r="O1745" t="s">
        <v>19</v>
      </c>
    </row>
    <row r="1746" spans="1:15" x14ac:dyDescent="0.25">
      <c r="A1746" t="s">
        <v>1590</v>
      </c>
      <c r="B1746" t="s">
        <v>15</v>
      </c>
      <c r="C1746" t="s">
        <v>37</v>
      </c>
      <c r="D1746" t="s">
        <v>17</v>
      </c>
      <c r="E1746" t="s">
        <v>18</v>
      </c>
      <c r="F1746" t="s">
        <v>19</v>
      </c>
      <c r="G1746" t="s">
        <v>20</v>
      </c>
      <c r="J1746" t="s">
        <v>17</v>
      </c>
      <c r="K1746" t="str">
        <f>"87524000"</f>
        <v>87524000</v>
      </c>
      <c r="L1746" t="str">
        <f>"87524000"</f>
        <v>87524000</v>
      </c>
      <c r="M1746" t="s">
        <v>21</v>
      </c>
      <c r="N1746" s="1">
        <v>43603.788194444445</v>
      </c>
      <c r="O1746" t="s">
        <v>19</v>
      </c>
    </row>
    <row r="1747" spans="1:15" x14ac:dyDescent="0.25">
      <c r="A1747" t="s">
        <v>1591</v>
      </c>
      <c r="B1747" t="s">
        <v>15</v>
      </c>
      <c r="C1747" t="s">
        <v>37</v>
      </c>
      <c r="D1747" t="s">
        <v>17</v>
      </c>
      <c r="E1747" t="s">
        <v>18</v>
      </c>
      <c r="F1747" t="s">
        <v>19</v>
      </c>
      <c r="G1747" t="s">
        <v>20</v>
      </c>
      <c r="J1747" t="s">
        <v>17</v>
      </c>
      <c r="K1747" t="str">
        <f>"10002449"</f>
        <v>10002449</v>
      </c>
      <c r="L1747" t="str">
        <f>"10002449"</f>
        <v>10002449</v>
      </c>
      <c r="M1747" t="s">
        <v>75</v>
      </c>
      <c r="N1747" s="1">
        <v>42987.784722222219</v>
      </c>
      <c r="O1747" t="s">
        <v>19</v>
      </c>
    </row>
    <row r="1748" spans="1:15" x14ac:dyDescent="0.25">
      <c r="A1748" t="s">
        <v>1592</v>
      </c>
      <c r="B1748" t="s">
        <v>15</v>
      </c>
      <c r="C1748" t="s">
        <v>37</v>
      </c>
      <c r="D1748" t="s">
        <v>17</v>
      </c>
      <c r="E1748" t="s">
        <v>18</v>
      </c>
      <c r="F1748" t="s">
        <v>19</v>
      </c>
      <c r="G1748" t="s">
        <v>20</v>
      </c>
      <c r="J1748" t="s">
        <v>17</v>
      </c>
      <c r="K1748" t="str">
        <f>"7858816055119"</f>
        <v>7858816055119</v>
      </c>
      <c r="L1748" t="str">
        <f>"87525511"</f>
        <v>87525511</v>
      </c>
      <c r="M1748" t="s">
        <v>84</v>
      </c>
      <c r="N1748" s="1">
        <v>43510.64166666667</v>
      </c>
      <c r="O1748" t="s">
        <v>19</v>
      </c>
    </row>
    <row r="1749" spans="1:15" x14ac:dyDescent="0.25">
      <c r="A1749" t="s">
        <v>1593</v>
      </c>
      <c r="B1749" t="s">
        <v>15</v>
      </c>
      <c r="C1749" t="s">
        <v>171</v>
      </c>
      <c r="D1749" t="s">
        <v>17</v>
      </c>
      <c r="E1749" t="s">
        <v>18</v>
      </c>
      <c r="F1749" t="s">
        <v>19</v>
      </c>
      <c r="G1749" t="s">
        <v>20</v>
      </c>
      <c r="J1749" t="s">
        <v>17</v>
      </c>
      <c r="K1749" t="str">
        <f>"10523430"</f>
        <v>10523430</v>
      </c>
      <c r="L1749" t="str">
        <f>"10523430"</f>
        <v>10523430</v>
      </c>
      <c r="M1749" t="s">
        <v>75</v>
      </c>
      <c r="N1749" s="1">
        <v>43034.665277777778</v>
      </c>
      <c r="O1749" t="s">
        <v>19</v>
      </c>
    </row>
    <row r="1750" spans="1:15" x14ac:dyDescent="0.25">
      <c r="A1750" t="s">
        <v>1594</v>
      </c>
      <c r="B1750" t="s">
        <v>15</v>
      </c>
      <c r="C1750" t="s">
        <v>171</v>
      </c>
      <c r="D1750" t="s">
        <v>17</v>
      </c>
      <c r="E1750" t="s">
        <v>18</v>
      </c>
      <c r="F1750" t="s">
        <v>19</v>
      </c>
      <c r="G1750" t="s">
        <v>20</v>
      </c>
      <c r="J1750" t="s">
        <v>17</v>
      </c>
      <c r="K1750" t="str">
        <f>"4710007724651"</f>
        <v>4710007724651</v>
      </c>
      <c r="L1750" t="str">
        <f>"65834651"</f>
        <v>65834651</v>
      </c>
      <c r="M1750" t="s">
        <v>75</v>
      </c>
      <c r="N1750" s="1">
        <v>43029.620833333334</v>
      </c>
      <c r="O1750" t="s">
        <v>19</v>
      </c>
    </row>
    <row r="1751" spans="1:15" x14ac:dyDescent="0.25">
      <c r="A1751" t="s">
        <v>1595</v>
      </c>
      <c r="B1751" t="s">
        <v>15</v>
      </c>
      <c r="C1751" t="s">
        <v>171</v>
      </c>
      <c r="D1751" t="s">
        <v>17</v>
      </c>
      <c r="E1751" t="s">
        <v>18</v>
      </c>
      <c r="F1751" t="s">
        <v>19</v>
      </c>
      <c r="G1751" t="s">
        <v>20</v>
      </c>
      <c r="J1751" t="s">
        <v>17</v>
      </c>
      <c r="K1751" t="str">
        <f>"4710007732342"</f>
        <v>4710007732342</v>
      </c>
      <c r="L1751" t="str">
        <f>"65832342"</f>
        <v>65832342</v>
      </c>
      <c r="M1751" t="s">
        <v>75</v>
      </c>
      <c r="N1751" s="1">
        <v>43029.624305555553</v>
      </c>
      <c r="O1751" t="s">
        <v>19</v>
      </c>
    </row>
    <row r="1752" spans="1:15" x14ac:dyDescent="0.25">
      <c r="A1752" t="s">
        <v>1596</v>
      </c>
      <c r="B1752" t="s">
        <v>15</v>
      </c>
      <c r="C1752" t="s">
        <v>37</v>
      </c>
      <c r="D1752" t="s">
        <v>17</v>
      </c>
      <c r="E1752" t="s">
        <v>18</v>
      </c>
      <c r="F1752" t="s">
        <v>19</v>
      </c>
      <c r="G1752" t="s">
        <v>20</v>
      </c>
      <c r="J1752" t="s">
        <v>17</v>
      </c>
      <c r="K1752" t="str">
        <f>"10521589"</f>
        <v>10521589</v>
      </c>
      <c r="L1752" t="str">
        <f>"10521589"</f>
        <v>10521589</v>
      </c>
      <c r="M1752" t="s">
        <v>75</v>
      </c>
      <c r="N1752" s="1">
        <v>43084.854861111111</v>
      </c>
      <c r="O1752" t="s">
        <v>19</v>
      </c>
    </row>
    <row r="1753" spans="1:15" x14ac:dyDescent="0.25">
      <c r="A1753" t="s">
        <v>1597</v>
      </c>
      <c r="B1753" t="s">
        <v>15</v>
      </c>
      <c r="C1753" t="s">
        <v>37</v>
      </c>
      <c r="D1753" t="s">
        <v>17</v>
      </c>
      <c r="E1753" t="s">
        <v>18</v>
      </c>
      <c r="F1753" t="s">
        <v>19</v>
      </c>
      <c r="G1753" t="s">
        <v>20</v>
      </c>
      <c r="J1753" t="s">
        <v>18</v>
      </c>
      <c r="K1753" t="str">
        <f>"5210000"</f>
        <v>5210000</v>
      </c>
      <c r="L1753" t="str">
        <f>"5210000"</f>
        <v>5210000</v>
      </c>
      <c r="M1753" t="s">
        <v>21</v>
      </c>
      <c r="N1753" s="1">
        <v>44039.707638888889</v>
      </c>
      <c r="O1753" t="s">
        <v>19</v>
      </c>
    </row>
    <row r="1754" spans="1:15" x14ac:dyDescent="0.25">
      <c r="A1754" t="s">
        <v>1598</v>
      </c>
      <c r="B1754" t="s">
        <v>15</v>
      </c>
      <c r="C1754" t="s">
        <v>64</v>
      </c>
      <c r="D1754" t="s">
        <v>17</v>
      </c>
      <c r="E1754" t="s">
        <v>18</v>
      </c>
      <c r="F1754" t="s">
        <v>19</v>
      </c>
      <c r="G1754" t="s">
        <v>20</v>
      </c>
      <c r="J1754" t="s">
        <v>17</v>
      </c>
      <c r="K1754" t="str">
        <f>"1456875263788"</f>
        <v>1456875263788</v>
      </c>
      <c r="L1754" t="str">
        <f>"40930003"</f>
        <v>40930003</v>
      </c>
      <c r="M1754" t="s">
        <v>21</v>
      </c>
      <c r="N1754" s="1">
        <v>44271.746527777781</v>
      </c>
      <c r="O1754" t="s">
        <v>19</v>
      </c>
    </row>
    <row r="1755" spans="1:15" x14ac:dyDescent="0.25">
      <c r="A1755" t="s">
        <v>1599</v>
      </c>
      <c r="B1755" t="s">
        <v>15</v>
      </c>
      <c r="C1755" t="s">
        <v>64</v>
      </c>
      <c r="D1755" t="s">
        <v>17</v>
      </c>
      <c r="E1755" t="s">
        <v>18</v>
      </c>
      <c r="F1755" t="s">
        <v>19</v>
      </c>
      <c r="G1755" t="s">
        <v>20</v>
      </c>
      <c r="J1755" t="s">
        <v>17</v>
      </c>
      <c r="K1755" t="str">
        <f>"98930640"</f>
        <v>98930640</v>
      </c>
      <c r="L1755" t="str">
        <f>"98930640"</f>
        <v>98930640</v>
      </c>
      <c r="M1755" t="s">
        <v>21</v>
      </c>
      <c r="N1755" s="1">
        <v>43007.831250000003</v>
      </c>
      <c r="O1755" t="s">
        <v>19</v>
      </c>
    </row>
    <row r="1756" spans="1:15" x14ac:dyDescent="0.25">
      <c r="A1756" t="s">
        <v>1600</v>
      </c>
      <c r="B1756" t="s">
        <v>15</v>
      </c>
      <c r="C1756" t="s">
        <v>64</v>
      </c>
      <c r="D1756" t="s">
        <v>17</v>
      </c>
      <c r="E1756" t="s">
        <v>18</v>
      </c>
      <c r="F1756" t="s">
        <v>19</v>
      </c>
      <c r="G1756" t="s">
        <v>20</v>
      </c>
      <c r="J1756" t="s">
        <v>17</v>
      </c>
      <c r="K1756" t="str">
        <f>"6917709020052"</f>
        <v>6917709020052</v>
      </c>
      <c r="L1756" t="str">
        <f>"39932005"</f>
        <v>39932005</v>
      </c>
      <c r="M1756" t="s">
        <v>21</v>
      </c>
      <c r="N1756" s="1">
        <v>44351.871527777781</v>
      </c>
      <c r="O1756" t="s">
        <v>19</v>
      </c>
    </row>
    <row r="1757" spans="1:15" x14ac:dyDescent="0.25">
      <c r="A1757" t="s">
        <v>1601</v>
      </c>
      <c r="B1757" t="s">
        <v>15</v>
      </c>
      <c r="C1757" t="s">
        <v>64</v>
      </c>
      <c r="D1757" t="s">
        <v>17</v>
      </c>
      <c r="E1757" t="s">
        <v>18</v>
      </c>
      <c r="F1757" t="s">
        <v>19</v>
      </c>
      <c r="G1757" t="s">
        <v>20</v>
      </c>
      <c r="J1757" t="s">
        <v>17</v>
      </c>
      <c r="K1757" t="str">
        <f>"6917709020069"</f>
        <v>6917709020069</v>
      </c>
      <c r="L1757" t="str">
        <f>"39932006"</f>
        <v>39932006</v>
      </c>
      <c r="M1757" t="s">
        <v>21</v>
      </c>
      <c r="N1757" s="1">
        <v>44351.870833333334</v>
      </c>
      <c r="O1757" t="s">
        <v>19</v>
      </c>
    </row>
    <row r="1758" spans="1:15" x14ac:dyDescent="0.25">
      <c r="A1758" t="s">
        <v>1602</v>
      </c>
      <c r="B1758" t="s">
        <v>15</v>
      </c>
      <c r="C1758" t="s">
        <v>37</v>
      </c>
      <c r="D1758" t="s">
        <v>17</v>
      </c>
      <c r="E1758" t="s">
        <v>18</v>
      </c>
      <c r="F1758" t="s">
        <v>19</v>
      </c>
      <c r="G1758" t="s">
        <v>20</v>
      </c>
      <c r="J1758" t="s">
        <v>17</v>
      </c>
      <c r="K1758" t="str">
        <f>"10007874"</f>
        <v>10007874</v>
      </c>
      <c r="L1758" t="str">
        <f>"10007874"</f>
        <v>10007874</v>
      </c>
      <c r="M1758" t="s">
        <v>84</v>
      </c>
      <c r="N1758" s="1">
        <v>43447.628472222219</v>
      </c>
      <c r="O1758" t="s">
        <v>19</v>
      </c>
    </row>
    <row r="1759" spans="1:15" x14ac:dyDescent="0.25">
      <c r="A1759" t="s">
        <v>1603</v>
      </c>
      <c r="B1759" t="s">
        <v>15</v>
      </c>
      <c r="C1759" t="s">
        <v>37</v>
      </c>
      <c r="D1759" t="s">
        <v>17</v>
      </c>
      <c r="E1759" t="s">
        <v>18</v>
      </c>
      <c r="F1759" t="s">
        <v>19</v>
      </c>
      <c r="G1759" t="s">
        <v>20</v>
      </c>
      <c r="J1759" t="s">
        <v>17</v>
      </c>
      <c r="K1759" t="str">
        <f>"4710007713358"</f>
        <v>4710007713358</v>
      </c>
      <c r="L1759" t="str">
        <f>"65523358"</f>
        <v>65523358</v>
      </c>
      <c r="M1759" t="s">
        <v>75</v>
      </c>
      <c r="N1759" s="1">
        <v>43067.893055555556</v>
      </c>
      <c r="O1759" t="s">
        <v>19</v>
      </c>
    </row>
    <row r="1760" spans="1:15" x14ac:dyDescent="0.25">
      <c r="A1760" t="s">
        <v>1604</v>
      </c>
      <c r="B1760" t="s">
        <v>15</v>
      </c>
      <c r="C1760" t="s">
        <v>64</v>
      </c>
      <c r="D1760" t="s">
        <v>17</v>
      </c>
      <c r="E1760" t="s">
        <v>18</v>
      </c>
      <c r="F1760" t="s">
        <v>19</v>
      </c>
      <c r="G1760" t="s">
        <v>20</v>
      </c>
      <c r="J1760" t="s">
        <v>17</v>
      </c>
      <c r="K1760" t="str">
        <f>"6989120533015"</f>
        <v>6989120533015</v>
      </c>
      <c r="L1760" t="str">
        <f>"4093315"</f>
        <v>4093315</v>
      </c>
      <c r="M1760" t="s">
        <v>21</v>
      </c>
      <c r="N1760" s="1">
        <v>44286.744444444441</v>
      </c>
      <c r="O1760" t="s">
        <v>19</v>
      </c>
    </row>
    <row r="1761" spans="1:15" x14ac:dyDescent="0.25">
      <c r="A1761" t="s">
        <v>1605</v>
      </c>
      <c r="B1761" t="s">
        <v>15</v>
      </c>
      <c r="C1761" t="s">
        <v>37</v>
      </c>
      <c r="D1761" t="s">
        <v>17</v>
      </c>
      <c r="E1761" t="s">
        <v>18</v>
      </c>
      <c r="F1761" t="s">
        <v>19</v>
      </c>
      <c r="G1761" t="s">
        <v>20</v>
      </c>
      <c r="J1761" t="s">
        <v>17</v>
      </c>
      <c r="K1761" t="str">
        <f>"6025102900007"</f>
        <v>6025102900007</v>
      </c>
      <c r="L1761" t="str">
        <f>"10120856"</f>
        <v>10120856</v>
      </c>
      <c r="M1761" t="s">
        <v>21</v>
      </c>
      <c r="N1761" s="1">
        <v>44392.772916666669</v>
      </c>
      <c r="O1761" t="s">
        <v>19</v>
      </c>
    </row>
    <row r="1762" spans="1:15" x14ac:dyDescent="0.25">
      <c r="A1762" t="s">
        <v>1606</v>
      </c>
      <c r="B1762" t="s">
        <v>15</v>
      </c>
      <c r="C1762" t="s">
        <v>1607</v>
      </c>
      <c r="D1762" t="s">
        <v>17</v>
      </c>
      <c r="E1762" t="s">
        <v>18</v>
      </c>
      <c r="F1762" t="s">
        <v>19</v>
      </c>
      <c r="G1762" t="s">
        <v>20</v>
      </c>
      <c r="J1762" t="s">
        <v>17</v>
      </c>
      <c r="K1762" t="str">
        <f>"17790715"</f>
        <v>17790715</v>
      </c>
      <c r="L1762" t="str">
        <f>"17790715"</f>
        <v>17790715</v>
      </c>
      <c r="M1762" t="s">
        <v>75</v>
      </c>
      <c r="N1762" s="1">
        <v>43132.651388888888</v>
      </c>
      <c r="O1762" t="s">
        <v>19</v>
      </c>
    </row>
    <row r="1763" spans="1:15" x14ac:dyDescent="0.25">
      <c r="A1763" t="s">
        <v>1608</v>
      </c>
      <c r="B1763" t="s">
        <v>15</v>
      </c>
      <c r="C1763" t="s">
        <v>1607</v>
      </c>
      <c r="D1763" t="s">
        <v>17</v>
      </c>
      <c r="E1763" t="s">
        <v>18</v>
      </c>
      <c r="F1763" t="s">
        <v>19</v>
      </c>
      <c r="G1763" t="s">
        <v>20</v>
      </c>
      <c r="J1763" t="s">
        <v>17</v>
      </c>
      <c r="K1763" t="str">
        <f>"177914283"</f>
        <v>177914283</v>
      </c>
      <c r="L1763" t="str">
        <f>"177914283"</f>
        <v>177914283</v>
      </c>
      <c r="M1763" t="s">
        <v>75</v>
      </c>
      <c r="N1763" s="1">
        <v>43132.652777777781</v>
      </c>
      <c r="O1763" t="s">
        <v>19</v>
      </c>
    </row>
    <row r="1764" spans="1:15" x14ac:dyDescent="0.25">
      <c r="A1764" t="s">
        <v>1609</v>
      </c>
      <c r="B1764" t="s">
        <v>15</v>
      </c>
      <c r="C1764" t="s">
        <v>1607</v>
      </c>
      <c r="D1764" t="s">
        <v>17</v>
      </c>
      <c r="E1764" t="s">
        <v>18</v>
      </c>
      <c r="F1764" t="s">
        <v>19</v>
      </c>
      <c r="G1764" t="s">
        <v>20</v>
      </c>
      <c r="J1764" t="s">
        <v>17</v>
      </c>
      <c r="K1764" t="str">
        <f>"177914126"</f>
        <v>177914126</v>
      </c>
      <c r="L1764" t="str">
        <f>"177914126"</f>
        <v>177914126</v>
      </c>
      <c r="M1764" t="s">
        <v>75</v>
      </c>
      <c r="N1764" s="1">
        <v>43132.652083333334</v>
      </c>
      <c r="O1764" t="s">
        <v>19</v>
      </c>
    </row>
    <row r="1765" spans="1:15" x14ac:dyDescent="0.25">
      <c r="A1765" t="s">
        <v>1610</v>
      </c>
      <c r="B1765" t="s">
        <v>15</v>
      </c>
      <c r="C1765" t="s">
        <v>1607</v>
      </c>
      <c r="D1765" t="s">
        <v>17</v>
      </c>
      <c r="E1765" t="s">
        <v>18</v>
      </c>
      <c r="F1765" t="s">
        <v>19</v>
      </c>
      <c r="G1765" t="s">
        <v>20</v>
      </c>
      <c r="J1765" t="s">
        <v>17</v>
      </c>
      <c r="K1765" t="str">
        <f>"17791447"</f>
        <v>17791447</v>
      </c>
      <c r="L1765" t="str">
        <f>"17791447"</f>
        <v>17791447</v>
      </c>
      <c r="M1765" t="s">
        <v>75</v>
      </c>
      <c r="N1765" s="1">
        <v>43132.65</v>
      </c>
      <c r="O1765" t="s">
        <v>19</v>
      </c>
    </row>
    <row r="1766" spans="1:15" x14ac:dyDescent="0.25">
      <c r="A1766" t="s">
        <v>1611</v>
      </c>
      <c r="B1766" t="s">
        <v>15</v>
      </c>
      <c r="C1766" t="s">
        <v>1607</v>
      </c>
      <c r="D1766" t="s">
        <v>17</v>
      </c>
      <c r="E1766" t="s">
        <v>18</v>
      </c>
      <c r="F1766" t="s">
        <v>19</v>
      </c>
      <c r="G1766" t="s">
        <v>20</v>
      </c>
      <c r="J1766" t="s">
        <v>17</v>
      </c>
      <c r="K1766" t="str">
        <f>"177914266"</f>
        <v>177914266</v>
      </c>
      <c r="L1766" t="str">
        <f>"177914266"</f>
        <v>177914266</v>
      </c>
      <c r="M1766" t="s">
        <v>75</v>
      </c>
      <c r="N1766" s="1">
        <v>43132.650694444441</v>
      </c>
      <c r="O1766" t="s">
        <v>19</v>
      </c>
    </row>
    <row r="1767" spans="1:15" x14ac:dyDescent="0.25">
      <c r="A1767" t="s">
        <v>1612</v>
      </c>
      <c r="B1767" t="s">
        <v>15</v>
      </c>
      <c r="C1767" t="s">
        <v>1613</v>
      </c>
      <c r="D1767" t="s">
        <v>17</v>
      </c>
      <c r="E1767" t="s">
        <v>18</v>
      </c>
      <c r="F1767" t="s">
        <v>19</v>
      </c>
      <c r="G1767" t="s">
        <v>20</v>
      </c>
      <c r="J1767" t="s">
        <v>17</v>
      </c>
      <c r="K1767" t="str">
        <f>"66790016"</f>
        <v>66790016</v>
      </c>
      <c r="L1767" t="str">
        <f>"66790016"</f>
        <v>66790016</v>
      </c>
      <c r="M1767" t="s">
        <v>75</v>
      </c>
      <c r="N1767" s="1">
        <v>42872.847222222219</v>
      </c>
      <c r="O1767" t="s">
        <v>19</v>
      </c>
    </row>
    <row r="1768" spans="1:15" x14ac:dyDescent="0.25">
      <c r="A1768" t="s">
        <v>1614</v>
      </c>
      <c r="B1768" t="s">
        <v>15</v>
      </c>
      <c r="C1768" t="s">
        <v>1613</v>
      </c>
      <c r="D1768" t="s">
        <v>17</v>
      </c>
      <c r="E1768" t="s">
        <v>18</v>
      </c>
      <c r="F1768" t="s">
        <v>19</v>
      </c>
      <c r="G1768" t="s">
        <v>20</v>
      </c>
      <c r="J1768" t="s">
        <v>17</v>
      </c>
      <c r="K1768" t="str">
        <f>"10107832"</f>
        <v>10107832</v>
      </c>
      <c r="L1768" t="str">
        <f>"10107832"</f>
        <v>10107832</v>
      </c>
      <c r="M1768" t="s">
        <v>75</v>
      </c>
      <c r="N1768" s="1">
        <v>42872.839583333334</v>
      </c>
      <c r="O1768" t="s">
        <v>19</v>
      </c>
    </row>
    <row r="1769" spans="1:15" x14ac:dyDescent="0.25">
      <c r="A1769" t="s">
        <v>1615</v>
      </c>
      <c r="B1769" t="s">
        <v>15</v>
      </c>
      <c r="C1769" t="s">
        <v>1613</v>
      </c>
      <c r="D1769" t="s">
        <v>17</v>
      </c>
      <c r="E1769" t="s">
        <v>18</v>
      </c>
      <c r="F1769" t="s">
        <v>19</v>
      </c>
      <c r="G1769" t="s">
        <v>20</v>
      </c>
      <c r="J1769" t="s">
        <v>17</v>
      </c>
      <c r="K1769" t="str">
        <f>"10000582"</f>
        <v>10000582</v>
      </c>
      <c r="L1769" t="str">
        <f>"10000582"</f>
        <v>10000582</v>
      </c>
      <c r="M1769" t="s">
        <v>75</v>
      </c>
      <c r="N1769" s="1">
        <v>42872.839583333334</v>
      </c>
      <c r="O1769" t="s">
        <v>19</v>
      </c>
    </row>
    <row r="1770" spans="1:15" x14ac:dyDescent="0.25">
      <c r="A1770" t="s">
        <v>1616</v>
      </c>
      <c r="B1770" t="s">
        <v>15</v>
      </c>
      <c r="C1770" t="s">
        <v>1613</v>
      </c>
      <c r="D1770" t="s">
        <v>17</v>
      </c>
      <c r="E1770" t="s">
        <v>18</v>
      </c>
      <c r="F1770" t="s">
        <v>19</v>
      </c>
      <c r="G1770" t="s">
        <v>20</v>
      </c>
      <c r="J1770" t="s">
        <v>17</v>
      </c>
      <c r="K1770" t="str">
        <f>"30111400"</f>
        <v>30111400</v>
      </c>
      <c r="L1770" t="str">
        <f>"30111400"</f>
        <v>30111400</v>
      </c>
      <c r="M1770" t="s">
        <v>75</v>
      </c>
      <c r="N1770" s="1">
        <v>42872.839583333334</v>
      </c>
      <c r="O1770" t="s">
        <v>19</v>
      </c>
    </row>
    <row r="1771" spans="1:15" x14ac:dyDescent="0.25">
      <c r="A1771" t="s">
        <v>1617</v>
      </c>
      <c r="B1771" t="s">
        <v>15</v>
      </c>
      <c r="C1771" t="s">
        <v>1613</v>
      </c>
      <c r="D1771" t="s">
        <v>17</v>
      </c>
      <c r="E1771" t="s">
        <v>18</v>
      </c>
      <c r="F1771" t="s">
        <v>19</v>
      </c>
      <c r="G1771" t="s">
        <v>20</v>
      </c>
      <c r="J1771" t="s">
        <v>17</v>
      </c>
      <c r="K1771" t="str">
        <f>"86113608"</f>
        <v>86113608</v>
      </c>
      <c r="L1771" t="str">
        <f>"86113608"</f>
        <v>86113608</v>
      </c>
      <c r="M1771" t="s">
        <v>75</v>
      </c>
      <c r="N1771" s="1">
        <v>42872.847222222219</v>
      </c>
      <c r="O1771" t="s">
        <v>19</v>
      </c>
    </row>
    <row r="1772" spans="1:15" x14ac:dyDescent="0.25">
      <c r="A1772" t="s">
        <v>1618</v>
      </c>
      <c r="B1772" t="s">
        <v>15</v>
      </c>
      <c r="C1772" t="s">
        <v>1619</v>
      </c>
      <c r="D1772" t="s">
        <v>17</v>
      </c>
      <c r="E1772" t="s">
        <v>18</v>
      </c>
      <c r="F1772" t="s">
        <v>19</v>
      </c>
      <c r="G1772" t="s">
        <v>20</v>
      </c>
      <c r="J1772" t="s">
        <v>17</v>
      </c>
      <c r="K1772" t="str">
        <f>"46120715"</f>
        <v>46120715</v>
      </c>
      <c r="L1772" t="str">
        <f>"46120715"</f>
        <v>46120715</v>
      </c>
      <c r="M1772" t="s">
        <v>75</v>
      </c>
      <c r="N1772" s="1">
        <v>42872.839583333334</v>
      </c>
      <c r="O1772" t="s">
        <v>19</v>
      </c>
    </row>
    <row r="1773" spans="1:15" x14ac:dyDescent="0.25">
      <c r="A1773" t="s">
        <v>1620</v>
      </c>
      <c r="B1773" t="s">
        <v>15</v>
      </c>
      <c r="C1773" t="s">
        <v>35</v>
      </c>
      <c r="D1773" t="s">
        <v>17</v>
      </c>
      <c r="E1773" t="s">
        <v>18</v>
      </c>
      <c r="F1773" t="s">
        <v>19</v>
      </c>
      <c r="G1773" t="s">
        <v>20</v>
      </c>
      <c r="J1773" t="s">
        <v>17</v>
      </c>
      <c r="K1773" t="str">
        <f>"87001220"</f>
        <v>87001220</v>
      </c>
      <c r="L1773" t="str">
        <f>"87001220"</f>
        <v>87001220</v>
      </c>
      <c r="M1773" t="s">
        <v>75</v>
      </c>
      <c r="N1773" s="1">
        <v>42872.847222222219</v>
      </c>
      <c r="O1773" t="s">
        <v>19</v>
      </c>
    </row>
    <row r="1774" spans="1:15" x14ac:dyDescent="0.25">
      <c r="A1774" t="s">
        <v>1621</v>
      </c>
      <c r="B1774" t="s">
        <v>15</v>
      </c>
      <c r="C1774" t="s">
        <v>1619</v>
      </c>
      <c r="D1774" t="s">
        <v>17</v>
      </c>
      <c r="E1774" t="s">
        <v>18</v>
      </c>
      <c r="F1774" t="s">
        <v>19</v>
      </c>
      <c r="G1774" t="s">
        <v>20</v>
      </c>
      <c r="J1774" t="s">
        <v>17</v>
      </c>
      <c r="K1774" t="str">
        <f>"10000677"</f>
        <v>10000677</v>
      </c>
      <c r="L1774" t="str">
        <f>"10000677"</f>
        <v>10000677</v>
      </c>
      <c r="M1774" t="s">
        <v>75</v>
      </c>
      <c r="N1774" s="1">
        <v>42872.839583333334</v>
      </c>
      <c r="O1774" t="s">
        <v>19</v>
      </c>
    </row>
    <row r="1775" spans="1:15" x14ac:dyDescent="0.25">
      <c r="A1775" t="s">
        <v>1622</v>
      </c>
      <c r="B1775" t="s">
        <v>15</v>
      </c>
      <c r="C1775" t="s">
        <v>1619</v>
      </c>
      <c r="D1775" t="s">
        <v>17</v>
      </c>
      <c r="E1775" t="s">
        <v>18</v>
      </c>
      <c r="F1775" t="s">
        <v>19</v>
      </c>
      <c r="G1775" t="s">
        <v>20</v>
      </c>
      <c r="J1775" t="s">
        <v>17</v>
      </c>
      <c r="K1775" t="str">
        <f>"461214106"</f>
        <v>461214106</v>
      </c>
      <c r="L1775" t="str">
        <f>"461214106"</f>
        <v>461214106</v>
      </c>
      <c r="M1775" t="s">
        <v>75</v>
      </c>
      <c r="N1775" s="1">
        <v>42872.849305555559</v>
      </c>
      <c r="O1775" t="s">
        <v>19</v>
      </c>
    </row>
    <row r="1776" spans="1:15" x14ac:dyDescent="0.25">
      <c r="A1776" t="s">
        <v>1623</v>
      </c>
      <c r="B1776" t="s">
        <v>15</v>
      </c>
      <c r="C1776" t="s">
        <v>1619</v>
      </c>
      <c r="D1776" t="s">
        <v>17</v>
      </c>
      <c r="E1776" t="s">
        <v>18</v>
      </c>
      <c r="F1776" t="s">
        <v>19</v>
      </c>
      <c r="G1776" t="s">
        <v>20</v>
      </c>
      <c r="J1776" t="s">
        <v>17</v>
      </c>
      <c r="K1776" t="str">
        <f>"33252015090068"</f>
        <v>33252015090068</v>
      </c>
      <c r="L1776" t="str">
        <f>"10126708"</f>
        <v>10126708</v>
      </c>
      <c r="M1776" t="s">
        <v>75</v>
      </c>
      <c r="N1776" s="1">
        <v>43034.654166666667</v>
      </c>
      <c r="O1776" t="s">
        <v>19</v>
      </c>
    </row>
    <row r="1777" spans="1:15" x14ac:dyDescent="0.25">
      <c r="A1777" t="s">
        <v>1624</v>
      </c>
      <c r="B1777" t="s">
        <v>15</v>
      </c>
      <c r="C1777" t="s">
        <v>1619</v>
      </c>
      <c r="D1777" t="s">
        <v>17</v>
      </c>
      <c r="E1777" t="s">
        <v>18</v>
      </c>
      <c r="F1777" t="s">
        <v>19</v>
      </c>
      <c r="G1777" t="s">
        <v>20</v>
      </c>
      <c r="J1777" t="s">
        <v>17</v>
      </c>
      <c r="K1777" t="str">
        <f>"17650713"</f>
        <v>17650713</v>
      </c>
      <c r="L1777" t="str">
        <f>"17650713"</f>
        <v>17650713</v>
      </c>
      <c r="M1777" t="s">
        <v>75</v>
      </c>
      <c r="N1777" s="1">
        <v>42872.839583333334</v>
      </c>
      <c r="O1777" t="s">
        <v>19</v>
      </c>
    </row>
    <row r="1778" spans="1:15" x14ac:dyDescent="0.25">
      <c r="A1778" t="s">
        <v>1625</v>
      </c>
      <c r="B1778" t="s">
        <v>15</v>
      </c>
      <c r="C1778" t="s">
        <v>1619</v>
      </c>
      <c r="D1778" t="s">
        <v>17</v>
      </c>
      <c r="E1778" t="s">
        <v>18</v>
      </c>
      <c r="F1778" t="s">
        <v>19</v>
      </c>
      <c r="G1778" t="s">
        <v>20</v>
      </c>
      <c r="J1778" t="s">
        <v>17</v>
      </c>
      <c r="K1778" t="str">
        <f>"106501349"</f>
        <v>106501349</v>
      </c>
      <c r="L1778" t="str">
        <f>"106501349"</f>
        <v>106501349</v>
      </c>
      <c r="M1778" t="s">
        <v>75</v>
      </c>
      <c r="N1778" s="1">
        <v>42872.847222222219</v>
      </c>
      <c r="O1778" t="s">
        <v>19</v>
      </c>
    </row>
    <row r="1779" spans="1:15" x14ac:dyDescent="0.25">
      <c r="A1779" t="s">
        <v>1626</v>
      </c>
      <c r="B1779" t="s">
        <v>15</v>
      </c>
      <c r="C1779" t="s">
        <v>1619</v>
      </c>
      <c r="D1779" t="s">
        <v>17</v>
      </c>
      <c r="E1779" t="s">
        <v>18</v>
      </c>
      <c r="F1779" t="s">
        <v>19</v>
      </c>
      <c r="G1779" t="s">
        <v>20</v>
      </c>
      <c r="J1779" t="s">
        <v>17</v>
      </c>
      <c r="K1779" t="str">
        <f>"46650000"</f>
        <v>46650000</v>
      </c>
      <c r="L1779" t="str">
        <f>"46650000"</f>
        <v>46650000</v>
      </c>
      <c r="M1779" t="s">
        <v>75</v>
      </c>
      <c r="N1779" s="1">
        <v>42872.839583333334</v>
      </c>
      <c r="O1779" t="s">
        <v>19</v>
      </c>
    </row>
    <row r="1780" spans="1:15" x14ac:dyDescent="0.25">
      <c r="A1780" t="s">
        <v>1627</v>
      </c>
      <c r="B1780" t="s">
        <v>15</v>
      </c>
      <c r="C1780" t="s">
        <v>35</v>
      </c>
      <c r="D1780" t="s">
        <v>17</v>
      </c>
      <c r="E1780" t="s">
        <v>18</v>
      </c>
      <c r="F1780" t="s">
        <v>19</v>
      </c>
      <c r="G1780" t="s">
        <v>20</v>
      </c>
      <c r="J1780" t="s">
        <v>17</v>
      </c>
      <c r="K1780" t="str">
        <f>"10003731"</f>
        <v>10003731</v>
      </c>
      <c r="L1780" t="str">
        <f>"10003731"</f>
        <v>10003731</v>
      </c>
      <c r="M1780" t="s">
        <v>75</v>
      </c>
      <c r="N1780" s="1">
        <v>42872.839583333334</v>
      </c>
      <c r="O1780" t="s">
        <v>19</v>
      </c>
    </row>
    <row r="1781" spans="1:15" x14ac:dyDescent="0.25">
      <c r="A1781" t="s">
        <v>1628</v>
      </c>
      <c r="B1781" t="s">
        <v>15</v>
      </c>
      <c r="C1781" t="s">
        <v>1619</v>
      </c>
      <c r="D1781" t="s">
        <v>17</v>
      </c>
      <c r="E1781" t="s">
        <v>18</v>
      </c>
      <c r="F1781" t="s">
        <v>19</v>
      </c>
      <c r="G1781" t="s">
        <v>20</v>
      </c>
      <c r="J1781" t="s">
        <v>17</v>
      </c>
      <c r="K1781" t="str">
        <f>"12171700"</f>
        <v>12171700</v>
      </c>
      <c r="L1781" t="str">
        <f>"12171700"</f>
        <v>12171700</v>
      </c>
      <c r="M1781" t="s">
        <v>75</v>
      </c>
      <c r="N1781" s="1">
        <v>42872.839583333334</v>
      </c>
      <c r="O1781" t="s">
        <v>19</v>
      </c>
    </row>
    <row r="1782" spans="1:15" x14ac:dyDescent="0.25">
      <c r="A1782" t="s">
        <v>1629</v>
      </c>
      <c r="B1782" t="s">
        <v>15</v>
      </c>
      <c r="C1782" t="s">
        <v>1619</v>
      </c>
      <c r="D1782" t="s">
        <v>17</v>
      </c>
      <c r="E1782" t="s">
        <v>18</v>
      </c>
      <c r="F1782" t="s">
        <v>19</v>
      </c>
      <c r="G1782" t="s">
        <v>20</v>
      </c>
      <c r="J1782" t="s">
        <v>17</v>
      </c>
      <c r="K1782" t="str">
        <f>"17660716"</f>
        <v>17660716</v>
      </c>
      <c r="L1782" t="str">
        <f>"17660716"</f>
        <v>17660716</v>
      </c>
      <c r="M1782" t="s">
        <v>75</v>
      </c>
      <c r="N1782" s="1">
        <v>42872.839583333334</v>
      </c>
      <c r="O1782" t="s">
        <v>19</v>
      </c>
    </row>
    <row r="1783" spans="1:15" x14ac:dyDescent="0.25">
      <c r="A1783" t="s">
        <v>1630</v>
      </c>
      <c r="B1783" t="s">
        <v>15</v>
      </c>
      <c r="C1783" t="s">
        <v>1619</v>
      </c>
      <c r="D1783" t="s">
        <v>17</v>
      </c>
      <c r="E1783" t="s">
        <v>18</v>
      </c>
      <c r="F1783" t="s">
        <v>19</v>
      </c>
      <c r="G1783" t="s">
        <v>20</v>
      </c>
      <c r="J1783" t="s">
        <v>17</v>
      </c>
      <c r="K1783" t="str">
        <f>"6935634675949"</f>
        <v>6935634675949</v>
      </c>
      <c r="L1783" t="str">
        <f>"25127594"</f>
        <v>25127594</v>
      </c>
      <c r="M1783" t="s">
        <v>75</v>
      </c>
      <c r="N1783" s="1">
        <v>42872.839583333334</v>
      </c>
      <c r="O1783" t="s">
        <v>19</v>
      </c>
    </row>
    <row r="1784" spans="1:15" x14ac:dyDescent="0.25">
      <c r="A1784" t="s">
        <v>1631</v>
      </c>
      <c r="B1784" t="s">
        <v>15</v>
      </c>
      <c r="C1784" t="s">
        <v>1619</v>
      </c>
      <c r="D1784" t="s">
        <v>17</v>
      </c>
      <c r="E1784" t="s">
        <v>18</v>
      </c>
      <c r="F1784" t="s">
        <v>19</v>
      </c>
      <c r="G1784" t="s">
        <v>20</v>
      </c>
      <c r="J1784" t="s">
        <v>17</v>
      </c>
      <c r="K1784" t="str">
        <f>"1000001075105"</f>
        <v>1000001075105</v>
      </c>
      <c r="L1784" t="str">
        <f>"76125105"</f>
        <v>76125105</v>
      </c>
      <c r="M1784" t="s">
        <v>75</v>
      </c>
      <c r="N1784" s="1">
        <v>42986.912499999999</v>
      </c>
      <c r="O1784" t="s">
        <v>19</v>
      </c>
    </row>
    <row r="1785" spans="1:15" x14ac:dyDescent="0.25">
      <c r="A1785" t="s">
        <v>1632</v>
      </c>
      <c r="B1785" t="s">
        <v>15</v>
      </c>
      <c r="C1785" t="s">
        <v>1619</v>
      </c>
      <c r="D1785" t="s">
        <v>17</v>
      </c>
      <c r="E1785" t="s">
        <v>18</v>
      </c>
      <c r="F1785" t="s">
        <v>19</v>
      </c>
      <c r="G1785" t="s">
        <v>20</v>
      </c>
      <c r="J1785" t="s">
        <v>17</v>
      </c>
      <c r="K1785" t="str">
        <f>"6941237105707"</f>
        <v>6941237105707</v>
      </c>
      <c r="L1785" t="str">
        <f>"40120001"</f>
        <v>40120001</v>
      </c>
      <c r="M1785" t="s">
        <v>21</v>
      </c>
      <c r="N1785" s="1">
        <v>44435.62222222222</v>
      </c>
      <c r="O1785" t="s">
        <v>19</v>
      </c>
    </row>
    <row r="1786" spans="1:15" x14ac:dyDescent="0.25">
      <c r="A1786" t="s">
        <v>1633</v>
      </c>
      <c r="B1786" t="s">
        <v>15</v>
      </c>
      <c r="C1786" t="s">
        <v>1619</v>
      </c>
      <c r="D1786" t="s">
        <v>17</v>
      </c>
      <c r="E1786" t="s">
        <v>18</v>
      </c>
      <c r="F1786" t="s">
        <v>19</v>
      </c>
      <c r="G1786" t="s">
        <v>20</v>
      </c>
      <c r="J1786" t="s">
        <v>17</v>
      </c>
      <c r="K1786" t="str">
        <f>"6942449780034"</f>
        <v>6942449780034</v>
      </c>
      <c r="L1786" t="str">
        <f>"42BAT71253"</f>
        <v>42BAT71253</v>
      </c>
      <c r="M1786" t="s">
        <v>21</v>
      </c>
      <c r="N1786" s="1">
        <v>44001.59375</v>
      </c>
      <c r="O1786" t="s">
        <v>19</v>
      </c>
    </row>
    <row r="1787" spans="1:15" x14ac:dyDescent="0.25">
      <c r="A1787" t="s">
        <v>1634</v>
      </c>
      <c r="B1787" t="s">
        <v>15</v>
      </c>
      <c r="C1787" t="s">
        <v>1619</v>
      </c>
      <c r="D1787" t="s">
        <v>17</v>
      </c>
      <c r="E1787" t="s">
        <v>18</v>
      </c>
      <c r="F1787" t="s">
        <v>19</v>
      </c>
      <c r="G1787" t="s">
        <v>20</v>
      </c>
      <c r="J1787" t="s">
        <v>17</v>
      </c>
      <c r="K1787" t="str">
        <f>"10012470"</f>
        <v>10012470</v>
      </c>
      <c r="L1787" t="str">
        <f>"10012470"</f>
        <v>10012470</v>
      </c>
      <c r="M1787" t="s">
        <v>75</v>
      </c>
      <c r="N1787" s="1">
        <v>42872.839583333334</v>
      </c>
      <c r="O1787" t="s">
        <v>19</v>
      </c>
    </row>
    <row r="1788" spans="1:15" x14ac:dyDescent="0.25">
      <c r="A1788" t="s">
        <v>1635</v>
      </c>
      <c r="B1788" t="s">
        <v>15</v>
      </c>
      <c r="C1788" t="s">
        <v>1619</v>
      </c>
      <c r="D1788" t="s">
        <v>17</v>
      </c>
      <c r="E1788" t="s">
        <v>18</v>
      </c>
      <c r="F1788" t="s">
        <v>19</v>
      </c>
      <c r="G1788" t="s">
        <v>20</v>
      </c>
      <c r="J1788" t="s">
        <v>17</v>
      </c>
      <c r="K1788" t="str">
        <f>"10101202"</f>
        <v>10101202</v>
      </c>
      <c r="L1788" t="str">
        <f>"10101202"</f>
        <v>10101202</v>
      </c>
      <c r="M1788" t="s">
        <v>75</v>
      </c>
      <c r="N1788" s="1">
        <v>42872.839583333334</v>
      </c>
      <c r="O1788" t="s">
        <v>19</v>
      </c>
    </row>
    <row r="1789" spans="1:15" x14ac:dyDescent="0.25">
      <c r="A1789" t="s">
        <v>1636</v>
      </c>
      <c r="B1789" t="s">
        <v>15</v>
      </c>
      <c r="C1789" t="s">
        <v>1619</v>
      </c>
      <c r="D1789" t="s">
        <v>17</v>
      </c>
      <c r="E1789" t="s">
        <v>18</v>
      </c>
      <c r="F1789" t="s">
        <v>19</v>
      </c>
      <c r="G1789" t="s">
        <v>20</v>
      </c>
      <c r="J1789" t="s">
        <v>17</v>
      </c>
      <c r="K1789" t="str">
        <f>"6925871660907"</f>
        <v>6925871660907</v>
      </c>
      <c r="L1789" t="str">
        <f>"22126090"</f>
        <v>22126090</v>
      </c>
      <c r="M1789" t="s">
        <v>75</v>
      </c>
      <c r="N1789" s="1">
        <v>42907.95</v>
      </c>
      <c r="O1789" t="s">
        <v>19</v>
      </c>
    </row>
    <row r="1790" spans="1:15" x14ac:dyDescent="0.25">
      <c r="A1790" t="s">
        <v>1637</v>
      </c>
      <c r="B1790" t="s">
        <v>15</v>
      </c>
      <c r="C1790" t="s">
        <v>37</v>
      </c>
      <c r="D1790" t="s">
        <v>17</v>
      </c>
      <c r="E1790" t="s">
        <v>18</v>
      </c>
      <c r="F1790" t="s">
        <v>19</v>
      </c>
      <c r="G1790" t="s">
        <v>20</v>
      </c>
      <c r="J1790" t="s">
        <v>17</v>
      </c>
      <c r="K1790" t="str">
        <f>"7858816015328"</f>
        <v>7858816015328</v>
      </c>
      <c r="L1790" t="str">
        <f>"87121532"</f>
        <v>87121532</v>
      </c>
      <c r="M1790" t="s">
        <v>21</v>
      </c>
      <c r="N1790" s="1">
        <v>43889.865277777775</v>
      </c>
      <c r="O1790" t="s">
        <v>19</v>
      </c>
    </row>
    <row r="1791" spans="1:15" x14ac:dyDescent="0.25">
      <c r="A1791" t="s">
        <v>1638</v>
      </c>
      <c r="B1791" t="s">
        <v>15</v>
      </c>
      <c r="C1791" t="s">
        <v>1619</v>
      </c>
      <c r="D1791" t="s">
        <v>17</v>
      </c>
      <c r="E1791" t="s">
        <v>18</v>
      </c>
      <c r="F1791" t="s">
        <v>19</v>
      </c>
      <c r="G1791" t="s">
        <v>20</v>
      </c>
      <c r="J1791" t="s">
        <v>17</v>
      </c>
      <c r="K1791" t="str">
        <f>"1234567890128"</f>
        <v>1234567890128</v>
      </c>
      <c r="L1791" t="str">
        <f>"10002470"</f>
        <v>10002470</v>
      </c>
      <c r="M1791" t="s">
        <v>75</v>
      </c>
      <c r="N1791" s="1">
        <v>42872.839583333334</v>
      </c>
      <c r="O1791" t="s">
        <v>19</v>
      </c>
    </row>
    <row r="1792" spans="1:15" x14ac:dyDescent="0.25">
      <c r="A1792" t="s">
        <v>1638</v>
      </c>
      <c r="B1792" t="s">
        <v>15</v>
      </c>
      <c r="C1792" t="s">
        <v>1619</v>
      </c>
      <c r="D1792" t="s">
        <v>17</v>
      </c>
      <c r="E1792" t="s">
        <v>18</v>
      </c>
      <c r="F1792" t="s">
        <v>19</v>
      </c>
      <c r="G1792" t="s">
        <v>20</v>
      </c>
      <c r="J1792" t="s">
        <v>17</v>
      </c>
      <c r="K1792" t="str">
        <f>"101202470"</f>
        <v>101202470</v>
      </c>
      <c r="L1792" t="str">
        <f>"101202470"</f>
        <v>101202470</v>
      </c>
      <c r="M1792" t="s">
        <v>21</v>
      </c>
      <c r="N1792" s="1">
        <v>42872.847222222219</v>
      </c>
      <c r="O1792" t="s">
        <v>33</v>
      </c>
    </row>
    <row r="1793" spans="1:15" x14ac:dyDescent="0.25">
      <c r="A1793" t="s">
        <v>1639</v>
      </c>
      <c r="B1793" t="s">
        <v>15</v>
      </c>
      <c r="C1793" t="s">
        <v>1613</v>
      </c>
      <c r="D1793" t="s">
        <v>17</v>
      </c>
      <c r="E1793" t="s">
        <v>18</v>
      </c>
      <c r="F1793" t="s">
        <v>19</v>
      </c>
      <c r="G1793" t="s">
        <v>20</v>
      </c>
      <c r="J1793" t="s">
        <v>17</v>
      </c>
      <c r="K1793" t="str">
        <f>"66798000"</f>
        <v>66798000</v>
      </c>
      <c r="L1793" t="str">
        <f>"66798000"</f>
        <v>66798000</v>
      </c>
      <c r="M1793" t="s">
        <v>75</v>
      </c>
      <c r="N1793" s="1">
        <v>42872.847222222219</v>
      </c>
      <c r="O1793" t="s">
        <v>19</v>
      </c>
    </row>
    <row r="1794" spans="1:15" x14ac:dyDescent="0.25">
      <c r="A1794" t="s">
        <v>1640</v>
      </c>
      <c r="B1794" t="s">
        <v>15</v>
      </c>
      <c r="C1794" t="s">
        <v>1613</v>
      </c>
      <c r="D1794" t="s">
        <v>17</v>
      </c>
      <c r="E1794" t="s">
        <v>18</v>
      </c>
      <c r="F1794" t="s">
        <v>19</v>
      </c>
      <c r="G1794" t="s">
        <v>20</v>
      </c>
      <c r="J1794" t="s">
        <v>17</v>
      </c>
      <c r="K1794" t="str">
        <f>"100207832"</f>
        <v>100207832</v>
      </c>
      <c r="L1794" t="str">
        <f>"100207832"</f>
        <v>100207832</v>
      </c>
      <c r="M1794" t="s">
        <v>75</v>
      </c>
      <c r="N1794" s="1">
        <v>42872.847222222219</v>
      </c>
      <c r="O1794" t="s">
        <v>19</v>
      </c>
    </row>
    <row r="1795" spans="1:15" x14ac:dyDescent="0.25">
      <c r="A1795" t="s">
        <v>1641</v>
      </c>
      <c r="B1795" t="s">
        <v>15</v>
      </c>
      <c r="C1795" t="s">
        <v>1613</v>
      </c>
      <c r="D1795" t="s">
        <v>17</v>
      </c>
      <c r="E1795" t="s">
        <v>18</v>
      </c>
      <c r="F1795" t="s">
        <v>19</v>
      </c>
      <c r="G1795" t="s">
        <v>20</v>
      </c>
      <c r="J1795" t="s">
        <v>17</v>
      </c>
      <c r="K1795" t="str">
        <f>"10001581"</f>
        <v>10001581</v>
      </c>
      <c r="L1795" t="str">
        <f>"10001581"</f>
        <v>10001581</v>
      </c>
      <c r="M1795" t="s">
        <v>84</v>
      </c>
      <c r="N1795" s="1">
        <v>43377.660416666666</v>
      </c>
      <c r="O1795" t="s">
        <v>19</v>
      </c>
    </row>
    <row r="1796" spans="1:15" x14ac:dyDescent="0.25">
      <c r="A1796" t="s">
        <v>1642</v>
      </c>
      <c r="B1796" t="s">
        <v>15</v>
      </c>
      <c r="C1796" t="s">
        <v>1613</v>
      </c>
      <c r="D1796" t="s">
        <v>17</v>
      </c>
      <c r="E1796" t="s">
        <v>18</v>
      </c>
      <c r="F1796" t="s">
        <v>19</v>
      </c>
      <c r="G1796" t="s">
        <v>20</v>
      </c>
      <c r="J1796" t="s">
        <v>17</v>
      </c>
      <c r="K1796" t="str">
        <f>"6970463501113"</f>
        <v>6970463501113</v>
      </c>
      <c r="L1796" t="str">
        <f>"76110024"</f>
        <v>76110024</v>
      </c>
      <c r="M1796" t="s">
        <v>75</v>
      </c>
      <c r="N1796" s="1">
        <v>42933.6875</v>
      </c>
      <c r="O1796" t="s">
        <v>19</v>
      </c>
    </row>
    <row r="1797" spans="1:15" x14ac:dyDescent="0.25">
      <c r="A1797" t="s">
        <v>1643</v>
      </c>
      <c r="B1797" t="s">
        <v>15</v>
      </c>
      <c r="C1797" t="s">
        <v>1613</v>
      </c>
      <c r="D1797" t="s">
        <v>17</v>
      </c>
      <c r="E1797" t="s">
        <v>18</v>
      </c>
      <c r="F1797" t="s">
        <v>19</v>
      </c>
      <c r="G1797" t="s">
        <v>20</v>
      </c>
      <c r="J1797" t="s">
        <v>17</v>
      </c>
      <c r="K1797" t="str">
        <f>"1000001075273"</f>
        <v>1000001075273</v>
      </c>
      <c r="L1797" t="str">
        <f>"76110001"</f>
        <v>76110001</v>
      </c>
      <c r="M1797" t="s">
        <v>75</v>
      </c>
      <c r="N1797" s="1">
        <v>43132.887499999997</v>
      </c>
      <c r="O1797" t="s">
        <v>19</v>
      </c>
    </row>
    <row r="1798" spans="1:15" x14ac:dyDescent="0.25">
      <c r="A1798" t="s">
        <v>1644</v>
      </c>
      <c r="B1798" t="s">
        <v>15</v>
      </c>
      <c r="C1798" t="s">
        <v>1613</v>
      </c>
      <c r="D1798" t="s">
        <v>17</v>
      </c>
      <c r="E1798" t="s">
        <v>18</v>
      </c>
      <c r="F1798" t="s">
        <v>19</v>
      </c>
      <c r="G1798" t="s">
        <v>20</v>
      </c>
      <c r="J1798" t="s">
        <v>17</v>
      </c>
      <c r="K1798" t="str">
        <f>"6970463501199"</f>
        <v>6970463501199</v>
      </c>
      <c r="L1798" t="str">
        <f>"10006059"</f>
        <v>10006059</v>
      </c>
      <c r="M1798" t="s">
        <v>84</v>
      </c>
      <c r="N1798" s="1">
        <v>43510.681944444441</v>
      </c>
      <c r="O1798" t="s">
        <v>19</v>
      </c>
    </row>
    <row r="1799" spans="1:15" x14ac:dyDescent="0.25">
      <c r="A1799" t="s">
        <v>1645</v>
      </c>
      <c r="B1799" t="s">
        <v>15</v>
      </c>
      <c r="C1799" t="s">
        <v>1613</v>
      </c>
      <c r="D1799" t="s">
        <v>17</v>
      </c>
      <c r="E1799" t="s">
        <v>18</v>
      </c>
      <c r="F1799" t="s">
        <v>19</v>
      </c>
      <c r="G1799" t="s">
        <v>20</v>
      </c>
      <c r="J1799" t="s">
        <v>17</v>
      </c>
      <c r="K1799" t="str">
        <f>"1000001075150"</f>
        <v>1000001075150</v>
      </c>
      <c r="L1799" t="str">
        <f>"76110020"</f>
        <v>76110020</v>
      </c>
      <c r="M1799" t="s">
        <v>75</v>
      </c>
      <c r="N1799" s="1">
        <v>42959.745833333334</v>
      </c>
      <c r="O1799" t="s">
        <v>19</v>
      </c>
    </row>
    <row r="1800" spans="1:15" x14ac:dyDescent="0.25">
      <c r="A1800" t="s">
        <v>1646</v>
      </c>
      <c r="B1800" t="s">
        <v>15</v>
      </c>
      <c r="C1800" t="s">
        <v>1613</v>
      </c>
      <c r="D1800" t="s">
        <v>17</v>
      </c>
      <c r="E1800" t="s">
        <v>18</v>
      </c>
      <c r="F1800" t="s">
        <v>19</v>
      </c>
      <c r="G1800" t="s">
        <v>20</v>
      </c>
      <c r="J1800" t="s">
        <v>17</v>
      </c>
      <c r="K1800" t="str">
        <f>"10002494"</f>
        <v>10002494</v>
      </c>
      <c r="L1800" t="str">
        <f>"10002494"</f>
        <v>10002494</v>
      </c>
      <c r="M1800" t="s">
        <v>84</v>
      </c>
      <c r="N1800" s="1">
        <v>43510.680555555555</v>
      </c>
      <c r="O1800" t="s">
        <v>19</v>
      </c>
    </row>
    <row r="1801" spans="1:15" x14ac:dyDescent="0.25">
      <c r="A1801" t="s">
        <v>1647</v>
      </c>
      <c r="B1801" t="s">
        <v>15</v>
      </c>
      <c r="C1801" t="s">
        <v>1613</v>
      </c>
      <c r="D1801" t="s">
        <v>17</v>
      </c>
      <c r="E1801" t="s">
        <v>18</v>
      </c>
      <c r="F1801" t="s">
        <v>19</v>
      </c>
      <c r="G1801" t="s">
        <v>20</v>
      </c>
      <c r="J1801" t="s">
        <v>17</v>
      </c>
      <c r="K1801" t="str">
        <f>"506446211227"</f>
        <v>506446211227</v>
      </c>
      <c r="L1801" t="str">
        <f>"76111227"</f>
        <v>76111227</v>
      </c>
      <c r="M1801" t="s">
        <v>75</v>
      </c>
      <c r="N1801" s="1">
        <v>43006.65625</v>
      </c>
      <c r="O1801" t="s">
        <v>19</v>
      </c>
    </row>
    <row r="1802" spans="1:15" x14ac:dyDescent="0.25">
      <c r="A1802" t="s">
        <v>1648</v>
      </c>
      <c r="B1802" t="s">
        <v>15</v>
      </c>
      <c r="C1802" t="s">
        <v>1613</v>
      </c>
      <c r="D1802" t="s">
        <v>17</v>
      </c>
      <c r="E1802" t="s">
        <v>18</v>
      </c>
      <c r="F1802" t="s">
        <v>19</v>
      </c>
      <c r="G1802" t="s">
        <v>20</v>
      </c>
      <c r="J1802" t="s">
        <v>17</v>
      </c>
      <c r="K1802" t="str">
        <f>"885909627455"</f>
        <v>885909627455</v>
      </c>
      <c r="L1802" t="str">
        <f>"76117455"</f>
        <v>76117455</v>
      </c>
      <c r="M1802" t="s">
        <v>75</v>
      </c>
      <c r="N1802" s="1">
        <v>43006.647916666669</v>
      </c>
      <c r="O1802" t="s">
        <v>19</v>
      </c>
    </row>
    <row r="1803" spans="1:15" x14ac:dyDescent="0.25">
      <c r="A1803" t="s">
        <v>1649</v>
      </c>
      <c r="B1803" t="s">
        <v>15</v>
      </c>
      <c r="C1803" t="s">
        <v>1613</v>
      </c>
      <c r="D1803" t="s">
        <v>17</v>
      </c>
      <c r="E1803" t="s">
        <v>18</v>
      </c>
      <c r="F1803" t="s">
        <v>19</v>
      </c>
      <c r="G1803" t="s">
        <v>20</v>
      </c>
      <c r="J1803" t="s">
        <v>17</v>
      </c>
      <c r="K1803" t="str">
        <f>"8669885029296"</f>
        <v>8669885029296</v>
      </c>
      <c r="L1803" t="str">
        <f>"66212929"</f>
        <v>66212929</v>
      </c>
      <c r="M1803" t="s">
        <v>75</v>
      </c>
      <c r="N1803" s="1">
        <v>43147.690972222219</v>
      </c>
      <c r="O1803" t="s">
        <v>19</v>
      </c>
    </row>
    <row r="1804" spans="1:15" x14ac:dyDescent="0.25">
      <c r="A1804" t="s">
        <v>1650</v>
      </c>
      <c r="B1804" t="s">
        <v>15</v>
      </c>
      <c r="C1804" t="s">
        <v>1613</v>
      </c>
      <c r="D1804" t="s">
        <v>17</v>
      </c>
      <c r="E1804" t="s">
        <v>18</v>
      </c>
      <c r="F1804" t="s">
        <v>19</v>
      </c>
      <c r="G1804" t="s">
        <v>20</v>
      </c>
      <c r="J1804" t="s">
        <v>17</v>
      </c>
      <c r="K1804" t="str">
        <f>"1000001075242"</f>
        <v>1000001075242</v>
      </c>
      <c r="L1804" t="str">
        <f>"76115242"</f>
        <v>76115242</v>
      </c>
      <c r="M1804" t="s">
        <v>75</v>
      </c>
      <c r="N1804" s="1">
        <v>42986.90902777778</v>
      </c>
      <c r="O1804" t="s">
        <v>19</v>
      </c>
    </row>
    <row r="1805" spans="1:15" x14ac:dyDescent="0.25">
      <c r="A1805" t="s">
        <v>1651</v>
      </c>
      <c r="B1805" t="s">
        <v>15</v>
      </c>
      <c r="C1805" t="s">
        <v>1613</v>
      </c>
      <c r="D1805" t="s">
        <v>17</v>
      </c>
      <c r="E1805" t="s">
        <v>18</v>
      </c>
      <c r="F1805" t="s">
        <v>19</v>
      </c>
      <c r="G1805" t="s">
        <v>20</v>
      </c>
      <c r="J1805" t="s">
        <v>17</v>
      </c>
      <c r="K1805" t="str">
        <f>"6933138615027"</f>
        <v>6933138615027</v>
      </c>
      <c r="L1805" t="str">
        <f>"76115027"</f>
        <v>76115027</v>
      </c>
      <c r="M1805" t="s">
        <v>75</v>
      </c>
      <c r="N1805" s="1">
        <v>43132.881249999999</v>
      </c>
      <c r="O1805" t="s">
        <v>19</v>
      </c>
    </row>
    <row r="1806" spans="1:15" x14ac:dyDescent="0.25">
      <c r="A1806" t="s">
        <v>1652</v>
      </c>
      <c r="B1806" t="s">
        <v>15</v>
      </c>
      <c r="C1806" t="s">
        <v>1613</v>
      </c>
      <c r="D1806" t="s">
        <v>17</v>
      </c>
      <c r="E1806" t="s">
        <v>18</v>
      </c>
      <c r="F1806" t="s">
        <v>19</v>
      </c>
      <c r="G1806" t="s">
        <v>20</v>
      </c>
      <c r="J1806" t="s">
        <v>17</v>
      </c>
      <c r="K1806" t="str">
        <f>"6999584885896"</f>
        <v>6999584885896</v>
      </c>
      <c r="L1806" t="str">
        <f>"34110036"</f>
        <v>34110036</v>
      </c>
      <c r="M1806" t="s">
        <v>84</v>
      </c>
      <c r="N1806" s="1">
        <v>43396.918055555558</v>
      </c>
      <c r="O1806" t="s">
        <v>19</v>
      </c>
    </row>
    <row r="1807" spans="1:15" x14ac:dyDescent="0.25">
      <c r="A1807" t="s">
        <v>1653</v>
      </c>
      <c r="B1807" t="s">
        <v>15</v>
      </c>
      <c r="C1807" t="s">
        <v>1613</v>
      </c>
      <c r="D1807" t="s">
        <v>17</v>
      </c>
      <c r="E1807" t="s">
        <v>18</v>
      </c>
      <c r="F1807" t="s">
        <v>19</v>
      </c>
      <c r="G1807" t="s">
        <v>20</v>
      </c>
      <c r="J1807" t="s">
        <v>17</v>
      </c>
      <c r="K1807" t="str">
        <f>"6970280945015"</f>
        <v>6970280945015</v>
      </c>
      <c r="L1807" t="str">
        <f>"17110501"</f>
        <v>17110501</v>
      </c>
      <c r="M1807" t="s">
        <v>75</v>
      </c>
      <c r="N1807" s="1">
        <v>42930.929861111108</v>
      </c>
      <c r="O1807" t="s">
        <v>19</v>
      </c>
    </row>
    <row r="1808" spans="1:15" x14ac:dyDescent="0.25">
      <c r="A1808" t="s">
        <v>1654</v>
      </c>
      <c r="B1808" t="s">
        <v>15</v>
      </c>
      <c r="C1808" t="s">
        <v>1613</v>
      </c>
      <c r="D1808" t="s">
        <v>17</v>
      </c>
      <c r="E1808" t="s">
        <v>18</v>
      </c>
      <c r="F1808" t="s">
        <v>19</v>
      </c>
      <c r="G1808" t="s">
        <v>20</v>
      </c>
      <c r="J1808" t="s">
        <v>17</v>
      </c>
      <c r="K1808" t="str">
        <f>"6970463501304"</f>
        <v>6970463501304</v>
      </c>
      <c r="L1808" t="str">
        <f>"76110030"</f>
        <v>76110030</v>
      </c>
      <c r="M1808" t="s">
        <v>21</v>
      </c>
      <c r="N1808" s="1">
        <v>43719.831250000003</v>
      </c>
      <c r="O1808" t="s">
        <v>19</v>
      </c>
    </row>
    <row r="1809" spans="1:15" x14ac:dyDescent="0.25">
      <c r="A1809" t="s">
        <v>1655</v>
      </c>
      <c r="B1809" t="s">
        <v>15</v>
      </c>
      <c r="C1809" t="s">
        <v>1613</v>
      </c>
      <c r="D1809" t="s">
        <v>17</v>
      </c>
      <c r="E1809" t="s">
        <v>18</v>
      </c>
      <c r="F1809" t="s">
        <v>19</v>
      </c>
      <c r="G1809" t="s">
        <v>20</v>
      </c>
      <c r="J1809" t="s">
        <v>17</v>
      </c>
      <c r="K1809" t="str">
        <f>"680988520112"</f>
        <v>680988520112</v>
      </c>
      <c r="L1809" t="str">
        <f>"10001062"</f>
        <v>10001062</v>
      </c>
      <c r="M1809" t="s">
        <v>84</v>
      </c>
      <c r="N1809" s="1">
        <v>43571.972916666666</v>
      </c>
      <c r="O1809" t="s">
        <v>19</v>
      </c>
    </row>
    <row r="1810" spans="1:15" x14ac:dyDescent="0.25">
      <c r="A1810" t="s">
        <v>1656</v>
      </c>
      <c r="B1810" t="s">
        <v>15</v>
      </c>
      <c r="C1810" t="s">
        <v>1613</v>
      </c>
      <c r="D1810" t="s">
        <v>17</v>
      </c>
      <c r="E1810" t="s">
        <v>18</v>
      </c>
      <c r="F1810" t="s">
        <v>19</v>
      </c>
      <c r="G1810" t="s">
        <v>20</v>
      </c>
      <c r="J1810" t="s">
        <v>17</v>
      </c>
      <c r="K1810" t="str">
        <f>"818801033475"</f>
        <v>818801033475</v>
      </c>
      <c r="L1810" t="str">
        <f>"22111347"</f>
        <v>22111347</v>
      </c>
      <c r="M1810" t="s">
        <v>21</v>
      </c>
      <c r="N1810" s="1">
        <v>44442.906944444447</v>
      </c>
      <c r="O1810" t="s">
        <v>19</v>
      </c>
    </row>
    <row r="1811" spans="1:15" x14ac:dyDescent="0.25">
      <c r="A1811" t="s">
        <v>1657</v>
      </c>
      <c r="B1811" t="s">
        <v>15</v>
      </c>
      <c r="C1811" t="s">
        <v>1613</v>
      </c>
      <c r="D1811" t="s">
        <v>17</v>
      </c>
      <c r="E1811" t="s">
        <v>18</v>
      </c>
      <c r="F1811" t="s">
        <v>19</v>
      </c>
      <c r="G1811" t="s">
        <v>20</v>
      </c>
      <c r="J1811" t="s">
        <v>17</v>
      </c>
      <c r="K1811" t="str">
        <f>"10003364"</f>
        <v>10003364</v>
      </c>
      <c r="L1811" t="str">
        <f>"10003364"</f>
        <v>10003364</v>
      </c>
      <c r="M1811" t="s">
        <v>21</v>
      </c>
      <c r="N1811" s="1">
        <v>43596.63958333333</v>
      </c>
      <c r="O1811" t="s">
        <v>19</v>
      </c>
    </row>
    <row r="1812" spans="1:15" x14ac:dyDescent="0.25">
      <c r="A1812" t="s">
        <v>1658</v>
      </c>
      <c r="B1812" t="s">
        <v>15</v>
      </c>
      <c r="C1812" t="s">
        <v>1613</v>
      </c>
      <c r="D1812" t="s">
        <v>17</v>
      </c>
      <c r="E1812" t="s">
        <v>18</v>
      </c>
      <c r="F1812" t="s">
        <v>19</v>
      </c>
      <c r="G1812" t="s">
        <v>20</v>
      </c>
      <c r="J1812" t="s">
        <v>17</v>
      </c>
      <c r="K1812" t="str">
        <f>"6925871601160"</f>
        <v>6925871601160</v>
      </c>
      <c r="L1812" t="str">
        <f>"22110116"</f>
        <v>22110116</v>
      </c>
      <c r="M1812" t="s">
        <v>21</v>
      </c>
      <c r="N1812" s="1">
        <v>43752.709027777775</v>
      </c>
      <c r="O1812" t="s">
        <v>19</v>
      </c>
    </row>
    <row r="1813" spans="1:15" x14ac:dyDescent="0.25">
      <c r="A1813" t="s">
        <v>1659</v>
      </c>
      <c r="B1813" t="s">
        <v>15</v>
      </c>
      <c r="C1813" t="s">
        <v>1613</v>
      </c>
      <c r="D1813" t="s">
        <v>17</v>
      </c>
      <c r="E1813" t="s">
        <v>18</v>
      </c>
      <c r="F1813" t="s">
        <v>19</v>
      </c>
      <c r="G1813" t="s">
        <v>20</v>
      </c>
      <c r="J1813" t="s">
        <v>17</v>
      </c>
      <c r="K1813" t="str">
        <f>"6925871602754"</f>
        <v>6925871602754</v>
      </c>
      <c r="L1813" t="str">
        <f>"22120275"</f>
        <v>22120275</v>
      </c>
      <c r="M1813" t="s">
        <v>21</v>
      </c>
      <c r="N1813" s="1">
        <v>43369.761111111111</v>
      </c>
      <c r="O1813" t="s">
        <v>19</v>
      </c>
    </row>
    <row r="1814" spans="1:15" x14ac:dyDescent="0.25">
      <c r="A1814" t="s">
        <v>1660</v>
      </c>
      <c r="B1814" t="s">
        <v>15</v>
      </c>
      <c r="C1814" t="s">
        <v>1613</v>
      </c>
      <c r="D1814" t="s">
        <v>17</v>
      </c>
      <c r="E1814" t="s">
        <v>18</v>
      </c>
      <c r="F1814" t="s">
        <v>19</v>
      </c>
      <c r="G1814" t="s">
        <v>20</v>
      </c>
      <c r="J1814" t="s">
        <v>17</v>
      </c>
      <c r="K1814" t="str">
        <f>"6925871603218"</f>
        <v>6925871603218</v>
      </c>
      <c r="L1814" t="str">
        <f>"98110321"</f>
        <v>98110321</v>
      </c>
      <c r="M1814" t="s">
        <v>21</v>
      </c>
      <c r="N1814" s="1">
        <v>43011.861805555556</v>
      </c>
      <c r="O1814" t="s">
        <v>19</v>
      </c>
    </row>
    <row r="1815" spans="1:15" x14ac:dyDescent="0.25">
      <c r="A1815" t="s">
        <v>1661</v>
      </c>
      <c r="B1815" t="s">
        <v>15</v>
      </c>
      <c r="C1815" t="s">
        <v>1613</v>
      </c>
      <c r="D1815" t="s">
        <v>17</v>
      </c>
      <c r="E1815" t="s">
        <v>18</v>
      </c>
      <c r="F1815" t="s">
        <v>19</v>
      </c>
      <c r="G1815" t="s">
        <v>20</v>
      </c>
      <c r="J1815" t="s">
        <v>17</v>
      </c>
      <c r="K1815" t="str">
        <f>"6933584885836"</f>
        <v>6933584885836</v>
      </c>
      <c r="L1815" t="str">
        <f>"34110700"</f>
        <v>34110700</v>
      </c>
      <c r="M1815" t="s">
        <v>21</v>
      </c>
      <c r="N1815" s="1">
        <v>43720.95208333333</v>
      </c>
      <c r="O1815" t="s">
        <v>19</v>
      </c>
    </row>
    <row r="1816" spans="1:15" x14ac:dyDescent="0.25">
      <c r="A1816" t="s">
        <v>1662</v>
      </c>
      <c r="B1816" t="s">
        <v>15</v>
      </c>
      <c r="C1816" t="s">
        <v>1613</v>
      </c>
      <c r="D1816" t="s">
        <v>17</v>
      </c>
      <c r="E1816" t="s">
        <v>18</v>
      </c>
      <c r="F1816" t="s">
        <v>19</v>
      </c>
      <c r="G1816" t="s">
        <v>20</v>
      </c>
      <c r="J1816" t="s">
        <v>17</v>
      </c>
      <c r="K1816" t="str">
        <f>"7858816041259"</f>
        <v>7858816041259</v>
      </c>
      <c r="L1816" t="str">
        <f>"87114125"</f>
        <v>87114125</v>
      </c>
      <c r="M1816" t="s">
        <v>21</v>
      </c>
      <c r="N1816" s="1">
        <v>43314.713194444441</v>
      </c>
      <c r="O1816" t="s">
        <v>19</v>
      </c>
    </row>
    <row r="1817" spans="1:15" x14ac:dyDescent="0.25">
      <c r="A1817" t="s">
        <v>1663</v>
      </c>
      <c r="B1817" t="s">
        <v>15</v>
      </c>
      <c r="C1817" t="s">
        <v>1613</v>
      </c>
      <c r="D1817" t="s">
        <v>17</v>
      </c>
      <c r="E1817" t="s">
        <v>18</v>
      </c>
      <c r="F1817" t="s">
        <v>19</v>
      </c>
      <c r="G1817" t="s">
        <v>20</v>
      </c>
      <c r="J1817" t="s">
        <v>17</v>
      </c>
      <c r="K1817" t="str">
        <f>"7858816059766"</f>
        <v>7858816059766</v>
      </c>
      <c r="L1817" t="str">
        <f>"87115976"</f>
        <v>87115976</v>
      </c>
      <c r="M1817" t="s">
        <v>21</v>
      </c>
      <c r="N1817" s="1">
        <v>43708.875</v>
      </c>
      <c r="O1817" t="s">
        <v>19</v>
      </c>
    </row>
    <row r="1818" spans="1:15" x14ac:dyDescent="0.25">
      <c r="A1818" t="s">
        <v>1664</v>
      </c>
      <c r="B1818" t="s">
        <v>15</v>
      </c>
      <c r="C1818" t="s">
        <v>1613</v>
      </c>
      <c r="D1818" t="s">
        <v>17</v>
      </c>
      <c r="E1818" t="s">
        <v>18</v>
      </c>
      <c r="F1818" t="s">
        <v>19</v>
      </c>
      <c r="G1818" t="s">
        <v>20</v>
      </c>
      <c r="J1818" t="s">
        <v>17</v>
      </c>
      <c r="K1818" t="str">
        <f>"7858816063213"</f>
        <v>7858816063213</v>
      </c>
      <c r="L1818" t="str">
        <f>"87116321"</f>
        <v>87116321</v>
      </c>
      <c r="M1818" t="s">
        <v>21</v>
      </c>
      <c r="N1818" s="1">
        <v>43252.727083333331</v>
      </c>
      <c r="O1818" t="s">
        <v>19</v>
      </c>
    </row>
    <row r="1819" spans="1:15" x14ac:dyDescent="0.25">
      <c r="A1819" t="s">
        <v>1665</v>
      </c>
      <c r="B1819" t="s">
        <v>15</v>
      </c>
      <c r="C1819" t="s">
        <v>1613</v>
      </c>
      <c r="D1819" t="s">
        <v>17</v>
      </c>
      <c r="E1819" t="s">
        <v>18</v>
      </c>
      <c r="F1819" t="s">
        <v>19</v>
      </c>
      <c r="G1819" t="s">
        <v>20</v>
      </c>
      <c r="J1819" t="s">
        <v>17</v>
      </c>
      <c r="K1819" t="str">
        <f>"7858816077968"</f>
        <v>7858816077968</v>
      </c>
      <c r="L1819" t="str">
        <f>"87117796"</f>
        <v>87117796</v>
      </c>
      <c r="M1819" t="s">
        <v>21</v>
      </c>
      <c r="N1819" s="1">
        <v>43603.769444444442</v>
      </c>
      <c r="O1819" t="s">
        <v>19</v>
      </c>
    </row>
    <row r="1820" spans="1:15" x14ac:dyDescent="0.25">
      <c r="A1820" t="s">
        <v>1666</v>
      </c>
      <c r="B1820" t="s">
        <v>15</v>
      </c>
      <c r="C1820" t="s">
        <v>1613</v>
      </c>
      <c r="D1820" t="s">
        <v>17</v>
      </c>
      <c r="E1820" t="s">
        <v>18</v>
      </c>
      <c r="F1820" t="s">
        <v>19</v>
      </c>
      <c r="G1820" t="s">
        <v>20</v>
      </c>
      <c r="J1820" t="s">
        <v>17</v>
      </c>
      <c r="K1820" t="str">
        <f>"7858816085581"</f>
        <v>7858816085581</v>
      </c>
      <c r="L1820" t="str">
        <f>"87118558"</f>
        <v>87118558</v>
      </c>
      <c r="M1820" t="s">
        <v>21</v>
      </c>
      <c r="N1820" s="1">
        <v>44404.701388888891</v>
      </c>
      <c r="O1820" t="s">
        <v>19</v>
      </c>
    </row>
    <row r="1821" spans="1:15" x14ac:dyDescent="0.25">
      <c r="A1821" t="s">
        <v>1667</v>
      </c>
      <c r="B1821" t="s">
        <v>15</v>
      </c>
      <c r="C1821" t="s">
        <v>1613</v>
      </c>
      <c r="D1821" t="s">
        <v>17</v>
      </c>
      <c r="E1821" t="s">
        <v>18</v>
      </c>
      <c r="F1821" t="s">
        <v>19</v>
      </c>
      <c r="G1821" t="s">
        <v>20</v>
      </c>
      <c r="J1821" t="s">
        <v>17</v>
      </c>
      <c r="K1821" t="str">
        <f>"7858816085598"</f>
        <v>7858816085598</v>
      </c>
      <c r="L1821" t="str">
        <f>"87118559"</f>
        <v>87118559</v>
      </c>
      <c r="M1821" t="s">
        <v>21</v>
      </c>
      <c r="N1821" s="1">
        <v>44404.711111111108</v>
      </c>
      <c r="O1821" t="s">
        <v>19</v>
      </c>
    </row>
    <row r="1822" spans="1:15" x14ac:dyDescent="0.25">
      <c r="A1822" t="s">
        <v>1668</v>
      </c>
      <c r="B1822" t="s">
        <v>15</v>
      </c>
      <c r="C1822" t="s">
        <v>1613</v>
      </c>
      <c r="D1822" t="s">
        <v>17</v>
      </c>
      <c r="E1822" t="s">
        <v>18</v>
      </c>
      <c r="F1822" t="s">
        <v>19</v>
      </c>
      <c r="G1822" t="s">
        <v>20</v>
      </c>
      <c r="J1822" t="s">
        <v>17</v>
      </c>
      <c r="K1822" t="str">
        <f>"8944870147194"</f>
        <v>8944870147194</v>
      </c>
      <c r="L1822" t="str">
        <f>"8944870147200"</f>
        <v>8944870147200</v>
      </c>
      <c r="M1822" t="s">
        <v>21</v>
      </c>
      <c r="N1822" s="1">
        <v>42872.847222222219</v>
      </c>
      <c r="O1822" t="s">
        <v>19</v>
      </c>
    </row>
    <row r="1823" spans="1:15" x14ac:dyDescent="0.25">
      <c r="A1823" t="s">
        <v>1669</v>
      </c>
      <c r="B1823" t="s">
        <v>15</v>
      </c>
      <c r="C1823" t="s">
        <v>1613</v>
      </c>
      <c r="D1823" t="s">
        <v>17</v>
      </c>
      <c r="E1823" t="s">
        <v>18</v>
      </c>
      <c r="F1823" t="s">
        <v>19</v>
      </c>
      <c r="G1823" t="s">
        <v>20</v>
      </c>
      <c r="J1823" t="s">
        <v>17</v>
      </c>
      <c r="K1823" t="str">
        <f>"8944870157902"</f>
        <v>8944870157902</v>
      </c>
      <c r="L1823" t="str">
        <f>"8944870157896"</f>
        <v>8944870157896</v>
      </c>
      <c r="M1823" t="s">
        <v>21</v>
      </c>
      <c r="N1823" s="1">
        <v>43889.909722222219</v>
      </c>
      <c r="O1823" t="s">
        <v>19</v>
      </c>
    </row>
    <row r="1824" spans="1:15" x14ac:dyDescent="0.25">
      <c r="A1824" t="s">
        <v>1670</v>
      </c>
      <c r="B1824" t="s">
        <v>15</v>
      </c>
      <c r="C1824" t="s">
        <v>1613</v>
      </c>
      <c r="D1824" t="s">
        <v>17</v>
      </c>
      <c r="E1824" t="s">
        <v>18</v>
      </c>
      <c r="F1824" t="s">
        <v>19</v>
      </c>
      <c r="G1824" t="s">
        <v>20</v>
      </c>
      <c r="J1824" t="s">
        <v>17</v>
      </c>
      <c r="K1824" t="str">
        <f>"6874588480110"</f>
        <v>6874588480110</v>
      </c>
      <c r="L1824" t="str">
        <f>"76110011"</f>
        <v>76110011</v>
      </c>
      <c r="M1824" t="s">
        <v>75</v>
      </c>
      <c r="N1824" s="1">
        <v>43147.713888888888</v>
      </c>
      <c r="O1824" t="s">
        <v>19</v>
      </c>
    </row>
    <row r="1825" spans="1:15" x14ac:dyDescent="0.25">
      <c r="A1825" t="s">
        <v>1671</v>
      </c>
      <c r="B1825" t="s">
        <v>15</v>
      </c>
      <c r="C1825" t="s">
        <v>1613</v>
      </c>
      <c r="D1825" t="s">
        <v>17</v>
      </c>
      <c r="E1825" t="s">
        <v>18</v>
      </c>
      <c r="F1825" t="s">
        <v>19</v>
      </c>
      <c r="G1825" t="s">
        <v>20</v>
      </c>
      <c r="J1825" t="s">
        <v>17</v>
      </c>
      <c r="K1825" t="str">
        <f>"1000001075341"</f>
        <v>1000001075341</v>
      </c>
      <c r="L1825" t="str">
        <f>"76117486"</f>
        <v>76117486</v>
      </c>
      <c r="M1825" t="s">
        <v>75</v>
      </c>
      <c r="N1825" s="1">
        <v>43006.654861111114</v>
      </c>
      <c r="O1825" t="s">
        <v>19</v>
      </c>
    </row>
    <row r="1826" spans="1:15" x14ac:dyDescent="0.25">
      <c r="A1826" t="s">
        <v>1672</v>
      </c>
      <c r="B1826" t="s">
        <v>15</v>
      </c>
      <c r="C1826" t="s">
        <v>1613</v>
      </c>
      <c r="D1826" t="s">
        <v>17</v>
      </c>
      <c r="E1826" t="s">
        <v>18</v>
      </c>
      <c r="F1826" t="s">
        <v>19</v>
      </c>
      <c r="G1826" t="s">
        <v>20</v>
      </c>
      <c r="J1826" t="s">
        <v>17</v>
      </c>
      <c r="K1826" t="str">
        <f>"11000616"</f>
        <v>11000616</v>
      </c>
      <c r="L1826" t="str">
        <f>"11000616"</f>
        <v>11000616</v>
      </c>
      <c r="M1826" t="s">
        <v>75</v>
      </c>
      <c r="N1826" s="1">
        <v>42872.839583333334</v>
      </c>
      <c r="O1826" t="s">
        <v>19</v>
      </c>
    </row>
    <row r="1827" spans="1:15" x14ac:dyDescent="0.25">
      <c r="A1827" t="s">
        <v>1673</v>
      </c>
      <c r="B1827" t="s">
        <v>15</v>
      </c>
      <c r="C1827" t="s">
        <v>1613</v>
      </c>
      <c r="D1827" t="s">
        <v>17</v>
      </c>
      <c r="E1827" t="s">
        <v>18</v>
      </c>
      <c r="F1827" t="s">
        <v>19</v>
      </c>
      <c r="G1827" t="s">
        <v>20</v>
      </c>
      <c r="J1827" t="s">
        <v>17</v>
      </c>
      <c r="K1827" t="str">
        <f>"76110133"</f>
        <v>76110133</v>
      </c>
      <c r="L1827" t="str">
        <f>"76110133"</f>
        <v>76110133</v>
      </c>
      <c r="M1827" t="s">
        <v>75</v>
      </c>
      <c r="N1827" s="1">
        <v>43132.88958333333</v>
      </c>
      <c r="O1827" t="s">
        <v>19</v>
      </c>
    </row>
    <row r="1828" spans="1:15" x14ac:dyDescent="0.25">
      <c r="A1828" t="s">
        <v>1674</v>
      </c>
      <c r="B1828" t="s">
        <v>15</v>
      </c>
      <c r="C1828" t="s">
        <v>1613</v>
      </c>
      <c r="D1828" t="s">
        <v>17</v>
      </c>
      <c r="E1828" t="s">
        <v>18</v>
      </c>
      <c r="F1828" t="s">
        <v>19</v>
      </c>
      <c r="G1828" t="s">
        <v>20</v>
      </c>
      <c r="J1828" t="s">
        <v>17</v>
      </c>
      <c r="K1828" t="str">
        <f>"004438"</f>
        <v>004438</v>
      </c>
      <c r="L1828" t="str">
        <f>"33111400"</f>
        <v>33111400</v>
      </c>
      <c r="M1828" t="s">
        <v>75</v>
      </c>
      <c r="N1828" s="1">
        <v>43046.629861111112</v>
      </c>
      <c r="O1828" t="s">
        <v>19</v>
      </c>
    </row>
    <row r="1829" spans="1:15" x14ac:dyDescent="0.25">
      <c r="A1829" t="s">
        <v>1675</v>
      </c>
      <c r="B1829" t="s">
        <v>15</v>
      </c>
      <c r="C1829" t="s">
        <v>1613</v>
      </c>
      <c r="D1829" t="s">
        <v>17</v>
      </c>
      <c r="E1829" t="s">
        <v>18</v>
      </c>
      <c r="F1829" t="s">
        <v>19</v>
      </c>
      <c r="G1829" t="s">
        <v>20</v>
      </c>
      <c r="J1829" t="s">
        <v>17</v>
      </c>
      <c r="K1829" t="str">
        <f>"8806086785563"</f>
        <v>8806086785563</v>
      </c>
      <c r="L1829" t="str">
        <f>"30111402"</f>
        <v>30111402</v>
      </c>
      <c r="M1829" t="s">
        <v>75</v>
      </c>
      <c r="N1829" s="1">
        <v>43064.768750000003</v>
      </c>
      <c r="O1829" t="s">
        <v>19</v>
      </c>
    </row>
    <row r="1830" spans="1:15" x14ac:dyDescent="0.25">
      <c r="A1830" t="s">
        <v>1676</v>
      </c>
      <c r="B1830" t="s">
        <v>15</v>
      </c>
      <c r="C1830" t="s">
        <v>1613</v>
      </c>
      <c r="D1830" t="s">
        <v>17</v>
      </c>
      <c r="E1830" t="s">
        <v>18</v>
      </c>
      <c r="F1830" t="s">
        <v>19</v>
      </c>
      <c r="G1830" t="s">
        <v>20</v>
      </c>
      <c r="J1830" t="s">
        <v>17</v>
      </c>
      <c r="K1830" t="str">
        <f>"6999011856420"</f>
        <v>6999011856420</v>
      </c>
      <c r="L1830" t="str">
        <f>"34110013"</f>
        <v>34110013</v>
      </c>
      <c r="M1830" t="s">
        <v>84</v>
      </c>
      <c r="N1830" s="1">
        <v>43420.750694444447</v>
      </c>
      <c r="O1830" t="s">
        <v>19</v>
      </c>
    </row>
    <row r="1831" spans="1:15" x14ac:dyDescent="0.25">
      <c r="A1831" t="s">
        <v>1677</v>
      </c>
      <c r="B1831" t="s">
        <v>15</v>
      </c>
      <c r="C1831" t="s">
        <v>1613</v>
      </c>
      <c r="D1831" t="s">
        <v>17</v>
      </c>
      <c r="E1831" t="s">
        <v>18</v>
      </c>
      <c r="F1831" t="s">
        <v>19</v>
      </c>
      <c r="G1831" t="s">
        <v>20</v>
      </c>
      <c r="J1831" t="s">
        <v>17</v>
      </c>
      <c r="K1831" t="str">
        <f>"6995890117737"</f>
        <v>6995890117737</v>
      </c>
      <c r="L1831" t="str">
        <f>"34110028"</f>
        <v>34110028</v>
      </c>
      <c r="M1831" t="s">
        <v>84</v>
      </c>
      <c r="N1831" s="1">
        <v>43257.866666666669</v>
      </c>
      <c r="O1831" t="s">
        <v>19</v>
      </c>
    </row>
    <row r="1832" spans="1:15" x14ac:dyDescent="0.25">
      <c r="A1832" t="s">
        <v>1678</v>
      </c>
      <c r="B1832" t="s">
        <v>15</v>
      </c>
      <c r="C1832" t="s">
        <v>1613</v>
      </c>
      <c r="D1832" t="s">
        <v>17</v>
      </c>
      <c r="E1832" t="s">
        <v>18</v>
      </c>
      <c r="F1832" t="s">
        <v>19</v>
      </c>
      <c r="G1832" t="s">
        <v>20</v>
      </c>
      <c r="J1832" t="s">
        <v>17</v>
      </c>
      <c r="K1832" t="str">
        <f>"56014721245"</f>
        <v>56014721245</v>
      </c>
      <c r="L1832" t="str">
        <f>"30111000"</f>
        <v>30111000</v>
      </c>
      <c r="M1832" t="s">
        <v>75</v>
      </c>
      <c r="N1832" s="1">
        <v>43064.772222222222</v>
      </c>
      <c r="O1832" t="s">
        <v>19</v>
      </c>
    </row>
    <row r="1833" spans="1:15" x14ac:dyDescent="0.25">
      <c r="A1833" t="s">
        <v>1679</v>
      </c>
      <c r="B1833" t="s">
        <v>15</v>
      </c>
      <c r="C1833" t="s">
        <v>1613</v>
      </c>
      <c r="D1833" t="s">
        <v>17</v>
      </c>
      <c r="E1833" t="s">
        <v>18</v>
      </c>
      <c r="F1833" t="s">
        <v>19</v>
      </c>
      <c r="G1833" t="s">
        <v>20</v>
      </c>
      <c r="J1833" t="s">
        <v>17</v>
      </c>
      <c r="K1833" t="str">
        <f>"6921002674904"</f>
        <v>6921002674904</v>
      </c>
      <c r="L1833" t="str">
        <f>"34117490"</f>
        <v>34117490</v>
      </c>
      <c r="M1833" t="s">
        <v>21</v>
      </c>
      <c r="N1833" s="1">
        <v>43889.635416666664</v>
      </c>
      <c r="O1833" t="s">
        <v>19</v>
      </c>
    </row>
    <row r="1834" spans="1:15" x14ac:dyDescent="0.25">
      <c r="A1834" t="s">
        <v>1680</v>
      </c>
      <c r="B1834" t="s">
        <v>15</v>
      </c>
      <c r="C1834" t="s">
        <v>1613</v>
      </c>
      <c r="D1834" t="s">
        <v>17</v>
      </c>
      <c r="E1834" t="s">
        <v>18</v>
      </c>
      <c r="F1834" t="s">
        <v>19</v>
      </c>
      <c r="G1834" t="s">
        <v>20</v>
      </c>
      <c r="J1834" t="s">
        <v>17</v>
      </c>
      <c r="K1834" t="str">
        <f>"34111400"</f>
        <v>34111400</v>
      </c>
      <c r="L1834" t="str">
        <f>"34111400"</f>
        <v>34111400</v>
      </c>
      <c r="M1834" t="s">
        <v>75</v>
      </c>
      <c r="N1834" s="1">
        <v>42872.839583333334</v>
      </c>
      <c r="O1834" t="s">
        <v>19</v>
      </c>
    </row>
    <row r="1835" spans="1:15" x14ac:dyDescent="0.25">
      <c r="A1835" t="s">
        <v>1681</v>
      </c>
      <c r="B1835" t="s">
        <v>15</v>
      </c>
      <c r="C1835" t="s">
        <v>1613</v>
      </c>
      <c r="D1835" t="s">
        <v>17</v>
      </c>
      <c r="E1835" t="s">
        <v>18</v>
      </c>
      <c r="F1835" t="s">
        <v>19</v>
      </c>
      <c r="G1835" t="s">
        <v>20</v>
      </c>
      <c r="J1835" t="s">
        <v>17</v>
      </c>
      <c r="K1835" t="str">
        <f>"6999011856413"</f>
        <v>6999011856413</v>
      </c>
      <c r="L1835" t="str">
        <f>"34111300"</f>
        <v>34111300</v>
      </c>
      <c r="M1835" t="s">
        <v>84</v>
      </c>
      <c r="N1835" s="1">
        <v>43420.751388888886</v>
      </c>
      <c r="O1835" t="s">
        <v>19</v>
      </c>
    </row>
    <row r="1836" spans="1:15" x14ac:dyDescent="0.25">
      <c r="A1836" t="s">
        <v>1682</v>
      </c>
      <c r="B1836" t="s">
        <v>15</v>
      </c>
      <c r="C1836" t="s">
        <v>37</v>
      </c>
      <c r="D1836" t="s">
        <v>17</v>
      </c>
      <c r="E1836" t="s">
        <v>18</v>
      </c>
      <c r="F1836" t="s">
        <v>19</v>
      </c>
      <c r="G1836" t="s">
        <v>20</v>
      </c>
      <c r="J1836" t="s">
        <v>17</v>
      </c>
      <c r="K1836" t="str">
        <f>"10002522"</f>
        <v>10002522</v>
      </c>
      <c r="L1836" t="str">
        <f>"10002522"</f>
        <v>10002522</v>
      </c>
      <c r="M1836" t="s">
        <v>21</v>
      </c>
      <c r="N1836" s="1">
        <v>43708.770833333336</v>
      </c>
      <c r="O1836" t="s">
        <v>19</v>
      </c>
    </row>
    <row r="1837" spans="1:15" x14ac:dyDescent="0.25">
      <c r="A1837" t="s">
        <v>1683</v>
      </c>
      <c r="B1837" t="s">
        <v>15</v>
      </c>
      <c r="C1837" t="s">
        <v>1619</v>
      </c>
      <c r="D1837" t="s">
        <v>17</v>
      </c>
      <c r="E1837" t="s">
        <v>18</v>
      </c>
      <c r="F1837" t="s">
        <v>19</v>
      </c>
      <c r="G1837" t="s">
        <v>20</v>
      </c>
      <c r="J1837" t="s">
        <v>17</v>
      </c>
      <c r="K1837" t="str">
        <f>"110103935"</f>
        <v>110103935</v>
      </c>
      <c r="L1837" t="str">
        <f>"110103935"</f>
        <v>110103935</v>
      </c>
      <c r="M1837" t="s">
        <v>75</v>
      </c>
      <c r="N1837" s="1">
        <v>42872.847222222219</v>
      </c>
      <c r="O1837" t="s">
        <v>19</v>
      </c>
    </row>
    <row r="1838" spans="1:15" x14ac:dyDescent="0.25">
      <c r="A1838" t="s">
        <v>1684</v>
      </c>
      <c r="B1838" t="s">
        <v>15</v>
      </c>
      <c r="C1838" t="s">
        <v>1619</v>
      </c>
      <c r="D1838" t="s">
        <v>17</v>
      </c>
      <c r="E1838" t="s">
        <v>18</v>
      </c>
      <c r="F1838" t="s">
        <v>19</v>
      </c>
      <c r="G1838" t="s">
        <v>20</v>
      </c>
      <c r="J1838" t="s">
        <v>17</v>
      </c>
      <c r="K1838" t="str">
        <f>"6970280942014"</f>
        <v>6970280942014</v>
      </c>
      <c r="L1838" t="str">
        <f>"17120201"</f>
        <v>17120201</v>
      </c>
      <c r="M1838" t="s">
        <v>75</v>
      </c>
      <c r="N1838" s="1">
        <v>42956.913888888892</v>
      </c>
      <c r="O1838" t="s">
        <v>19</v>
      </c>
    </row>
    <row r="1839" spans="1:15" x14ac:dyDescent="0.25">
      <c r="A1839" t="s">
        <v>1685</v>
      </c>
      <c r="B1839" t="s">
        <v>15</v>
      </c>
      <c r="C1839" t="s">
        <v>1619</v>
      </c>
      <c r="D1839" t="s">
        <v>17</v>
      </c>
      <c r="E1839" t="s">
        <v>18</v>
      </c>
      <c r="F1839" t="s">
        <v>19</v>
      </c>
      <c r="G1839" t="s">
        <v>20</v>
      </c>
      <c r="J1839" t="s">
        <v>17</v>
      </c>
      <c r="K1839" t="str">
        <f>"76651401"</f>
        <v>76651401</v>
      </c>
      <c r="L1839" t="str">
        <f>"76651401"</f>
        <v>76651401</v>
      </c>
      <c r="M1839" t="s">
        <v>75</v>
      </c>
      <c r="N1839" s="1">
        <v>42872.847222222219</v>
      </c>
      <c r="O1839" t="s">
        <v>19</v>
      </c>
    </row>
    <row r="1840" spans="1:15" x14ac:dyDescent="0.25">
      <c r="A1840" t="s">
        <v>1686</v>
      </c>
      <c r="B1840" t="s">
        <v>15</v>
      </c>
      <c r="C1840" t="s">
        <v>1619</v>
      </c>
      <c r="D1840" t="s">
        <v>17</v>
      </c>
      <c r="E1840" t="s">
        <v>18</v>
      </c>
      <c r="F1840" t="s">
        <v>19</v>
      </c>
      <c r="G1840" t="s">
        <v>20</v>
      </c>
      <c r="J1840" t="s">
        <v>17</v>
      </c>
      <c r="K1840" t="str">
        <f>"76651402"</f>
        <v>76651402</v>
      </c>
      <c r="L1840" t="str">
        <f>"76651402"</f>
        <v>76651402</v>
      </c>
      <c r="M1840" t="s">
        <v>75</v>
      </c>
      <c r="N1840" s="1">
        <v>42872.847222222219</v>
      </c>
      <c r="O1840" t="s">
        <v>19</v>
      </c>
    </row>
    <row r="1841" spans="1:15" x14ac:dyDescent="0.25">
      <c r="A1841" t="s">
        <v>1687</v>
      </c>
      <c r="B1841" t="s">
        <v>15</v>
      </c>
      <c r="C1841" t="s">
        <v>1619</v>
      </c>
      <c r="D1841" t="s">
        <v>17</v>
      </c>
      <c r="E1841" t="s">
        <v>18</v>
      </c>
      <c r="F1841" t="s">
        <v>19</v>
      </c>
      <c r="G1841" t="s">
        <v>20</v>
      </c>
      <c r="J1841" t="s">
        <v>17</v>
      </c>
      <c r="K1841" t="str">
        <f>"10003260"</f>
        <v>10003260</v>
      </c>
      <c r="L1841" t="str">
        <f>"10003260"</f>
        <v>10003260</v>
      </c>
      <c r="M1841" t="s">
        <v>75</v>
      </c>
      <c r="N1841" s="1">
        <v>42872.839583333334</v>
      </c>
      <c r="O1841" t="s">
        <v>19</v>
      </c>
    </row>
    <row r="1842" spans="1:15" x14ac:dyDescent="0.25">
      <c r="A1842" t="s">
        <v>1688</v>
      </c>
      <c r="B1842" t="s">
        <v>15</v>
      </c>
      <c r="C1842" t="s">
        <v>1619</v>
      </c>
      <c r="D1842" t="s">
        <v>17</v>
      </c>
      <c r="E1842" t="s">
        <v>18</v>
      </c>
      <c r="F1842" t="s">
        <v>19</v>
      </c>
      <c r="G1842" t="s">
        <v>20</v>
      </c>
      <c r="J1842" t="s">
        <v>17</v>
      </c>
      <c r="K1842" t="str">
        <f>"76121408"</f>
        <v>76121408</v>
      </c>
      <c r="L1842" t="str">
        <f>"76121408"</f>
        <v>76121408</v>
      </c>
      <c r="M1842" t="s">
        <v>75</v>
      </c>
      <c r="N1842" s="1">
        <v>42872.847222222219</v>
      </c>
      <c r="O1842" t="s">
        <v>19</v>
      </c>
    </row>
    <row r="1843" spans="1:15" x14ac:dyDescent="0.25">
      <c r="A1843" t="s">
        <v>1689</v>
      </c>
      <c r="B1843" t="s">
        <v>15</v>
      </c>
      <c r="C1843" t="s">
        <v>1619</v>
      </c>
      <c r="D1843" t="s">
        <v>17</v>
      </c>
      <c r="E1843" t="s">
        <v>18</v>
      </c>
      <c r="F1843" t="s">
        <v>19</v>
      </c>
      <c r="G1843" t="s">
        <v>20</v>
      </c>
      <c r="J1843" t="s">
        <v>17</v>
      </c>
      <c r="K1843" t="str">
        <f>"10000934"</f>
        <v>10000934</v>
      </c>
      <c r="L1843" t="str">
        <f>"10000934"</f>
        <v>10000934</v>
      </c>
      <c r="M1843" t="s">
        <v>75</v>
      </c>
      <c r="N1843" s="1">
        <v>42872.839583333334</v>
      </c>
      <c r="O1843" t="s">
        <v>19</v>
      </c>
    </row>
    <row r="1844" spans="1:15" x14ac:dyDescent="0.25">
      <c r="A1844" t="s">
        <v>1690</v>
      </c>
      <c r="B1844" t="s">
        <v>15</v>
      </c>
      <c r="C1844" t="s">
        <v>1619</v>
      </c>
      <c r="D1844" t="s">
        <v>17</v>
      </c>
      <c r="E1844" t="s">
        <v>18</v>
      </c>
      <c r="F1844" t="s">
        <v>19</v>
      </c>
      <c r="G1844" t="s">
        <v>20</v>
      </c>
      <c r="J1844" t="s">
        <v>17</v>
      </c>
      <c r="K1844" t="str">
        <f>"34121111"</f>
        <v>34121111</v>
      </c>
      <c r="L1844" t="str">
        <f>"34121111"</f>
        <v>34121111</v>
      </c>
      <c r="M1844" t="s">
        <v>21</v>
      </c>
      <c r="N1844" s="1">
        <v>43720.954861111109</v>
      </c>
      <c r="O1844" t="s">
        <v>19</v>
      </c>
    </row>
    <row r="1845" spans="1:15" x14ac:dyDescent="0.25">
      <c r="A1845" t="s">
        <v>1691</v>
      </c>
      <c r="B1845" t="s">
        <v>15</v>
      </c>
      <c r="C1845" t="s">
        <v>1619</v>
      </c>
      <c r="D1845" t="s">
        <v>17</v>
      </c>
      <c r="E1845" t="s">
        <v>18</v>
      </c>
      <c r="F1845" t="s">
        <v>19</v>
      </c>
      <c r="G1845" t="s">
        <v>20</v>
      </c>
      <c r="J1845" t="s">
        <v>17</v>
      </c>
      <c r="K1845" t="str">
        <f>"7858816066467"</f>
        <v>7858816066467</v>
      </c>
      <c r="L1845" t="str">
        <f>"87126646"</f>
        <v>87126646</v>
      </c>
      <c r="M1845" t="s">
        <v>21</v>
      </c>
      <c r="N1845" s="1">
        <v>44404.675000000003</v>
      </c>
      <c r="O1845" t="s">
        <v>19</v>
      </c>
    </row>
    <row r="1846" spans="1:15" x14ac:dyDescent="0.25">
      <c r="A1846" t="s">
        <v>1692</v>
      </c>
      <c r="B1846" t="s">
        <v>15</v>
      </c>
      <c r="C1846" t="s">
        <v>1619</v>
      </c>
      <c r="D1846" t="s">
        <v>17</v>
      </c>
      <c r="E1846" t="s">
        <v>18</v>
      </c>
      <c r="F1846" t="s">
        <v>19</v>
      </c>
      <c r="G1846" t="s">
        <v>20</v>
      </c>
      <c r="J1846" t="s">
        <v>17</v>
      </c>
      <c r="K1846" t="str">
        <f>"885909627349"</f>
        <v>885909627349</v>
      </c>
      <c r="L1846" t="str">
        <f>"54020813"</f>
        <v>54020813</v>
      </c>
      <c r="M1846" t="s">
        <v>21</v>
      </c>
      <c r="N1846" s="1">
        <v>43350.65625</v>
      </c>
      <c r="O1846" t="s">
        <v>19</v>
      </c>
    </row>
    <row r="1847" spans="1:15" x14ac:dyDescent="0.25">
      <c r="A1847" t="s">
        <v>1692</v>
      </c>
      <c r="B1847" t="s">
        <v>15</v>
      </c>
      <c r="C1847" t="s">
        <v>1619</v>
      </c>
      <c r="D1847" t="s">
        <v>17</v>
      </c>
      <c r="E1847" t="s">
        <v>18</v>
      </c>
      <c r="F1847" t="s">
        <v>19</v>
      </c>
      <c r="G1847" t="s">
        <v>20</v>
      </c>
      <c r="J1847" t="s">
        <v>17</v>
      </c>
      <c r="K1847" t="str">
        <f>"87120813"</f>
        <v>87120813</v>
      </c>
      <c r="L1847" t="str">
        <f>"87120813"</f>
        <v>87120813</v>
      </c>
      <c r="M1847" t="s">
        <v>21</v>
      </c>
      <c r="N1847" s="1">
        <v>44441.631944444445</v>
      </c>
      <c r="O1847" t="s">
        <v>19</v>
      </c>
    </row>
    <row r="1848" spans="1:15" x14ac:dyDescent="0.25">
      <c r="A1848" t="s">
        <v>1693</v>
      </c>
      <c r="B1848" t="s">
        <v>15</v>
      </c>
      <c r="C1848" t="s">
        <v>1619</v>
      </c>
      <c r="D1848" t="s">
        <v>17</v>
      </c>
      <c r="E1848" t="s">
        <v>18</v>
      </c>
      <c r="F1848" t="s">
        <v>19</v>
      </c>
      <c r="G1848" t="s">
        <v>20</v>
      </c>
      <c r="J1848" t="s">
        <v>17</v>
      </c>
      <c r="K1848" t="str">
        <f>"6933138633052"</f>
        <v>6933138633052</v>
      </c>
      <c r="L1848" t="str">
        <f>"76123305"</f>
        <v>76123305</v>
      </c>
      <c r="M1848" t="s">
        <v>75</v>
      </c>
      <c r="N1848" s="1">
        <v>43236.859027777777</v>
      </c>
      <c r="O1848" t="s">
        <v>19</v>
      </c>
    </row>
    <row r="1849" spans="1:15" x14ac:dyDescent="0.25">
      <c r="A1849" t="s">
        <v>1694</v>
      </c>
      <c r="B1849" t="s">
        <v>15</v>
      </c>
      <c r="C1849" t="s">
        <v>1619</v>
      </c>
      <c r="D1849" t="s">
        <v>17</v>
      </c>
      <c r="E1849" t="s">
        <v>18</v>
      </c>
      <c r="F1849" t="s">
        <v>19</v>
      </c>
      <c r="G1849" t="s">
        <v>20</v>
      </c>
      <c r="J1849" t="s">
        <v>17</v>
      </c>
      <c r="K1849" t="str">
        <f>"6925871699693"</f>
        <v>6925871699693</v>
      </c>
      <c r="L1849" t="str">
        <f>"22120256"</f>
        <v>22120256</v>
      </c>
      <c r="M1849" t="s">
        <v>21</v>
      </c>
      <c r="N1849" s="1">
        <v>44405.910416666666</v>
      </c>
      <c r="O1849" t="s">
        <v>19</v>
      </c>
    </row>
    <row r="1850" spans="1:15" x14ac:dyDescent="0.25">
      <c r="A1850" t="s">
        <v>1695</v>
      </c>
      <c r="B1850" t="s">
        <v>15</v>
      </c>
      <c r="C1850" t="s">
        <v>1619</v>
      </c>
      <c r="D1850" t="s">
        <v>17</v>
      </c>
      <c r="E1850" t="s">
        <v>18</v>
      </c>
      <c r="F1850" t="s">
        <v>19</v>
      </c>
      <c r="G1850" t="s">
        <v>20</v>
      </c>
      <c r="J1850" t="s">
        <v>17</v>
      </c>
      <c r="K1850" t="str">
        <f>"7858816086007"</f>
        <v>7858816086007</v>
      </c>
      <c r="L1850" t="str">
        <f>"87128600"</f>
        <v>87128600</v>
      </c>
      <c r="M1850" t="s">
        <v>21</v>
      </c>
      <c r="N1850" s="1">
        <v>44404.6875</v>
      </c>
      <c r="O1850" t="s">
        <v>19</v>
      </c>
    </row>
    <row r="1851" spans="1:15" x14ac:dyDescent="0.25">
      <c r="A1851" t="s">
        <v>1696</v>
      </c>
      <c r="B1851" t="s">
        <v>15</v>
      </c>
      <c r="C1851" t="s">
        <v>1619</v>
      </c>
      <c r="D1851" t="s">
        <v>17</v>
      </c>
      <c r="E1851" t="s">
        <v>18</v>
      </c>
      <c r="F1851" t="s">
        <v>19</v>
      </c>
      <c r="G1851" t="s">
        <v>20</v>
      </c>
      <c r="J1851" t="s">
        <v>17</v>
      </c>
      <c r="K1851" t="str">
        <f>"6925871662567"</f>
        <v>6925871662567</v>
      </c>
      <c r="L1851" t="str">
        <f>"22126356"</f>
        <v>22126356</v>
      </c>
      <c r="M1851" t="s">
        <v>21</v>
      </c>
      <c r="N1851" s="1">
        <v>44405.911111111112</v>
      </c>
      <c r="O1851" t="s">
        <v>19</v>
      </c>
    </row>
    <row r="1852" spans="1:15" x14ac:dyDescent="0.25">
      <c r="A1852" t="s">
        <v>1697</v>
      </c>
      <c r="B1852" t="s">
        <v>15</v>
      </c>
      <c r="C1852" t="s">
        <v>1619</v>
      </c>
      <c r="D1852" t="s">
        <v>17</v>
      </c>
      <c r="E1852" t="s">
        <v>18</v>
      </c>
      <c r="F1852" t="s">
        <v>19</v>
      </c>
      <c r="G1852" t="s">
        <v>20</v>
      </c>
      <c r="J1852" t="s">
        <v>17</v>
      </c>
      <c r="K1852" t="str">
        <f>"190198889973"</f>
        <v>190198889973</v>
      </c>
      <c r="L1852" t="str">
        <f>"54129973"</f>
        <v>54129973</v>
      </c>
      <c r="M1852" t="s">
        <v>21</v>
      </c>
      <c r="N1852" s="1">
        <v>44463.623611111114</v>
      </c>
      <c r="O1852" t="s">
        <v>19</v>
      </c>
    </row>
    <row r="1853" spans="1:15" x14ac:dyDescent="0.25">
      <c r="A1853" t="s">
        <v>1698</v>
      </c>
      <c r="B1853" t="s">
        <v>15</v>
      </c>
      <c r="C1853" t="s">
        <v>1619</v>
      </c>
      <c r="D1853" t="s">
        <v>17</v>
      </c>
      <c r="E1853" t="s">
        <v>18</v>
      </c>
      <c r="F1853" t="s">
        <v>19</v>
      </c>
      <c r="G1853" t="s">
        <v>20</v>
      </c>
      <c r="J1853" t="s">
        <v>17</v>
      </c>
      <c r="K1853" t="str">
        <f>"7237558983322"</f>
        <v>7237558983322</v>
      </c>
      <c r="L1853" t="str">
        <f>"87128983"</f>
        <v>87128983</v>
      </c>
      <c r="M1853" t="s">
        <v>21</v>
      </c>
      <c r="N1853" s="1">
        <v>44404.70208333333</v>
      </c>
      <c r="O1853" t="s">
        <v>19</v>
      </c>
    </row>
    <row r="1854" spans="1:15" x14ac:dyDescent="0.25">
      <c r="A1854" t="s">
        <v>1699</v>
      </c>
      <c r="B1854" t="s">
        <v>15</v>
      </c>
      <c r="C1854" t="s">
        <v>1619</v>
      </c>
      <c r="D1854" t="s">
        <v>17</v>
      </c>
      <c r="E1854" t="s">
        <v>18</v>
      </c>
      <c r="F1854" t="s">
        <v>19</v>
      </c>
      <c r="G1854" t="s">
        <v>20</v>
      </c>
      <c r="J1854" t="s">
        <v>17</v>
      </c>
      <c r="K1854" t="str">
        <f>"6925871600385"</f>
        <v>6925871600385</v>
      </c>
      <c r="L1854" t="str">
        <f>"22126120"</f>
        <v>22126120</v>
      </c>
      <c r="M1854" t="s">
        <v>21</v>
      </c>
      <c r="N1854" s="1">
        <v>43818.692361111112</v>
      </c>
      <c r="O1854" t="s">
        <v>19</v>
      </c>
    </row>
    <row r="1855" spans="1:15" x14ac:dyDescent="0.25">
      <c r="A1855" t="s">
        <v>1700</v>
      </c>
      <c r="B1855" t="s">
        <v>15</v>
      </c>
      <c r="C1855" t="s">
        <v>1619</v>
      </c>
      <c r="D1855" t="s">
        <v>17</v>
      </c>
      <c r="E1855" t="s">
        <v>18</v>
      </c>
      <c r="F1855" t="s">
        <v>19</v>
      </c>
      <c r="G1855" t="s">
        <v>20</v>
      </c>
      <c r="J1855" t="s">
        <v>17</v>
      </c>
      <c r="K1855" t="str">
        <f>"7268279027996"</f>
        <v>7268279027996</v>
      </c>
      <c r="L1855" t="str">
        <f>"79HUE0AP99"</f>
        <v>79HUE0AP99</v>
      </c>
      <c r="M1855" t="s">
        <v>21</v>
      </c>
      <c r="N1855" s="1">
        <v>44265.711805555555</v>
      </c>
      <c r="O1855" t="s">
        <v>19</v>
      </c>
    </row>
    <row r="1856" spans="1:15" x14ac:dyDescent="0.25">
      <c r="A1856" t="s">
        <v>1700</v>
      </c>
      <c r="B1856" t="s">
        <v>15</v>
      </c>
      <c r="C1856" t="s">
        <v>1619</v>
      </c>
      <c r="D1856" t="s">
        <v>17</v>
      </c>
      <c r="E1856" t="s">
        <v>18</v>
      </c>
      <c r="F1856" t="s">
        <v>19</v>
      </c>
      <c r="G1856" t="s">
        <v>20</v>
      </c>
      <c r="J1856" t="s">
        <v>17</v>
      </c>
      <c r="K1856" t="str">
        <f>"6972453166067"</f>
        <v>6972453166067</v>
      </c>
      <c r="L1856" t="str">
        <f>"92120501"</f>
        <v>92120501</v>
      </c>
      <c r="M1856" t="s">
        <v>21</v>
      </c>
      <c r="N1856" s="1">
        <v>44453.664583333331</v>
      </c>
      <c r="O1856" t="s">
        <v>19</v>
      </c>
    </row>
    <row r="1857" spans="1:15" x14ac:dyDescent="0.25">
      <c r="A1857" t="s">
        <v>1701</v>
      </c>
      <c r="B1857" t="s">
        <v>15</v>
      </c>
      <c r="C1857" t="s">
        <v>1619</v>
      </c>
      <c r="D1857" t="s">
        <v>17</v>
      </c>
      <c r="E1857" t="s">
        <v>18</v>
      </c>
      <c r="F1857" t="s">
        <v>19</v>
      </c>
      <c r="G1857" t="s">
        <v>20</v>
      </c>
      <c r="J1857" t="s">
        <v>17</v>
      </c>
      <c r="K1857" t="str">
        <f>"7858816061844"</f>
        <v>7858816061844</v>
      </c>
      <c r="L1857" t="str">
        <f>"87126148"</f>
        <v>87126148</v>
      </c>
      <c r="M1857" t="s">
        <v>21</v>
      </c>
      <c r="N1857" s="1">
        <v>44211.892361111109</v>
      </c>
      <c r="O1857" t="s">
        <v>19</v>
      </c>
    </row>
    <row r="1858" spans="1:15" x14ac:dyDescent="0.25">
      <c r="A1858" t="s">
        <v>1702</v>
      </c>
      <c r="B1858" t="s">
        <v>15</v>
      </c>
      <c r="C1858" t="s">
        <v>1619</v>
      </c>
      <c r="D1858" t="s">
        <v>17</v>
      </c>
      <c r="E1858" t="s">
        <v>18</v>
      </c>
      <c r="F1858" t="s">
        <v>19</v>
      </c>
      <c r="G1858" t="s">
        <v>20</v>
      </c>
      <c r="J1858" t="s">
        <v>17</v>
      </c>
      <c r="K1858" t="str">
        <f>"17551480"</f>
        <v>17551480</v>
      </c>
      <c r="L1858" t="str">
        <f>"17551480"</f>
        <v>17551480</v>
      </c>
      <c r="M1858" t="s">
        <v>75</v>
      </c>
      <c r="N1858" s="1">
        <v>42872.839583333334</v>
      </c>
      <c r="O1858" t="s">
        <v>19</v>
      </c>
    </row>
    <row r="1859" spans="1:15" x14ac:dyDescent="0.25">
      <c r="A1859" t="s">
        <v>1703</v>
      </c>
      <c r="B1859" t="s">
        <v>15</v>
      </c>
      <c r="C1859" t="s">
        <v>1619</v>
      </c>
      <c r="D1859" t="s">
        <v>17</v>
      </c>
      <c r="E1859" t="s">
        <v>18</v>
      </c>
      <c r="F1859" t="s">
        <v>19</v>
      </c>
      <c r="G1859" t="s">
        <v>20</v>
      </c>
      <c r="J1859" t="s">
        <v>17</v>
      </c>
      <c r="K1859" t="str">
        <f>"7858816073755"</f>
        <v>7858816073755</v>
      </c>
      <c r="L1859" t="str">
        <f>"87127375"</f>
        <v>87127375</v>
      </c>
      <c r="M1859" t="s">
        <v>21</v>
      </c>
      <c r="N1859" s="1">
        <v>43853.675694444442</v>
      </c>
      <c r="O1859" t="s">
        <v>19</v>
      </c>
    </row>
    <row r="1860" spans="1:15" x14ac:dyDescent="0.25">
      <c r="A1860" t="s">
        <v>1704</v>
      </c>
      <c r="B1860" t="s">
        <v>15</v>
      </c>
      <c r="C1860" t="s">
        <v>1619</v>
      </c>
      <c r="D1860" t="s">
        <v>17</v>
      </c>
      <c r="E1860" t="s">
        <v>18</v>
      </c>
      <c r="F1860" t="s">
        <v>19</v>
      </c>
      <c r="G1860" t="s">
        <v>20</v>
      </c>
      <c r="J1860" t="s">
        <v>17</v>
      </c>
      <c r="K1860" t="str">
        <f>"7858816081781"</f>
        <v>7858816081781</v>
      </c>
      <c r="L1860" t="str">
        <f>"8128178"</f>
        <v>8128178</v>
      </c>
      <c r="M1860" t="s">
        <v>21</v>
      </c>
      <c r="N1860" s="1">
        <v>44356.881249999999</v>
      </c>
      <c r="O1860" t="s">
        <v>19</v>
      </c>
    </row>
    <row r="1861" spans="1:15" x14ac:dyDescent="0.25">
      <c r="A1861" t="s">
        <v>1705</v>
      </c>
      <c r="B1861" t="s">
        <v>15</v>
      </c>
      <c r="C1861" t="s">
        <v>1619</v>
      </c>
      <c r="D1861" t="s">
        <v>17</v>
      </c>
      <c r="E1861" t="s">
        <v>18</v>
      </c>
      <c r="F1861" t="s">
        <v>19</v>
      </c>
      <c r="G1861" t="s">
        <v>20</v>
      </c>
      <c r="J1861" t="s">
        <v>17</v>
      </c>
      <c r="K1861" t="str">
        <f>"7858816086359"</f>
        <v>7858816086359</v>
      </c>
      <c r="L1861" t="str">
        <f>"87128635"</f>
        <v>87128635</v>
      </c>
      <c r="M1861" t="s">
        <v>21</v>
      </c>
      <c r="N1861" s="1">
        <v>44441.677083333336</v>
      </c>
      <c r="O1861" t="s">
        <v>19</v>
      </c>
    </row>
    <row r="1862" spans="1:15" x14ac:dyDescent="0.25">
      <c r="A1862" t="s">
        <v>1706</v>
      </c>
      <c r="B1862" t="s">
        <v>15</v>
      </c>
      <c r="C1862" t="s">
        <v>1619</v>
      </c>
      <c r="D1862" t="s">
        <v>17</v>
      </c>
      <c r="E1862" t="s">
        <v>18</v>
      </c>
      <c r="F1862" t="s">
        <v>19</v>
      </c>
      <c r="G1862" t="s">
        <v>20</v>
      </c>
      <c r="J1862" t="s">
        <v>17</v>
      </c>
      <c r="K1862" t="str">
        <f>"8944870155458"</f>
        <v>8944870155458</v>
      </c>
      <c r="L1862" t="str">
        <f>"87121702"</f>
        <v>87121702</v>
      </c>
      <c r="M1862" t="s">
        <v>21</v>
      </c>
      <c r="N1862" s="1">
        <v>44211.894444444442</v>
      </c>
      <c r="O1862" t="s">
        <v>19</v>
      </c>
    </row>
    <row r="1863" spans="1:15" x14ac:dyDescent="0.25">
      <c r="A1863" t="s">
        <v>1707</v>
      </c>
      <c r="B1863" t="s">
        <v>15</v>
      </c>
      <c r="C1863" t="s">
        <v>1619</v>
      </c>
      <c r="D1863" t="s">
        <v>17</v>
      </c>
      <c r="E1863" t="s">
        <v>18</v>
      </c>
      <c r="F1863" t="s">
        <v>19</v>
      </c>
      <c r="G1863" t="s">
        <v>20</v>
      </c>
      <c r="J1863" t="s">
        <v>17</v>
      </c>
      <c r="K1863" t="str">
        <f>"8944870161770"</f>
        <v>8944870161770</v>
      </c>
      <c r="L1863" t="str">
        <f>"8944870161787"</f>
        <v>8944870161787</v>
      </c>
      <c r="M1863" t="s">
        <v>21</v>
      </c>
      <c r="N1863" s="1">
        <v>44252.78125</v>
      </c>
      <c r="O1863" t="s">
        <v>19</v>
      </c>
    </row>
    <row r="1864" spans="1:15" x14ac:dyDescent="0.25">
      <c r="A1864" t="s">
        <v>1708</v>
      </c>
      <c r="B1864" t="s">
        <v>15</v>
      </c>
      <c r="C1864" t="s">
        <v>1619</v>
      </c>
      <c r="D1864" t="s">
        <v>17</v>
      </c>
      <c r="E1864" t="s">
        <v>18</v>
      </c>
      <c r="F1864" t="s">
        <v>19</v>
      </c>
      <c r="G1864" t="s">
        <v>20</v>
      </c>
      <c r="J1864" t="s">
        <v>17</v>
      </c>
      <c r="K1864" t="str">
        <f>"8944870162012"</f>
        <v>8944870162012</v>
      </c>
      <c r="L1864" t="str">
        <f>"87122151"</f>
        <v>87122151</v>
      </c>
      <c r="M1864" t="s">
        <v>21</v>
      </c>
      <c r="N1864" s="1">
        <v>43889.908333333333</v>
      </c>
      <c r="O1864" t="s">
        <v>19</v>
      </c>
    </row>
    <row r="1865" spans="1:15" x14ac:dyDescent="0.25">
      <c r="A1865" t="s">
        <v>1709</v>
      </c>
      <c r="B1865" t="s">
        <v>15</v>
      </c>
      <c r="C1865" t="s">
        <v>1619</v>
      </c>
      <c r="D1865" t="s">
        <v>17</v>
      </c>
      <c r="E1865" t="s">
        <v>18</v>
      </c>
      <c r="F1865" t="s">
        <v>19</v>
      </c>
      <c r="G1865" t="s">
        <v>20</v>
      </c>
      <c r="J1865" t="s">
        <v>17</v>
      </c>
      <c r="K1865" t="str">
        <f>"7858816077258"</f>
        <v>7858816077258</v>
      </c>
      <c r="L1865" t="str">
        <f>"87127725"</f>
        <v>87127725</v>
      </c>
      <c r="M1865" t="s">
        <v>21</v>
      </c>
      <c r="N1865" s="1">
        <v>44356.929166666669</v>
      </c>
      <c r="O1865" t="s">
        <v>19</v>
      </c>
    </row>
    <row r="1866" spans="1:15" x14ac:dyDescent="0.25">
      <c r="A1866" t="s">
        <v>1710</v>
      </c>
      <c r="B1866" t="s">
        <v>15</v>
      </c>
      <c r="C1866" t="s">
        <v>1619</v>
      </c>
      <c r="D1866" t="s">
        <v>17</v>
      </c>
      <c r="E1866" t="s">
        <v>18</v>
      </c>
      <c r="F1866" t="s">
        <v>19</v>
      </c>
      <c r="G1866" t="s">
        <v>20</v>
      </c>
      <c r="J1866" t="s">
        <v>17</v>
      </c>
      <c r="K1866" t="str">
        <f>"79121010"</f>
        <v>79121010</v>
      </c>
      <c r="L1866" t="str">
        <f>"39121010"</f>
        <v>39121010</v>
      </c>
      <c r="M1866" t="s">
        <v>21</v>
      </c>
      <c r="N1866" s="1">
        <v>43279.695833333331</v>
      </c>
      <c r="O1866" t="s">
        <v>19</v>
      </c>
    </row>
    <row r="1867" spans="1:15" x14ac:dyDescent="0.25">
      <c r="A1867" t="s">
        <v>1710</v>
      </c>
      <c r="B1867" t="s">
        <v>15</v>
      </c>
      <c r="C1867" t="s">
        <v>1619</v>
      </c>
      <c r="D1867" t="s">
        <v>17</v>
      </c>
      <c r="E1867" t="s">
        <v>18</v>
      </c>
      <c r="F1867" t="s">
        <v>19</v>
      </c>
      <c r="G1867" t="s">
        <v>20</v>
      </c>
      <c r="J1867" t="s">
        <v>17</v>
      </c>
      <c r="K1867" t="str">
        <f>"8801643281656"</f>
        <v>8801643281656</v>
      </c>
      <c r="L1867" t="str">
        <f>"63120060"</f>
        <v>63120060</v>
      </c>
      <c r="M1867" t="s">
        <v>21</v>
      </c>
      <c r="N1867" s="1">
        <v>43879.795138888891</v>
      </c>
      <c r="O1867" t="s">
        <v>19</v>
      </c>
    </row>
    <row r="1868" spans="1:15" x14ac:dyDescent="0.25">
      <c r="A1868" t="s">
        <v>1711</v>
      </c>
      <c r="B1868" t="s">
        <v>15</v>
      </c>
      <c r="C1868" t="s">
        <v>1619</v>
      </c>
      <c r="D1868" t="s">
        <v>17</v>
      </c>
      <c r="E1868" t="s">
        <v>18</v>
      </c>
      <c r="F1868" t="s">
        <v>19</v>
      </c>
      <c r="G1868" t="s">
        <v>20</v>
      </c>
      <c r="J1868" t="s">
        <v>17</v>
      </c>
      <c r="K1868" t="str">
        <f>"760807106"</f>
        <v>760807106</v>
      </c>
      <c r="L1868" t="str">
        <f>"760807106"</f>
        <v>760807106</v>
      </c>
      <c r="M1868" t="s">
        <v>75</v>
      </c>
      <c r="N1868" s="1">
        <v>42872.849305555559</v>
      </c>
      <c r="O1868" t="s">
        <v>19</v>
      </c>
    </row>
    <row r="1869" spans="1:15" x14ac:dyDescent="0.25">
      <c r="A1869" t="s">
        <v>1712</v>
      </c>
      <c r="B1869" t="s">
        <v>15</v>
      </c>
      <c r="C1869" t="s">
        <v>1619</v>
      </c>
      <c r="D1869" t="s">
        <v>17</v>
      </c>
      <c r="E1869" t="s">
        <v>18</v>
      </c>
      <c r="F1869" t="s">
        <v>19</v>
      </c>
      <c r="G1869" t="s">
        <v>20</v>
      </c>
      <c r="J1869" t="s">
        <v>17</v>
      </c>
      <c r="K1869" t="str">
        <f>"34120714"</f>
        <v>34120714</v>
      </c>
      <c r="L1869" t="str">
        <f>"34120714"</f>
        <v>34120714</v>
      </c>
      <c r="M1869" t="s">
        <v>75</v>
      </c>
      <c r="N1869" s="1">
        <v>42872.839583333334</v>
      </c>
      <c r="O1869" t="s">
        <v>19</v>
      </c>
    </row>
    <row r="1870" spans="1:15" x14ac:dyDescent="0.25">
      <c r="A1870" t="s">
        <v>1713</v>
      </c>
      <c r="B1870" t="s">
        <v>15</v>
      </c>
      <c r="C1870" t="s">
        <v>1619</v>
      </c>
      <c r="D1870" t="s">
        <v>17</v>
      </c>
      <c r="E1870" t="s">
        <v>18</v>
      </c>
      <c r="F1870" t="s">
        <v>19</v>
      </c>
      <c r="G1870" t="s">
        <v>20</v>
      </c>
      <c r="J1870" t="s">
        <v>17</v>
      </c>
      <c r="K1870" t="str">
        <f>"7858816062124"</f>
        <v>7858816062124</v>
      </c>
      <c r="L1870" t="str">
        <f>"87126212"</f>
        <v>87126212</v>
      </c>
      <c r="M1870" t="s">
        <v>21</v>
      </c>
      <c r="N1870" s="1">
        <v>43889.90902777778</v>
      </c>
      <c r="O1870" t="s">
        <v>19</v>
      </c>
    </row>
    <row r="1871" spans="1:15" x14ac:dyDescent="0.25">
      <c r="A1871" t="s">
        <v>1714</v>
      </c>
      <c r="B1871" t="s">
        <v>15</v>
      </c>
      <c r="C1871" t="s">
        <v>1619</v>
      </c>
      <c r="D1871" t="s">
        <v>17</v>
      </c>
      <c r="E1871" t="s">
        <v>18</v>
      </c>
      <c r="F1871" t="s">
        <v>19</v>
      </c>
      <c r="G1871" t="s">
        <v>20</v>
      </c>
      <c r="J1871" t="s">
        <v>17</v>
      </c>
      <c r="K1871" t="str">
        <f>"7858816083419"</f>
        <v>7858816083419</v>
      </c>
      <c r="L1871" t="str">
        <f>"87127168"</f>
        <v>87127168</v>
      </c>
      <c r="M1871" t="s">
        <v>21</v>
      </c>
      <c r="N1871" s="1">
        <v>44357.683333333334</v>
      </c>
      <c r="O1871" t="s">
        <v>19</v>
      </c>
    </row>
    <row r="1872" spans="1:15" x14ac:dyDescent="0.25">
      <c r="A1872" t="s">
        <v>1715</v>
      </c>
      <c r="B1872" t="s">
        <v>15</v>
      </c>
      <c r="C1872" t="s">
        <v>1619</v>
      </c>
      <c r="D1872" t="s">
        <v>17</v>
      </c>
      <c r="E1872" t="s">
        <v>18</v>
      </c>
      <c r="F1872" t="s">
        <v>19</v>
      </c>
      <c r="G1872" t="s">
        <v>20</v>
      </c>
      <c r="J1872" t="s">
        <v>17</v>
      </c>
      <c r="K1872" t="str">
        <f>"7858816073762"</f>
        <v>7858816073762</v>
      </c>
      <c r="L1872" t="str">
        <f>"87127376"</f>
        <v>87127376</v>
      </c>
      <c r="M1872" t="s">
        <v>21</v>
      </c>
      <c r="N1872" s="1">
        <v>44441.640277777777</v>
      </c>
      <c r="O1872" t="s">
        <v>19</v>
      </c>
    </row>
    <row r="1873" spans="1:15" x14ac:dyDescent="0.25">
      <c r="A1873" t="s">
        <v>1716</v>
      </c>
      <c r="B1873" t="s">
        <v>15</v>
      </c>
      <c r="C1873" t="s">
        <v>1619</v>
      </c>
      <c r="D1873" t="s">
        <v>17</v>
      </c>
      <c r="E1873" t="s">
        <v>18</v>
      </c>
      <c r="F1873" t="s">
        <v>19</v>
      </c>
      <c r="G1873" t="s">
        <v>20</v>
      </c>
      <c r="J1873" t="s">
        <v>17</v>
      </c>
      <c r="K1873" t="str">
        <f>"7858816077227"</f>
        <v>7858816077227</v>
      </c>
      <c r="L1873" t="str">
        <f>"87127722"</f>
        <v>87127722</v>
      </c>
      <c r="M1873" t="s">
        <v>21</v>
      </c>
      <c r="N1873" s="1">
        <v>44356.928472222222</v>
      </c>
      <c r="O1873" t="s">
        <v>19</v>
      </c>
    </row>
    <row r="1874" spans="1:15" x14ac:dyDescent="0.25">
      <c r="A1874" t="s">
        <v>1717</v>
      </c>
      <c r="B1874" t="s">
        <v>15</v>
      </c>
      <c r="C1874" t="s">
        <v>1619</v>
      </c>
      <c r="D1874" t="s">
        <v>17</v>
      </c>
      <c r="E1874" t="s">
        <v>18</v>
      </c>
      <c r="F1874" t="s">
        <v>19</v>
      </c>
      <c r="G1874" t="s">
        <v>20</v>
      </c>
      <c r="J1874" t="s">
        <v>17</v>
      </c>
      <c r="K1874" t="str">
        <f>"8944870161756"</f>
        <v>8944870161756</v>
      </c>
      <c r="L1874" t="str">
        <f>"87122111"</f>
        <v>87122111</v>
      </c>
      <c r="M1874" t="s">
        <v>21</v>
      </c>
      <c r="N1874" s="1">
        <v>44252.78125</v>
      </c>
      <c r="O1874" t="s">
        <v>19</v>
      </c>
    </row>
    <row r="1875" spans="1:15" x14ac:dyDescent="0.25">
      <c r="A1875" t="s">
        <v>1718</v>
      </c>
      <c r="B1875" t="s">
        <v>15</v>
      </c>
      <c r="C1875" t="s">
        <v>1619</v>
      </c>
      <c r="D1875" t="s">
        <v>17</v>
      </c>
      <c r="E1875" t="s">
        <v>18</v>
      </c>
      <c r="F1875" t="s">
        <v>19</v>
      </c>
      <c r="G1875" t="s">
        <v>20</v>
      </c>
      <c r="J1875" t="s">
        <v>17</v>
      </c>
      <c r="K1875" t="str">
        <f>"8944870162005"</f>
        <v>8944870162005</v>
      </c>
      <c r="L1875" t="str">
        <f>"8944870161763"</f>
        <v>8944870161763</v>
      </c>
      <c r="M1875" t="s">
        <v>21</v>
      </c>
      <c r="N1875" s="1">
        <v>44356.693055555559</v>
      </c>
      <c r="O1875" t="s">
        <v>19</v>
      </c>
    </row>
    <row r="1876" spans="1:15" x14ac:dyDescent="0.25">
      <c r="A1876" t="s">
        <v>1719</v>
      </c>
      <c r="B1876" t="s">
        <v>15</v>
      </c>
      <c r="C1876" t="s">
        <v>1619</v>
      </c>
      <c r="D1876" t="s">
        <v>17</v>
      </c>
      <c r="E1876" t="s">
        <v>18</v>
      </c>
      <c r="F1876" t="s">
        <v>19</v>
      </c>
      <c r="G1876" t="s">
        <v>20</v>
      </c>
      <c r="J1876" t="s">
        <v>17</v>
      </c>
      <c r="K1876" t="str">
        <f>"34121400"</f>
        <v>34121400</v>
      </c>
      <c r="L1876" t="str">
        <f>"34121400"</f>
        <v>34121400</v>
      </c>
      <c r="M1876" t="s">
        <v>75</v>
      </c>
      <c r="N1876" s="1">
        <v>42872.839583333334</v>
      </c>
      <c r="O1876" t="s">
        <v>19</v>
      </c>
    </row>
    <row r="1877" spans="1:15" x14ac:dyDescent="0.25">
      <c r="A1877" t="s">
        <v>1719</v>
      </c>
      <c r="B1877" t="s">
        <v>15</v>
      </c>
      <c r="C1877" t="s">
        <v>1619</v>
      </c>
      <c r="D1877" t="s">
        <v>17</v>
      </c>
      <c r="E1877" t="s">
        <v>18</v>
      </c>
      <c r="F1877" t="s">
        <v>19</v>
      </c>
      <c r="G1877" t="s">
        <v>20</v>
      </c>
      <c r="J1877" t="s">
        <v>17</v>
      </c>
      <c r="K1877" t="str">
        <f>"34121000"</f>
        <v>34121000</v>
      </c>
      <c r="L1877" t="str">
        <f>"34121000"</f>
        <v>34121000</v>
      </c>
      <c r="M1877" t="s">
        <v>84</v>
      </c>
      <c r="N1877" s="1">
        <v>43306.722222222219</v>
      </c>
      <c r="O1877" t="s">
        <v>19</v>
      </c>
    </row>
    <row r="1878" spans="1:15" x14ac:dyDescent="0.25">
      <c r="A1878" t="s">
        <v>1719</v>
      </c>
      <c r="B1878" t="s">
        <v>15</v>
      </c>
      <c r="C1878" t="s">
        <v>1619</v>
      </c>
      <c r="D1878" t="s">
        <v>17</v>
      </c>
      <c r="E1878" t="s">
        <v>18</v>
      </c>
      <c r="F1878" t="s">
        <v>19</v>
      </c>
      <c r="G1878" t="s">
        <v>20</v>
      </c>
      <c r="J1878" t="s">
        <v>17</v>
      </c>
      <c r="K1878" t="str">
        <f>"34120001"</f>
        <v>34120001</v>
      </c>
      <c r="L1878" t="str">
        <f>"34120001"</f>
        <v>34120001</v>
      </c>
      <c r="M1878" t="s">
        <v>84</v>
      </c>
      <c r="N1878" s="1">
        <v>43409.90902777778</v>
      </c>
      <c r="O1878" t="s">
        <v>19</v>
      </c>
    </row>
    <row r="1879" spans="1:15" x14ac:dyDescent="0.25">
      <c r="A1879" t="s">
        <v>1719</v>
      </c>
      <c r="B1879" t="s">
        <v>15</v>
      </c>
      <c r="C1879" t="s">
        <v>1619</v>
      </c>
      <c r="D1879" t="s">
        <v>17</v>
      </c>
      <c r="E1879" t="s">
        <v>18</v>
      </c>
      <c r="F1879" t="s">
        <v>19</v>
      </c>
      <c r="G1879" t="s">
        <v>20</v>
      </c>
      <c r="J1879" t="s">
        <v>17</v>
      </c>
      <c r="K1879" t="str">
        <f>"87120003"</f>
        <v>87120003</v>
      </c>
      <c r="L1879" t="str">
        <f>"87120003"</f>
        <v>87120003</v>
      </c>
      <c r="M1879" t="s">
        <v>21</v>
      </c>
      <c r="N1879" s="1">
        <v>43889.868055555555</v>
      </c>
      <c r="O1879" t="s">
        <v>19</v>
      </c>
    </row>
    <row r="1880" spans="1:15" x14ac:dyDescent="0.25">
      <c r="A1880" t="s">
        <v>1720</v>
      </c>
      <c r="B1880" t="s">
        <v>15</v>
      </c>
      <c r="C1880" t="s">
        <v>1619</v>
      </c>
      <c r="D1880" t="s">
        <v>17</v>
      </c>
      <c r="E1880" t="s">
        <v>18</v>
      </c>
      <c r="F1880" t="s">
        <v>19</v>
      </c>
      <c r="G1880" t="s">
        <v>20</v>
      </c>
      <c r="J1880" t="s">
        <v>17</v>
      </c>
      <c r="K1880" t="str">
        <f>"10108844"</f>
        <v>10108844</v>
      </c>
      <c r="L1880" t="str">
        <f>"10108844"</f>
        <v>10108844</v>
      </c>
      <c r="M1880" t="s">
        <v>75</v>
      </c>
      <c r="N1880" s="1">
        <v>42872.839583333334</v>
      </c>
      <c r="O1880" t="s">
        <v>19</v>
      </c>
    </row>
    <row r="1881" spans="1:15" x14ac:dyDescent="0.25">
      <c r="A1881" t="s">
        <v>1721</v>
      </c>
      <c r="B1881" t="s">
        <v>15</v>
      </c>
      <c r="C1881" t="s">
        <v>1619</v>
      </c>
      <c r="D1881" t="s">
        <v>17</v>
      </c>
      <c r="E1881" t="s">
        <v>18</v>
      </c>
      <c r="F1881" t="s">
        <v>19</v>
      </c>
      <c r="G1881" t="s">
        <v>20</v>
      </c>
      <c r="J1881" t="s">
        <v>17</v>
      </c>
      <c r="K1881" t="str">
        <f>"34120101"</f>
        <v>34120101</v>
      </c>
      <c r="L1881" t="str">
        <f>"34120101"</f>
        <v>34120101</v>
      </c>
      <c r="M1881" t="s">
        <v>75</v>
      </c>
      <c r="N1881" s="1">
        <v>42872.839583333334</v>
      </c>
      <c r="O1881" t="s">
        <v>19</v>
      </c>
    </row>
    <row r="1882" spans="1:15" x14ac:dyDescent="0.25">
      <c r="A1882" t="s">
        <v>1722</v>
      </c>
      <c r="B1882" t="s">
        <v>15</v>
      </c>
      <c r="C1882" t="s">
        <v>1619</v>
      </c>
      <c r="D1882" t="s">
        <v>17</v>
      </c>
      <c r="E1882" t="s">
        <v>18</v>
      </c>
      <c r="F1882" t="s">
        <v>19</v>
      </c>
      <c r="G1882" t="s">
        <v>20</v>
      </c>
      <c r="J1882" t="s">
        <v>17</v>
      </c>
      <c r="K1882" t="str">
        <f>"88123608"</f>
        <v>88123608</v>
      </c>
      <c r="L1882" t="str">
        <f>"88123608"</f>
        <v>88123608</v>
      </c>
      <c r="M1882" t="s">
        <v>75</v>
      </c>
      <c r="N1882" s="1">
        <v>42872.847222222219</v>
      </c>
      <c r="O1882" t="s">
        <v>19</v>
      </c>
    </row>
    <row r="1883" spans="1:15" x14ac:dyDescent="0.25">
      <c r="A1883" t="s">
        <v>1723</v>
      </c>
      <c r="B1883" t="s">
        <v>15</v>
      </c>
      <c r="C1883" t="s">
        <v>1619</v>
      </c>
      <c r="D1883" t="s">
        <v>17</v>
      </c>
      <c r="E1883" t="s">
        <v>18</v>
      </c>
      <c r="F1883" t="s">
        <v>19</v>
      </c>
      <c r="G1883" t="s">
        <v>20</v>
      </c>
      <c r="J1883" t="s">
        <v>17</v>
      </c>
      <c r="K1883" t="str">
        <f>"76121402"</f>
        <v>76121402</v>
      </c>
      <c r="L1883" t="str">
        <f>"76121402"</f>
        <v>76121402</v>
      </c>
      <c r="M1883" t="s">
        <v>75</v>
      </c>
      <c r="N1883" s="1">
        <v>42872.847222222219</v>
      </c>
      <c r="O1883" t="s">
        <v>19</v>
      </c>
    </row>
    <row r="1884" spans="1:15" x14ac:dyDescent="0.25">
      <c r="A1884" t="s">
        <v>1724</v>
      </c>
      <c r="B1884" t="s">
        <v>15</v>
      </c>
      <c r="C1884" t="s">
        <v>1619</v>
      </c>
      <c r="D1884" t="s">
        <v>17</v>
      </c>
      <c r="E1884" t="s">
        <v>18</v>
      </c>
      <c r="F1884" t="s">
        <v>19</v>
      </c>
      <c r="G1884" t="s">
        <v>20</v>
      </c>
      <c r="J1884" t="s">
        <v>17</v>
      </c>
      <c r="K1884" t="str">
        <f>"8518797100039"</f>
        <v>8518797100039</v>
      </c>
      <c r="L1884" t="str">
        <f>"10000405"</f>
        <v>10000405</v>
      </c>
      <c r="M1884" t="s">
        <v>75</v>
      </c>
      <c r="N1884" s="1">
        <v>42872.839583333334</v>
      </c>
      <c r="O1884" t="s">
        <v>19</v>
      </c>
    </row>
    <row r="1885" spans="1:15" x14ac:dyDescent="0.25">
      <c r="A1885" t="s">
        <v>1725</v>
      </c>
      <c r="B1885" t="s">
        <v>15</v>
      </c>
      <c r="C1885" t="s">
        <v>1619</v>
      </c>
      <c r="D1885" t="s">
        <v>17</v>
      </c>
      <c r="E1885" t="s">
        <v>18</v>
      </c>
      <c r="F1885" t="s">
        <v>19</v>
      </c>
      <c r="G1885" t="s">
        <v>20</v>
      </c>
      <c r="J1885" t="s">
        <v>17</v>
      </c>
      <c r="K1885" t="str">
        <f>"10000471"</f>
        <v>10000471</v>
      </c>
      <c r="L1885" t="str">
        <f>"10000471"</f>
        <v>10000471</v>
      </c>
      <c r="M1885" t="s">
        <v>75</v>
      </c>
      <c r="N1885" s="1">
        <v>42872.839583333334</v>
      </c>
      <c r="O1885" t="s">
        <v>19</v>
      </c>
    </row>
    <row r="1886" spans="1:15" x14ac:dyDescent="0.25">
      <c r="A1886" t="s">
        <v>1726</v>
      </c>
      <c r="B1886" t="s">
        <v>15</v>
      </c>
      <c r="C1886" t="s">
        <v>1619</v>
      </c>
      <c r="D1886" t="s">
        <v>17</v>
      </c>
      <c r="E1886" t="s">
        <v>18</v>
      </c>
      <c r="F1886" t="s">
        <v>19</v>
      </c>
      <c r="G1886" t="s">
        <v>20</v>
      </c>
      <c r="J1886" t="s">
        <v>17</v>
      </c>
      <c r="K1886" t="str">
        <f>"17120035"</f>
        <v>17120035</v>
      </c>
      <c r="L1886" t="str">
        <f>"17120035"</f>
        <v>17120035</v>
      </c>
      <c r="M1886" t="s">
        <v>75</v>
      </c>
      <c r="N1886" s="1">
        <v>42872.839583333334</v>
      </c>
      <c r="O1886" t="s">
        <v>19</v>
      </c>
    </row>
    <row r="1887" spans="1:15" x14ac:dyDescent="0.25">
      <c r="A1887" t="s">
        <v>1727</v>
      </c>
      <c r="B1887" t="s">
        <v>15</v>
      </c>
      <c r="C1887" t="s">
        <v>1619</v>
      </c>
      <c r="D1887" t="s">
        <v>17</v>
      </c>
      <c r="E1887" t="s">
        <v>18</v>
      </c>
      <c r="F1887" t="s">
        <v>19</v>
      </c>
      <c r="G1887" t="s">
        <v>20</v>
      </c>
      <c r="J1887" t="s">
        <v>17</v>
      </c>
      <c r="K1887" t="str">
        <f>"2265252263520"</f>
        <v>2265252263520</v>
      </c>
      <c r="L1887" t="str">
        <f>"76123608"</f>
        <v>76123608</v>
      </c>
      <c r="M1887" t="s">
        <v>75</v>
      </c>
      <c r="N1887" s="1">
        <v>42872.847222222219</v>
      </c>
      <c r="O1887" t="s">
        <v>19</v>
      </c>
    </row>
    <row r="1888" spans="1:15" x14ac:dyDescent="0.25">
      <c r="A1888" t="s">
        <v>1728</v>
      </c>
      <c r="B1888" t="s">
        <v>15</v>
      </c>
      <c r="C1888" t="s">
        <v>1619</v>
      </c>
      <c r="D1888" t="s">
        <v>17</v>
      </c>
      <c r="E1888" t="s">
        <v>18</v>
      </c>
      <c r="F1888" t="s">
        <v>19</v>
      </c>
      <c r="G1888" t="s">
        <v>20</v>
      </c>
      <c r="J1888" t="s">
        <v>17</v>
      </c>
      <c r="K1888" t="str">
        <f>"8518783701288"</f>
        <v>8518783701288</v>
      </c>
      <c r="L1888" t="str">
        <f>"10001114"</f>
        <v>10001114</v>
      </c>
      <c r="M1888" t="s">
        <v>84</v>
      </c>
      <c r="N1888" s="1">
        <v>43396.666666666664</v>
      </c>
      <c r="O1888" t="s">
        <v>19</v>
      </c>
    </row>
    <row r="1889" spans="1:15" x14ac:dyDescent="0.25">
      <c r="A1889" t="s">
        <v>1729</v>
      </c>
      <c r="B1889" t="s">
        <v>15</v>
      </c>
      <c r="C1889" t="s">
        <v>1619</v>
      </c>
      <c r="D1889" t="s">
        <v>17</v>
      </c>
      <c r="E1889" t="s">
        <v>18</v>
      </c>
      <c r="F1889" t="s">
        <v>19</v>
      </c>
      <c r="G1889" t="s">
        <v>20</v>
      </c>
      <c r="J1889" t="s">
        <v>17</v>
      </c>
      <c r="K1889" t="str">
        <f>"87001146"</f>
        <v>87001146</v>
      </c>
      <c r="L1889" t="str">
        <f>"87001146"</f>
        <v>87001146</v>
      </c>
      <c r="M1889" t="s">
        <v>75</v>
      </c>
      <c r="N1889" s="1">
        <v>42872.847222222219</v>
      </c>
      <c r="O1889" t="s">
        <v>19</v>
      </c>
    </row>
    <row r="1890" spans="1:15" x14ac:dyDescent="0.25">
      <c r="A1890" t="s">
        <v>1730</v>
      </c>
      <c r="B1890" t="s">
        <v>15</v>
      </c>
      <c r="C1890" t="s">
        <v>1619</v>
      </c>
      <c r="D1890" t="s">
        <v>17</v>
      </c>
      <c r="E1890" t="s">
        <v>18</v>
      </c>
      <c r="F1890" t="s">
        <v>19</v>
      </c>
      <c r="G1890" t="s">
        <v>20</v>
      </c>
      <c r="J1890" t="s">
        <v>17</v>
      </c>
      <c r="K1890" t="str">
        <f>"6995845112435"</f>
        <v>6995845112435</v>
      </c>
      <c r="L1890" t="str">
        <f>"10001176"</f>
        <v>10001176</v>
      </c>
      <c r="M1890" t="s">
        <v>21</v>
      </c>
      <c r="N1890" s="1">
        <v>44392.782638888886</v>
      </c>
      <c r="O1890" t="s">
        <v>19</v>
      </c>
    </row>
    <row r="1891" spans="1:15" x14ac:dyDescent="0.25">
      <c r="A1891" t="s">
        <v>1731</v>
      </c>
      <c r="B1891" t="s">
        <v>15</v>
      </c>
      <c r="C1891" t="s">
        <v>1619</v>
      </c>
      <c r="D1891" t="s">
        <v>17</v>
      </c>
      <c r="E1891" t="s">
        <v>18</v>
      </c>
      <c r="F1891" t="s">
        <v>19</v>
      </c>
      <c r="G1891" t="s">
        <v>20</v>
      </c>
      <c r="J1891" t="s">
        <v>17</v>
      </c>
      <c r="K1891" t="str">
        <f>"22004235"</f>
        <v>22004235</v>
      </c>
      <c r="L1891" t="str">
        <f>"22004235"</f>
        <v>22004235</v>
      </c>
      <c r="M1891" t="s">
        <v>84</v>
      </c>
      <c r="N1891" s="1">
        <v>43281.697222222225</v>
      </c>
      <c r="O1891" t="s">
        <v>19</v>
      </c>
    </row>
    <row r="1892" spans="1:15" x14ac:dyDescent="0.25">
      <c r="A1892" t="s">
        <v>1732</v>
      </c>
      <c r="B1892" t="s">
        <v>15</v>
      </c>
      <c r="C1892" t="s">
        <v>1619</v>
      </c>
      <c r="D1892" t="s">
        <v>17</v>
      </c>
      <c r="E1892" t="s">
        <v>18</v>
      </c>
      <c r="F1892" t="s">
        <v>19</v>
      </c>
      <c r="G1892" t="s">
        <v>20</v>
      </c>
      <c r="J1892" t="s">
        <v>17</v>
      </c>
      <c r="K1892" t="str">
        <f>"6925871667128"</f>
        <v>6925871667128</v>
      </c>
      <c r="L1892" t="str">
        <f>"22126712"</f>
        <v>22126712</v>
      </c>
      <c r="M1892" t="s">
        <v>21</v>
      </c>
      <c r="N1892" s="1">
        <v>44405.912499999999</v>
      </c>
      <c r="O1892" t="s">
        <v>19</v>
      </c>
    </row>
    <row r="1893" spans="1:15" x14ac:dyDescent="0.25">
      <c r="A1893" t="s">
        <v>1733</v>
      </c>
      <c r="B1893" t="s">
        <v>15</v>
      </c>
      <c r="C1893" t="s">
        <v>1619</v>
      </c>
      <c r="D1893" t="s">
        <v>17</v>
      </c>
      <c r="E1893" t="s">
        <v>18</v>
      </c>
      <c r="F1893" t="s">
        <v>19</v>
      </c>
      <c r="G1893" t="s">
        <v>20</v>
      </c>
      <c r="J1893" t="s">
        <v>17</v>
      </c>
      <c r="K1893" t="str">
        <f>"22124235"</f>
        <v>22124235</v>
      </c>
      <c r="L1893" t="str">
        <f>"22124235"</f>
        <v>22124235</v>
      </c>
      <c r="M1893" t="s">
        <v>75</v>
      </c>
      <c r="N1893" s="1">
        <v>43173.651388888888</v>
      </c>
      <c r="O1893" t="s">
        <v>19</v>
      </c>
    </row>
    <row r="1894" spans="1:15" x14ac:dyDescent="0.25">
      <c r="A1894" t="s">
        <v>1734</v>
      </c>
      <c r="B1894" t="s">
        <v>15</v>
      </c>
      <c r="C1894" t="s">
        <v>1619</v>
      </c>
      <c r="D1894" t="s">
        <v>17</v>
      </c>
      <c r="E1894" t="s">
        <v>18</v>
      </c>
      <c r="F1894" t="s">
        <v>19</v>
      </c>
      <c r="G1894" t="s">
        <v>20</v>
      </c>
      <c r="J1894" t="s">
        <v>17</v>
      </c>
      <c r="K1894" t="str">
        <f>"6925871662543"</f>
        <v>6925871662543</v>
      </c>
      <c r="L1894" t="str">
        <f>"22126254"</f>
        <v>22126254</v>
      </c>
      <c r="M1894" t="s">
        <v>21</v>
      </c>
      <c r="N1894" s="1">
        <v>44405.925694444442</v>
      </c>
      <c r="O1894" t="s">
        <v>19</v>
      </c>
    </row>
    <row r="1895" spans="1:15" x14ac:dyDescent="0.25">
      <c r="A1895" t="s">
        <v>1735</v>
      </c>
      <c r="B1895" t="s">
        <v>15</v>
      </c>
      <c r="C1895" t="s">
        <v>1619</v>
      </c>
      <c r="D1895" t="s">
        <v>17</v>
      </c>
      <c r="E1895" t="s">
        <v>18</v>
      </c>
      <c r="F1895" t="s">
        <v>19</v>
      </c>
      <c r="G1895" t="s">
        <v>20</v>
      </c>
      <c r="J1895" t="s">
        <v>17</v>
      </c>
      <c r="K1895" t="str">
        <f>"6925871663281"</f>
        <v>6925871663281</v>
      </c>
      <c r="L1895" t="str">
        <f>"22126328"</f>
        <v>22126328</v>
      </c>
      <c r="M1895" t="s">
        <v>75</v>
      </c>
      <c r="N1895" s="1">
        <v>42872.839583333334</v>
      </c>
      <c r="O1895" t="s">
        <v>19</v>
      </c>
    </row>
    <row r="1896" spans="1:15" x14ac:dyDescent="0.25">
      <c r="A1896" t="s">
        <v>1736</v>
      </c>
      <c r="B1896" t="s">
        <v>15</v>
      </c>
      <c r="C1896" t="s">
        <v>1619</v>
      </c>
      <c r="D1896" t="s">
        <v>17</v>
      </c>
      <c r="E1896" t="s">
        <v>18</v>
      </c>
      <c r="F1896" t="s">
        <v>19</v>
      </c>
      <c r="G1896" t="s">
        <v>20</v>
      </c>
      <c r="J1896" t="s">
        <v>17</v>
      </c>
      <c r="K1896" t="str">
        <f>"6925871663342"</f>
        <v>6925871663342</v>
      </c>
      <c r="L1896" t="str">
        <f>"98126364"</f>
        <v>98126364</v>
      </c>
      <c r="M1896" t="s">
        <v>21</v>
      </c>
      <c r="N1896" s="1">
        <v>43218.817361111112</v>
      </c>
      <c r="O1896" t="s">
        <v>19</v>
      </c>
    </row>
    <row r="1897" spans="1:15" x14ac:dyDescent="0.25">
      <c r="A1897" t="s">
        <v>1737</v>
      </c>
      <c r="B1897" t="s">
        <v>15</v>
      </c>
      <c r="C1897" t="s">
        <v>1619</v>
      </c>
      <c r="D1897" t="s">
        <v>17</v>
      </c>
      <c r="E1897" t="s">
        <v>18</v>
      </c>
      <c r="F1897" t="s">
        <v>19</v>
      </c>
      <c r="G1897" t="s">
        <v>20</v>
      </c>
      <c r="J1897" t="s">
        <v>17</v>
      </c>
      <c r="K1897" t="str">
        <f>"6925871663632"</f>
        <v>6925871663632</v>
      </c>
      <c r="L1897" t="str">
        <f>"22126363"</f>
        <v>22126363</v>
      </c>
      <c r="M1897" t="s">
        <v>21</v>
      </c>
      <c r="N1897" s="1">
        <v>43818.693055555559</v>
      </c>
      <c r="O1897" t="s">
        <v>19</v>
      </c>
    </row>
    <row r="1898" spans="1:15" x14ac:dyDescent="0.25">
      <c r="A1898" t="s">
        <v>1738</v>
      </c>
      <c r="B1898" t="s">
        <v>15</v>
      </c>
      <c r="C1898" t="s">
        <v>1619</v>
      </c>
      <c r="D1898" t="s">
        <v>17</v>
      </c>
      <c r="E1898" t="s">
        <v>18</v>
      </c>
      <c r="F1898" t="s">
        <v>19</v>
      </c>
      <c r="G1898" t="s">
        <v>20</v>
      </c>
      <c r="J1898" t="s">
        <v>17</v>
      </c>
      <c r="K1898" t="str">
        <f>"6925871666121"</f>
        <v>6925871666121</v>
      </c>
      <c r="L1898" t="str">
        <f>"98126612"</f>
        <v>98126612</v>
      </c>
      <c r="M1898" t="s">
        <v>21</v>
      </c>
      <c r="N1898" s="1">
        <v>43396.918749999997</v>
      </c>
      <c r="O1898" t="s">
        <v>19</v>
      </c>
    </row>
    <row r="1899" spans="1:15" x14ac:dyDescent="0.25">
      <c r="A1899" t="s">
        <v>1739</v>
      </c>
      <c r="B1899" t="s">
        <v>15</v>
      </c>
      <c r="C1899" t="s">
        <v>1619</v>
      </c>
      <c r="D1899" t="s">
        <v>17</v>
      </c>
      <c r="E1899" t="s">
        <v>18</v>
      </c>
      <c r="F1899" t="s">
        <v>19</v>
      </c>
      <c r="G1899" t="s">
        <v>20</v>
      </c>
      <c r="J1899" t="s">
        <v>17</v>
      </c>
      <c r="K1899" t="str">
        <f>"6925871666442"</f>
        <v>6925871666442</v>
      </c>
      <c r="L1899" t="str">
        <f>"22126644"</f>
        <v>22126644</v>
      </c>
      <c r="M1899" t="s">
        <v>21</v>
      </c>
      <c r="N1899" s="1">
        <v>43707.797222222223</v>
      </c>
      <c r="O1899" t="s">
        <v>19</v>
      </c>
    </row>
    <row r="1900" spans="1:15" x14ac:dyDescent="0.25">
      <c r="A1900" t="s">
        <v>1740</v>
      </c>
      <c r="B1900" t="s">
        <v>15</v>
      </c>
      <c r="C1900" t="s">
        <v>1619</v>
      </c>
      <c r="D1900" t="s">
        <v>17</v>
      </c>
      <c r="E1900" t="s">
        <v>18</v>
      </c>
      <c r="F1900" t="s">
        <v>19</v>
      </c>
      <c r="G1900" t="s">
        <v>20</v>
      </c>
      <c r="J1900" t="s">
        <v>17</v>
      </c>
      <c r="K1900" t="str">
        <f>"6925871666572"</f>
        <v>6925871666572</v>
      </c>
      <c r="L1900" t="str">
        <f>"98126657"</f>
        <v>98126657</v>
      </c>
      <c r="M1900" t="s">
        <v>21</v>
      </c>
      <c r="N1900" s="1">
        <v>43853.804861111108</v>
      </c>
      <c r="O1900" t="s">
        <v>19</v>
      </c>
    </row>
    <row r="1901" spans="1:15" x14ac:dyDescent="0.25">
      <c r="A1901" t="s">
        <v>1741</v>
      </c>
      <c r="B1901" t="s">
        <v>15</v>
      </c>
      <c r="C1901" t="s">
        <v>1619</v>
      </c>
      <c r="D1901" t="s">
        <v>17</v>
      </c>
      <c r="E1901" t="s">
        <v>18</v>
      </c>
      <c r="F1901" t="s">
        <v>19</v>
      </c>
      <c r="G1901" t="s">
        <v>20</v>
      </c>
      <c r="J1901" t="s">
        <v>17</v>
      </c>
      <c r="K1901" t="str">
        <f>"6925871667180"</f>
        <v>6925871667180</v>
      </c>
      <c r="L1901" t="str">
        <f>"22126718"</f>
        <v>22126718</v>
      </c>
      <c r="M1901" t="s">
        <v>21</v>
      </c>
      <c r="N1901" s="1">
        <v>43818.691666666666</v>
      </c>
      <c r="O1901" t="s">
        <v>19</v>
      </c>
    </row>
    <row r="1902" spans="1:15" x14ac:dyDescent="0.25">
      <c r="A1902" t="s">
        <v>1742</v>
      </c>
      <c r="B1902" t="s">
        <v>15</v>
      </c>
      <c r="C1902" t="s">
        <v>1619</v>
      </c>
      <c r="D1902" t="s">
        <v>17</v>
      </c>
      <c r="E1902" t="s">
        <v>18</v>
      </c>
      <c r="F1902" t="s">
        <v>19</v>
      </c>
      <c r="G1902" t="s">
        <v>20</v>
      </c>
      <c r="J1902" t="s">
        <v>17</v>
      </c>
      <c r="K1902" t="str">
        <f>"6925871667166"</f>
        <v>6925871667166</v>
      </c>
      <c r="L1902" t="str">
        <f>"22126716"</f>
        <v>22126716</v>
      </c>
      <c r="M1902" t="s">
        <v>21</v>
      </c>
      <c r="N1902" s="1">
        <v>44392.677083333336</v>
      </c>
      <c r="O1902" t="s">
        <v>19</v>
      </c>
    </row>
    <row r="1903" spans="1:15" x14ac:dyDescent="0.25">
      <c r="A1903" t="s">
        <v>1743</v>
      </c>
      <c r="B1903" t="s">
        <v>15</v>
      </c>
      <c r="C1903" t="s">
        <v>1619</v>
      </c>
      <c r="D1903" t="s">
        <v>17</v>
      </c>
      <c r="E1903" t="s">
        <v>18</v>
      </c>
      <c r="F1903" t="s">
        <v>19</v>
      </c>
      <c r="G1903" t="s">
        <v>20</v>
      </c>
      <c r="J1903" t="s">
        <v>17</v>
      </c>
      <c r="K1903" t="str">
        <f>"6925871667401"</f>
        <v>6925871667401</v>
      </c>
      <c r="L1903" t="str">
        <f>"22126740"</f>
        <v>22126740</v>
      </c>
      <c r="M1903" t="s">
        <v>21</v>
      </c>
      <c r="N1903" s="1">
        <v>42881.892361111109</v>
      </c>
      <c r="O1903" t="s">
        <v>19</v>
      </c>
    </row>
    <row r="1904" spans="1:15" x14ac:dyDescent="0.25">
      <c r="A1904" t="s">
        <v>1744</v>
      </c>
      <c r="B1904" t="s">
        <v>15</v>
      </c>
      <c r="C1904" t="s">
        <v>1619</v>
      </c>
      <c r="D1904" t="s">
        <v>17</v>
      </c>
      <c r="E1904" t="s">
        <v>18</v>
      </c>
      <c r="F1904" t="s">
        <v>19</v>
      </c>
      <c r="G1904" t="s">
        <v>20</v>
      </c>
      <c r="J1904" t="s">
        <v>17</v>
      </c>
      <c r="K1904" t="str">
        <f>"98126743"</f>
        <v>98126743</v>
      </c>
      <c r="L1904" t="str">
        <f>"98126743"</f>
        <v>98126743</v>
      </c>
      <c r="M1904" t="s">
        <v>21</v>
      </c>
      <c r="N1904" s="1">
        <v>44321.84375</v>
      </c>
      <c r="O1904" t="s">
        <v>19</v>
      </c>
    </row>
    <row r="1905" spans="1:15" x14ac:dyDescent="0.25">
      <c r="A1905" t="s">
        <v>1745</v>
      </c>
      <c r="B1905" t="s">
        <v>15</v>
      </c>
      <c r="C1905" t="s">
        <v>1619</v>
      </c>
      <c r="D1905" t="s">
        <v>17</v>
      </c>
      <c r="E1905" t="s">
        <v>18</v>
      </c>
      <c r="F1905" t="s">
        <v>19</v>
      </c>
      <c r="G1905" t="s">
        <v>20</v>
      </c>
      <c r="J1905" t="s">
        <v>17</v>
      </c>
      <c r="K1905" t="str">
        <f>"6925871667562"</f>
        <v>6925871667562</v>
      </c>
      <c r="L1905" t="str">
        <f>"98126756"</f>
        <v>98126756</v>
      </c>
      <c r="M1905" t="s">
        <v>21</v>
      </c>
      <c r="N1905" s="1">
        <v>43419.626388888886</v>
      </c>
      <c r="O1905" t="s">
        <v>19</v>
      </c>
    </row>
    <row r="1906" spans="1:15" x14ac:dyDescent="0.25">
      <c r="A1906" t="s">
        <v>1746</v>
      </c>
      <c r="B1906" t="s">
        <v>15</v>
      </c>
      <c r="C1906" t="s">
        <v>1619</v>
      </c>
      <c r="D1906" t="s">
        <v>17</v>
      </c>
      <c r="E1906" t="s">
        <v>18</v>
      </c>
      <c r="F1906" t="s">
        <v>19</v>
      </c>
      <c r="G1906" t="s">
        <v>20</v>
      </c>
      <c r="J1906" t="s">
        <v>17</v>
      </c>
      <c r="K1906" t="str">
        <f>"5103920"</f>
        <v>5103920</v>
      </c>
      <c r="L1906" t="str">
        <f>"5103920"</f>
        <v>5103920</v>
      </c>
      <c r="M1906" t="s">
        <v>75</v>
      </c>
      <c r="N1906" s="1">
        <v>42872.839583333334</v>
      </c>
      <c r="O1906" t="s">
        <v>19</v>
      </c>
    </row>
    <row r="1907" spans="1:15" x14ac:dyDescent="0.25">
      <c r="A1907" t="s">
        <v>1747</v>
      </c>
      <c r="B1907" t="s">
        <v>15</v>
      </c>
      <c r="C1907" t="s">
        <v>1619</v>
      </c>
      <c r="D1907" t="s">
        <v>17</v>
      </c>
      <c r="E1907" t="s">
        <v>18</v>
      </c>
      <c r="F1907" t="s">
        <v>19</v>
      </c>
      <c r="G1907" t="s">
        <v>20</v>
      </c>
      <c r="J1907" t="s">
        <v>17</v>
      </c>
      <c r="K1907" t="str">
        <f>"7858816021312"</f>
        <v>7858816021312</v>
      </c>
      <c r="L1907" t="str">
        <f>"87122131"</f>
        <v>87122131</v>
      </c>
      <c r="M1907" t="s">
        <v>21</v>
      </c>
      <c r="N1907" s="1">
        <v>43595.79583333333</v>
      </c>
      <c r="O1907" t="s">
        <v>19</v>
      </c>
    </row>
    <row r="1908" spans="1:15" x14ac:dyDescent="0.25">
      <c r="A1908" t="s">
        <v>1748</v>
      </c>
      <c r="B1908" t="s">
        <v>15</v>
      </c>
      <c r="C1908" t="s">
        <v>1619</v>
      </c>
      <c r="D1908" t="s">
        <v>17</v>
      </c>
      <c r="E1908" t="s">
        <v>18</v>
      </c>
      <c r="F1908" t="s">
        <v>19</v>
      </c>
      <c r="G1908" t="s">
        <v>20</v>
      </c>
      <c r="J1908" t="s">
        <v>17</v>
      </c>
      <c r="K1908" t="str">
        <f>"7858816038600"</f>
        <v>7858816038600</v>
      </c>
      <c r="L1908" t="str">
        <f>"87123860"</f>
        <v>87123860</v>
      </c>
      <c r="M1908" t="s">
        <v>21</v>
      </c>
      <c r="N1908" s="1">
        <v>43595.813888888886</v>
      </c>
      <c r="O1908" t="s">
        <v>19</v>
      </c>
    </row>
    <row r="1909" spans="1:15" x14ac:dyDescent="0.25">
      <c r="A1909" t="s">
        <v>1749</v>
      </c>
      <c r="B1909" t="s">
        <v>15</v>
      </c>
      <c r="C1909" t="s">
        <v>1619</v>
      </c>
      <c r="D1909" t="s">
        <v>17</v>
      </c>
      <c r="E1909" t="s">
        <v>18</v>
      </c>
      <c r="F1909" t="s">
        <v>19</v>
      </c>
      <c r="G1909" t="s">
        <v>20</v>
      </c>
      <c r="J1909" t="s">
        <v>17</v>
      </c>
      <c r="K1909" t="str">
        <f>"7858816045363"</f>
        <v>7858816045363</v>
      </c>
      <c r="L1909" t="str">
        <f>"87124536"</f>
        <v>87124536</v>
      </c>
      <c r="M1909" t="s">
        <v>21</v>
      </c>
      <c r="N1909" s="1">
        <v>43853.661111111112</v>
      </c>
      <c r="O1909" t="s">
        <v>19</v>
      </c>
    </row>
    <row r="1910" spans="1:15" x14ac:dyDescent="0.25">
      <c r="A1910" t="s">
        <v>1750</v>
      </c>
      <c r="B1910" t="s">
        <v>15</v>
      </c>
      <c r="C1910" t="s">
        <v>1619</v>
      </c>
      <c r="D1910" t="s">
        <v>17</v>
      </c>
      <c r="E1910" t="s">
        <v>18</v>
      </c>
      <c r="F1910" t="s">
        <v>19</v>
      </c>
      <c r="G1910" t="s">
        <v>20</v>
      </c>
      <c r="J1910" t="s">
        <v>17</v>
      </c>
      <c r="K1910" t="str">
        <f>"7858816051562"</f>
        <v>7858816051562</v>
      </c>
      <c r="L1910" t="str">
        <f>"87125153"</f>
        <v>87125153</v>
      </c>
      <c r="M1910" t="s">
        <v>21</v>
      </c>
      <c r="N1910" s="1">
        <v>43595.813194444447</v>
      </c>
      <c r="O1910" t="s">
        <v>19</v>
      </c>
    </row>
    <row r="1911" spans="1:15" x14ac:dyDescent="0.25">
      <c r="A1911" t="s">
        <v>1751</v>
      </c>
      <c r="B1911" t="s">
        <v>15</v>
      </c>
      <c r="C1911" t="s">
        <v>1619</v>
      </c>
      <c r="D1911" t="s">
        <v>17</v>
      </c>
      <c r="E1911" t="s">
        <v>18</v>
      </c>
      <c r="F1911" t="s">
        <v>19</v>
      </c>
      <c r="G1911" t="s">
        <v>20</v>
      </c>
      <c r="J1911" t="s">
        <v>17</v>
      </c>
      <c r="K1911" t="str">
        <f>"7858816056192"</f>
        <v>7858816056192</v>
      </c>
      <c r="L1911" t="str">
        <f>"87125619"</f>
        <v>87125619</v>
      </c>
      <c r="M1911" t="s">
        <v>21</v>
      </c>
      <c r="N1911" s="1">
        <v>43603.770833333336</v>
      </c>
      <c r="O1911" t="s">
        <v>19</v>
      </c>
    </row>
    <row r="1912" spans="1:15" x14ac:dyDescent="0.25">
      <c r="A1912" t="s">
        <v>1752</v>
      </c>
      <c r="B1912" t="s">
        <v>15</v>
      </c>
      <c r="C1912" t="s">
        <v>1619</v>
      </c>
      <c r="D1912" t="s">
        <v>17</v>
      </c>
      <c r="E1912" t="s">
        <v>18</v>
      </c>
      <c r="F1912" t="s">
        <v>19</v>
      </c>
      <c r="G1912" t="s">
        <v>20</v>
      </c>
      <c r="J1912" t="s">
        <v>17</v>
      </c>
      <c r="K1912" t="str">
        <f>"7858816058752"</f>
        <v>7858816058752</v>
      </c>
      <c r="L1912" t="str">
        <f>"87125875"</f>
        <v>87125875</v>
      </c>
      <c r="M1912" t="s">
        <v>21</v>
      </c>
      <c r="N1912" s="1">
        <v>43595.806944444441</v>
      </c>
      <c r="O1912" t="s">
        <v>19</v>
      </c>
    </row>
    <row r="1913" spans="1:15" x14ac:dyDescent="0.25">
      <c r="A1913" t="s">
        <v>1753</v>
      </c>
      <c r="B1913" t="s">
        <v>15</v>
      </c>
      <c r="C1913" t="s">
        <v>1619</v>
      </c>
      <c r="D1913" t="s">
        <v>17</v>
      </c>
      <c r="E1913" t="s">
        <v>18</v>
      </c>
      <c r="F1913" t="s">
        <v>19</v>
      </c>
      <c r="G1913" t="s">
        <v>20</v>
      </c>
      <c r="J1913" t="s">
        <v>17</v>
      </c>
      <c r="K1913" t="str">
        <f>"7858816059797"</f>
        <v>7858816059797</v>
      </c>
      <c r="L1913" t="str">
        <f>"98125979"</f>
        <v>98125979</v>
      </c>
      <c r="M1913" t="s">
        <v>21</v>
      </c>
      <c r="N1913" s="1">
        <v>43853.652083333334</v>
      </c>
      <c r="O1913" t="s">
        <v>19</v>
      </c>
    </row>
    <row r="1914" spans="1:15" x14ac:dyDescent="0.25">
      <c r="A1914" t="s">
        <v>1754</v>
      </c>
      <c r="B1914" t="s">
        <v>15</v>
      </c>
      <c r="C1914" t="s">
        <v>1619</v>
      </c>
      <c r="D1914" t="s">
        <v>17</v>
      </c>
      <c r="E1914" t="s">
        <v>18</v>
      </c>
      <c r="F1914" t="s">
        <v>19</v>
      </c>
      <c r="G1914" t="s">
        <v>20</v>
      </c>
      <c r="J1914" t="s">
        <v>17</v>
      </c>
      <c r="K1914" t="str">
        <f>"7858816062209"</f>
        <v>7858816062209</v>
      </c>
      <c r="L1914" t="str">
        <f>"87126220"</f>
        <v>87126220</v>
      </c>
      <c r="M1914" t="s">
        <v>21</v>
      </c>
      <c r="N1914" s="1">
        <v>43853.677083333336</v>
      </c>
      <c r="O1914" t="s">
        <v>19</v>
      </c>
    </row>
    <row r="1915" spans="1:15" x14ac:dyDescent="0.25">
      <c r="A1915" t="s">
        <v>1755</v>
      </c>
      <c r="B1915" t="s">
        <v>15</v>
      </c>
      <c r="C1915" t="s">
        <v>1619</v>
      </c>
      <c r="D1915" t="s">
        <v>17</v>
      </c>
      <c r="E1915" t="s">
        <v>18</v>
      </c>
      <c r="F1915" t="s">
        <v>19</v>
      </c>
      <c r="G1915" t="s">
        <v>20</v>
      </c>
      <c r="J1915" t="s">
        <v>17</v>
      </c>
      <c r="K1915" t="str">
        <f>"7858816072314"</f>
        <v>7858816072314</v>
      </c>
      <c r="L1915" t="str">
        <f>"87127231"</f>
        <v>87127231</v>
      </c>
      <c r="M1915" t="s">
        <v>21</v>
      </c>
      <c r="N1915" s="1">
        <v>43252.727777777778</v>
      </c>
      <c r="O1915" t="s">
        <v>19</v>
      </c>
    </row>
    <row r="1916" spans="1:15" x14ac:dyDescent="0.25">
      <c r="A1916" t="s">
        <v>1756</v>
      </c>
      <c r="B1916" t="s">
        <v>15</v>
      </c>
      <c r="C1916" t="s">
        <v>1619</v>
      </c>
      <c r="D1916" t="s">
        <v>17</v>
      </c>
      <c r="E1916" t="s">
        <v>18</v>
      </c>
      <c r="F1916" t="s">
        <v>19</v>
      </c>
      <c r="G1916" t="s">
        <v>20</v>
      </c>
      <c r="J1916" t="s">
        <v>17</v>
      </c>
      <c r="K1916" t="str">
        <f>"7858816072338"</f>
        <v>7858816072338</v>
      </c>
      <c r="L1916" t="str">
        <f>"871207233"</f>
        <v>871207233</v>
      </c>
      <c r="M1916" t="s">
        <v>21</v>
      </c>
      <c r="N1916" s="1">
        <v>43889.910416666666</v>
      </c>
      <c r="O1916" t="s">
        <v>19</v>
      </c>
    </row>
    <row r="1917" spans="1:15" x14ac:dyDescent="0.25">
      <c r="A1917" t="s">
        <v>1757</v>
      </c>
      <c r="B1917" t="s">
        <v>15</v>
      </c>
      <c r="C1917" t="s">
        <v>1619</v>
      </c>
      <c r="D1917" t="s">
        <v>17</v>
      </c>
      <c r="E1917" t="s">
        <v>18</v>
      </c>
      <c r="F1917" t="s">
        <v>19</v>
      </c>
      <c r="G1917" t="s">
        <v>20</v>
      </c>
      <c r="J1917" t="s">
        <v>17</v>
      </c>
      <c r="K1917" t="str">
        <f>"7858816077234"</f>
        <v>7858816077234</v>
      </c>
      <c r="L1917" t="str">
        <f>"87127723"</f>
        <v>87127723</v>
      </c>
      <c r="M1917" t="s">
        <v>21</v>
      </c>
      <c r="N1917" s="1">
        <v>42872.839583333334</v>
      </c>
      <c r="O1917" t="s">
        <v>19</v>
      </c>
    </row>
    <row r="1918" spans="1:15" x14ac:dyDescent="0.25">
      <c r="A1918" t="s">
        <v>1758</v>
      </c>
      <c r="B1918" t="s">
        <v>15</v>
      </c>
      <c r="C1918" t="s">
        <v>1619</v>
      </c>
      <c r="D1918" t="s">
        <v>17</v>
      </c>
      <c r="E1918" t="s">
        <v>18</v>
      </c>
      <c r="F1918" t="s">
        <v>19</v>
      </c>
      <c r="G1918" t="s">
        <v>20</v>
      </c>
      <c r="J1918" t="s">
        <v>17</v>
      </c>
      <c r="K1918" t="str">
        <f>"8944870161749"</f>
        <v>8944870161749</v>
      </c>
      <c r="L1918" t="str">
        <f>"87122102"</f>
        <v>87122102</v>
      </c>
      <c r="M1918" t="s">
        <v>21</v>
      </c>
      <c r="N1918" s="1">
        <v>44252.786111111112</v>
      </c>
      <c r="O1918" t="s">
        <v>19</v>
      </c>
    </row>
    <row r="1919" spans="1:15" x14ac:dyDescent="0.25">
      <c r="A1919" t="s">
        <v>1759</v>
      </c>
      <c r="B1919" t="s">
        <v>15</v>
      </c>
      <c r="C1919" t="s">
        <v>1619</v>
      </c>
      <c r="D1919" t="s">
        <v>17</v>
      </c>
      <c r="E1919" t="s">
        <v>18</v>
      </c>
      <c r="F1919" t="s">
        <v>19</v>
      </c>
      <c r="G1919" t="s">
        <v>20</v>
      </c>
      <c r="J1919" t="s">
        <v>17</v>
      </c>
      <c r="K1919" t="str">
        <f>"8944870161985"</f>
        <v>8944870161985</v>
      </c>
      <c r="L1919" t="str">
        <f>"87122002132"</f>
        <v>87122002132</v>
      </c>
      <c r="M1919" t="s">
        <v>21</v>
      </c>
      <c r="N1919" s="1">
        <v>44356.930555555555</v>
      </c>
      <c r="O1919" t="s">
        <v>19</v>
      </c>
    </row>
    <row r="1920" spans="1:15" x14ac:dyDescent="0.25">
      <c r="A1920" t="s">
        <v>1760</v>
      </c>
      <c r="B1920" t="s">
        <v>15</v>
      </c>
      <c r="C1920" t="s">
        <v>1619</v>
      </c>
      <c r="D1920" t="s">
        <v>17</v>
      </c>
      <c r="E1920" t="s">
        <v>18</v>
      </c>
      <c r="F1920" t="s">
        <v>19</v>
      </c>
      <c r="G1920" t="s">
        <v>20</v>
      </c>
      <c r="J1920" t="s">
        <v>17</v>
      </c>
      <c r="K1920" t="str">
        <f>"8944870161732"</f>
        <v>8944870161732</v>
      </c>
      <c r="L1920" t="str">
        <f>"87122171"</f>
        <v>87122171</v>
      </c>
      <c r="M1920" t="s">
        <v>21</v>
      </c>
      <c r="N1920" s="1">
        <v>42872.847222222219</v>
      </c>
      <c r="O1920" t="s">
        <v>19</v>
      </c>
    </row>
    <row r="1921" spans="1:15" x14ac:dyDescent="0.25">
      <c r="A1921" t="s">
        <v>1761</v>
      </c>
      <c r="B1921" t="s">
        <v>15</v>
      </c>
      <c r="C1921" t="s">
        <v>1619</v>
      </c>
      <c r="D1921" t="s">
        <v>17</v>
      </c>
      <c r="E1921" t="s">
        <v>18</v>
      </c>
      <c r="F1921" t="s">
        <v>19</v>
      </c>
      <c r="G1921" t="s">
        <v>20</v>
      </c>
      <c r="J1921" t="s">
        <v>17</v>
      </c>
      <c r="K1921" t="str">
        <f>"7858816045318"</f>
        <v>7858816045318</v>
      </c>
      <c r="L1921" t="str">
        <f>"87084531"</f>
        <v>87084531</v>
      </c>
      <c r="M1921" t="s">
        <v>84</v>
      </c>
      <c r="N1921" s="1">
        <v>43281.6875</v>
      </c>
      <c r="O1921" t="s">
        <v>19</v>
      </c>
    </row>
    <row r="1922" spans="1:15" x14ac:dyDescent="0.25">
      <c r="A1922" t="s">
        <v>1762</v>
      </c>
      <c r="B1922" t="s">
        <v>15</v>
      </c>
      <c r="C1922" t="s">
        <v>1619</v>
      </c>
      <c r="D1922" t="s">
        <v>17</v>
      </c>
      <c r="E1922" t="s">
        <v>18</v>
      </c>
      <c r="F1922" t="s">
        <v>19</v>
      </c>
      <c r="G1922" t="s">
        <v>20</v>
      </c>
      <c r="J1922" t="s">
        <v>17</v>
      </c>
      <c r="K1922" t="str">
        <f>"3008021"</f>
        <v>3008021</v>
      </c>
      <c r="L1922" t="str">
        <f>"3008021"</f>
        <v>3008021</v>
      </c>
      <c r="M1922" t="s">
        <v>75</v>
      </c>
      <c r="N1922" s="1">
        <v>42872.839583333334</v>
      </c>
      <c r="O1922" t="s">
        <v>19</v>
      </c>
    </row>
    <row r="1923" spans="1:15" x14ac:dyDescent="0.25">
      <c r="A1923" t="s">
        <v>1763</v>
      </c>
      <c r="B1923" t="s">
        <v>15</v>
      </c>
      <c r="C1923" t="s">
        <v>1619</v>
      </c>
      <c r="D1923" t="s">
        <v>17</v>
      </c>
      <c r="E1923" t="s">
        <v>18</v>
      </c>
      <c r="F1923" t="s">
        <v>19</v>
      </c>
      <c r="G1923" t="s">
        <v>20</v>
      </c>
      <c r="J1923" t="s">
        <v>17</v>
      </c>
      <c r="K1923" t="str">
        <f>"6933138612040"</f>
        <v>6933138612040</v>
      </c>
      <c r="L1923" t="str">
        <f>"59121204"</f>
        <v>59121204</v>
      </c>
      <c r="M1923" t="s">
        <v>75</v>
      </c>
      <c r="N1923" s="1">
        <v>43171.621527777781</v>
      </c>
      <c r="O1923" t="s">
        <v>19</v>
      </c>
    </row>
    <row r="1924" spans="1:15" x14ac:dyDescent="0.25">
      <c r="A1924" t="s">
        <v>1764</v>
      </c>
      <c r="B1924" t="s">
        <v>15</v>
      </c>
      <c r="C1924" t="s">
        <v>1619</v>
      </c>
      <c r="D1924" t="s">
        <v>17</v>
      </c>
      <c r="E1924" t="s">
        <v>18</v>
      </c>
      <c r="F1924" t="s">
        <v>19</v>
      </c>
      <c r="G1924" t="s">
        <v>20</v>
      </c>
      <c r="J1924" t="s">
        <v>17</v>
      </c>
      <c r="K1924" t="str">
        <f>"39120900"</f>
        <v>39120900</v>
      </c>
      <c r="L1924" t="str">
        <f>"39120900"</f>
        <v>39120900</v>
      </c>
      <c r="M1924" t="s">
        <v>21</v>
      </c>
      <c r="N1924" s="1">
        <v>44351.913888888892</v>
      </c>
      <c r="O1924" t="s">
        <v>19</v>
      </c>
    </row>
    <row r="1925" spans="1:15" x14ac:dyDescent="0.25">
      <c r="A1925" t="s">
        <v>1765</v>
      </c>
      <c r="B1925" t="s">
        <v>15</v>
      </c>
      <c r="C1925" t="s">
        <v>1619</v>
      </c>
      <c r="D1925" t="s">
        <v>17</v>
      </c>
      <c r="E1925" t="s">
        <v>18</v>
      </c>
      <c r="F1925" t="s">
        <v>19</v>
      </c>
      <c r="G1925" t="s">
        <v>20</v>
      </c>
      <c r="J1925" t="s">
        <v>17</v>
      </c>
      <c r="K1925" t="str">
        <f>"54121400"</f>
        <v>54121400</v>
      </c>
      <c r="L1925" t="str">
        <f>"54121400"</f>
        <v>54121400</v>
      </c>
      <c r="M1925" t="s">
        <v>21</v>
      </c>
      <c r="N1925" s="1">
        <v>43201.657638888886</v>
      </c>
      <c r="O1925" t="s">
        <v>19</v>
      </c>
    </row>
    <row r="1926" spans="1:15" x14ac:dyDescent="0.25">
      <c r="A1926" t="s">
        <v>1765</v>
      </c>
      <c r="B1926" t="s">
        <v>15</v>
      </c>
      <c r="C1926" t="s">
        <v>1619</v>
      </c>
      <c r="D1926" t="s">
        <v>17</v>
      </c>
      <c r="E1926" t="s">
        <v>18</v>
      </c>
      <c r="F1926" t="s">
        <v>19</v>
      </c>
      <c r="G1926" t="s">
        <v>20</v>
      </c>
      <c r="J1926" t="s">
        <v>17</v>
      </c>
      <c r="K1926" t="str">
        <f>"54121414"</f>
        <v>54121414</v>
      </c>
      <c r="L1926" t="str">
        <f>"54121414"</f>
        <v>54121414</v>
      </c>
      <c r="M1926" t="s">
        <v>21</v>
      </c>
      <c r="N1926" s="1">
        <v>43501.946527777778</v>
      </c>
      <c r="O1926" t="s">
        <v>19</v>
      </c>
    </row>
    <row r="1927" spans="1:15" x14ac:dyDescent="0.25">
      <c r="A1927" t="s">
        <v>1766</v>
      </c>
      <c r="B1927" t="s">
        <v>15</v>
      </c>
      <c r="C1927" t="s">
        <v>1619</v>
      </c>
      <c r="D1927" t="s">
        <v>17</v>
      </c>
      <c r="E1927" t="s">
        <v>18</v>
      </c>
      <c r="F1927" t="s">
        <v>19</v>
      </c>
      <c r="G1927" t="s">
        <v>20</v>
      </c>
      <c r="J1927" t="s">
        <v>17</v>
      </c>
      <c r="K1927" t="str">
        <f>"6968992886863"</f>
        <v>6968992886863</v>
      </c>
      <c r="L1927" t="str">
        <f>"41120033"</f>
        <v>41120033</v>
      </c>
      <c r="M1927" t="s">
        <v>21</v>
      </c>
      <c r="N1927" s="1">
        <v>43502.892361111109</v>
      </c>
      <c r="O1927" t="s">
        <v>19</v>
      </c>
    </row>
    <row r="1928" spans="1:15" x14ac:dyDescent="0.25">
      <c r="A1928" t="s">
        <v>1767</v>
      </c>
      <c r="B1928" t="s">
        <v>15</v>
      </c>
      <c r="C1928" t="s">
        <v>1619</v>
      </c>
      <c r="D1928" t="s">
        <v>17</v>
      </c>
      <c r="E1928" t="s">
        <v>18</v>
      </c>
      <c r="F1928" t="s">
        <v>19</v>
      </c>
      <c r="G1928" t="s">
        <v>20</v>
      </c>
      <c r="J1928" t="s">
        <v>17</v>
      </c>
      <c r="K1928" t="str">
        <f>"6925871660297"</f>
        <v>6925871660297</v>
      </c>
      <c r="L1928" t="str">
        <f>"22126029"</f>
        <v>22126029</v>
      </c>
      <c r="M1928" t="s">
        <v>21</v>
      </c>
      <c r="N1928" s="1">
        <v>44405.927083333336</v>
      </c>
      <c r="O1928" t="s">
        <v>19</v>
      </c>
    </row>
    <row r="1929" spans="1:15" x14ac:dyDescent="0.25">
      <c r="A1929" t="s">
        <v>1768</v>
      </c>
      <c r="B1929" t="s">
        <v>15</v>
      </c>
      <c r="C1929" t="s">
        <v>1619</v>
      </c>
      <c r="D1929" t="s">
        <v>17</v>
      </c>
      <c r="E1929" t="s">
        <v>18</v>
      </c>
      <c r="F1929" t="s">
        <v>19</v>
      </c>
      <c r="G1929" t="s">
        <v>20</v>
      </c>
      <c r="J1929" t="s">
        <v>17</v>
      </c>
      <c r="K1929" t="str">
        <f>"92120032"</f>
        <v>92120032</v>
      </c>
      <c r="L1929" t="str">
        <f>"92120032"</f>
        <v>92120032</v>
      </c>
      <c r="M1929" t="s">
        <v>21</v>
      </c>
      <c r="N1929" s="1">
        <v>43630.955555555556</v>
      </c>
      <c r="O1929" t="s">
        <v>19</v>
      </c>
    </row>
    <row r="1930" spans="1:15" x14ac:dyDescent="0.25">
      <c r="A1930" t="s">
        <v>1768</v>
      </c>
      <c r="B1930" t="s">
        <v>15</v>
      </c>
      <c r="C1930" t="s">
        <v>1619</v>
      </c>
      <c r="D1930" t="s">
        <v>17</v>
      </c>
      <c r="E1930" t="s">
        <v>18</v>
      </c>
      <c r="F1930" t="s">
        <v>19</v>
      </c>
      <c r="G1930" t="s">
        <v>20</v>
      </c>
      <c r="J1930" t="s">
        <v>17</v>
      </c>
      <c r="K1930" t="str">
        <f>"6901443256433"</f>
        <v>6901443256433</v>
      </c>
      <c r="L1930" t="str">
        <f>"41120501"</f>
        <v>41120501</v>
      </c>
      <c r="M1930" t="s">
        <v>21</v>
      </c>
      <c r="N1930" s="1">
        <v>43879.791666666664</v>
      </c>
      <c r="O1930" t="s">
        <v>19</v>
      </c>
    </row>
    <row r="1931" spans="1:15" x14ac:dyDescent="0.25">
      <c r="A1931" t="s">
        <v>1768</v>
      </c>
      <c r="B1931" t="s">
        <v>15</v>
      </c>
      <c r="C1931" t="s">
        <v>1619</v>
      </c>
      <c r="D1931" t="s">
        <v>17</v>
      </c>
      <c r="E1931" t="s">
        <v>18</v>
      </c>
      <c r="F1931" t="s">
        <v>19</v>
      </c>
      <c r="G1931" t="s">
        <v>20</v>
      </c>
      <c r="J1931" t="s">
        <v>17</v>
      </c>
      <c r="K1931" t="str">
        <f>"39120500"</f>
        <v>39120500</v>
      </c>
      <c r="L1931" t="str">
        <f>"39120500"</f>
        <v>39120500</v>
      </c>
      <c r="M1931" t="s">
        <v>21</v>
      </c>
      <c r="N1931" s="1">
        <v>44351.927777777775</v>
      </c>
      <c r="O1931" t="s">
        <v>19</v>
      </c>
    </row>
    <row r="1932" spans="1:15" x14ac:dyDescent="0.25">
      <c r="A1932" t="s">
        <v>1769</v>
      </c>
      <c r="B1932" t="s">
        <v>15</v>
      </c>
      <c r="C1932" t="s">
        <v>1619</v>
      </c>
      <c r="D1932" t="s">
        <v>17</v>
      </c>
      <c r="E1932" t="s">
        <v>18</v>
      </c>
      <c r="F1932" t="s">
        <v>19</v>
      </c>
      <c r="G1932" t="s">
        <v>20</v>
      </c>
      <c r="J1932" t="s">
        <v>17</v>
      </c>
      <c r="K1932" t="str">
        <f>"8806086511162"</f>
        <v>8806086511162</v>
      </c>
      <c r="L1932" t="str">
        <f>"39121401"</f>
        <v>39121401</v>
      </c>
      <c r="M1932" t="s">
        <v>21</v>
      </c>
      <c r="N1932" s="1">
        <v>43136.652083333334</v>
      </c>
      <c r="O1932" t="s">
        <v>19</v>
      </c>
    </row>
    <row r="1933" spans="1:15" x14ac:dyDescent="0.25">
      <c r="A1933" t="s">
        <v>1769</v>
      </c>
      <c r="B1933" t="s">
        <v>15</v>
      </c>
      <c r="C1933" t="s">
        <v>1619</v>
      </c>
      <c r="D1933" t="s">
        <v>17</v>
      </c>
      <c r="E1933" t="s">
        <v>18</v>
      </c>
      <c r="F1933" t="s">
        <v>19</v>
      </c>
      <c r="G1933" t="s">
        <v>20</v>
      </c>
      <c r="J1933" t="s">
        <v>17</v>
      </c>
      <c r="K1933" t="str">
        <f>"8806071564876"</f>
        <v>8806071564876</v>
      </c>
      <c r="L1933" t="str">
        <f>"40121402"</f>
        <v>40121402</v>
      </c>
      <c r="M1933" t="s">
        <v>21</v>
      </c>
      <c r="N1933" s="1">
        <v>43262.940972222219</v>
      </c>
      <c r="O1933" t="s">
        <v>19</v>
      </c>
    </row>
    <row r="1934" spans="1:15" x14ac:dyDescent="0.25">
      <c r="A1934" t="s">
        <v>1770</v>
      </c>
      <c r="B1934" t="s">
        <v>15</v>
      </c>
      <c r="C1934" t="s">
        <v>1619</v>
      </c>
      <c r="D1934" t="s">
        <v>17</v>
      </c>
      <c r="E1934" t="s">
        <v>18</v>
      </c>
      <c r="F1934" t="s">
        <v>19</v>
      </c>
      <c r="G1934" t="s">
        <v>20</v>
      </c>
      <c r="J1934" t="s">
        <v>17</v>
      </c>
      <c r="K1934" t="str">
        <f>"1000004796700"</f>
        <v>1000004796700</v>
      </c>
      <c r="L1934" t="str">
        <f>"76120006"</f>
        <v>76120006</v>
      </c>
      <c r="M1934" t="s">
        <v>84</v>
      </c>
      <c r="N1934" s="1">
        <v>43419.761111111111</v>
      </c>
      <c r="O1934" t="s">
        <v>19</v>
      </c>
    </row>
    <row r="1935" spans="1:15" x14ac:dyDescent="0.25">
      <c r="A1935" t="s">
        <v>1771</v>
      </c>
      <c r="B1935" t="s">
        <v>15</v>
      </c>
      <c r="C1935" t="s">
        <v>1619</v>
      </c>
      <c r="D1935" t="s">
        <v>17</v>
      </c>
      <c r="E1935" t="s">
        <v>18</v>
      </c>
      <c r="F1935" t="s">
        <v>19</v>
      </c>
      <c r="G1935" t="s">
        <v>20</v>
      </c>
      <c r="J1935" t="s">
        <v>17</v>
      </c>
      <c r="K1935" t="str">
        <f>"6905631250050"</f>
        <v>6905631250050</v>
      </c>
      <c r="L1935" t="str">
        <f>"401225005"</f>
        <v>401225005</v>
      </c>
      <c r="M1935" t="s">
        <v>21</v>
      </c>
      <c r="N1935" s="1">
        <v>42872.839583333334</v>
      </c>
      <c r="O1935" t="s">
        <v>19</v>
      </c>
    </row>
    <row r="1936" spans="1:15" x14ac:dyDescent="0.25">
      <c r="A1936" t="s">
        <v>1772</v>
      </c>
      <c r="B1936" t="s">
        <v>15</v>
      </c>
      <c r="C1936" t="s">
        <v>1619</v>
      </c>
      <c r="D1936" t="s">
        <v>17</v>
      </c>
      <c r="E1936" t="s">
        <v>18</v>
      </c>
      <c r="F1936" t="s">
        <v>19</v>
      </c>
      <c r="G1936" t="s">
        <v>20</v>
      </c>
      <c r="J1936" t="s">
        <v>17</v>
      </c>
      <c r="K1936" t="str">
        <f>"101201114"</f>
        <v>101201114</v>
      </c>
      <c r="L1936" t="str">
        <f>"101201114"</f>
        <v>101201114</v>
      </c>
      <c r="M1936" t="s">
        <v>75</v>
      </c>
      <c r="N1936" s="1">
        <v>42872.847222222219</v>
      </c>
      <c r="O1936" t="s">
        <v>19</v>
      </c>
    </row>
    <row r="1937" spans="1:15" x14ac:dyDescent="0.25">
      <c r="A1937" t="s">
        <v>1773</v>
      </c>
      <c r="B1937" t="s">
        <v>15</v>
      </c>
      <c r="C1937" t="s">
        <v>1619</v>
      </c>
      <c r="D1937" t="s">
        <v>17</v>
      </c>
      <c r="E1937" t="s">
        <v>18</v>
      </c>
      <c r="F1937" t="s">
        <v>19</v>
      </c>
      <c r="G1937" t="s">
        <v>20</v>
      </c>
      <c r="J1937" t="s">
        <v>17</v>
      </c>
      <c r="K1937" t="str">
        <f>"6905631106135"</f>
        <v>6905631106135</v>
      </c>
      <c r="L1937" t="str">
        <f>"40120021"</f>
        <v>40120021</v>
      </c>
      <c r="M1937" t="s">
        <v>21</v>
      </c>
      <c r="N1937" s="1">
        <v>42872.839583333334</v>
      </c>
      <c r="O1937" t="s">
        <v>19</v>
      </c>
    </row>
    <row r="1938" spans="1:15" x14ac:dyDescent="0.25">
      <c r="A1938" t="s">
        <v>1774</v>
      </c>
      <c r="B1938" t="s">
        <v>15</v>
      </c>
      <c r="C1938" t="s">
        <v>1619</v>
      </c>
      <c r="D1938" t="s">
        <v>17</v>
      </c>
      <c r="E1938" t="s">
        <v>18</v>
      </c>
      <c r="F1938" t="s">
        <v>19</v>
      </c>
      <c r="G1938" t="s">
        <v>20</v>
      </c>
      <c r="J1938" t="s">
        <v>17</v>
      </c>
      <c r="K1938" t="str">
        <f>"34001146"</f>
        <v>34001146</v>
      </c>
      <c r="L1938" t="str">
        <f>"34001146"</f>
        <v>34001146</v>
      </c>
      <c r="M1938" t="s">
        <v>75</v>
      </c>
      <c r="N1938" s="1">
        <v>42872.839583333334</v>
      </c>
      <c r="O1938" t="s">
        <v>19</v>
      </c>
    </row>
    <row r="1939" spans="1:15" x14ac:dyDescent="0.25">
      <c r="A1939" t="s">
        <v>1775</v>
      </c>
      <c r="B1939" t="s">
        <v>15</v>
      </c>
      <c r="C1939" t="s">
        <v>1619</v>
      </c>
      <c r="D1939" t="s">
        <v>17</v>
      </c>
      <c r="E1939" t="s">
        <v>18</v>
      </c>
      <c r="F1939" t="s">
        <v>19</v>
      </c>
      <c r="G1939" t="s">
        <v>20</v>
      </c>
      <c r="J1939" t="s">
        <v>17</v>
      </c>
      <c r="K1939" t="str">
        <f>"1000001075709"</f>
        <v>1000001075709</v>
      </c>
      <c r="L1939" t="str">
        <f>"76120009"</f>
        <v>76120009</v>
      </c>
      <c r="M1939" t="s">
        <v>75</v>
      </c>
      <c r="N1939" s="1">
        <v>43236.981944444444</v>
      </c>
      <c r="O1939" t="s">
        <v>19</v>
      </c>
    </row>
    <row r="1940" spans="1:15" x14ac:dyDescent="0.25">
      <c r="A1940" t="s">
        <v>1776</v>
      </c>
      <c r="B1940" t="s">
        <v>15</v>
      </c>
      <c r="C1940" t="s">
        <v>1619</v>
      </c>
      <c r="D1940" t="s">
        <v>17</v>
      </c>
      <c r="E1940" t="s">
        <v>18</v>
      </c>
      <c r="F1940" t="s">
        <v>19</v>
      </c>
      <c r="G1940" t="s">
        <v>20</v>
      </c>
      <c r="J1940" t="s">
        <v>17</v>
      </c>
      <c r="K1940" t="str">
        <f>"86120501"</f>
        <v>86120501</v>
      </c>
      <c r="L1940" t="str">
        <f>"86120501"</f>
        <v>86120501</v>
      </c>
      <c r="M1940" t="s">
        <v>75</v>
      </c>
      <c r="N1940" s="1">
        <v>43136.652083333334</v>
      </c>
      <c r="O1940" t="s">
        <v>19</v>
      </c>
    </row>
    <row r="1941" spans="1:15" x14ac:dyDescent="0.25">
      <c r="A1941" t="s">
        <v>1776</v>
      </c>
      <c r="B1941" t="s">
        <v>15</v>
      </c>
      <c r="C1941" t="s">
        <v>1619</v>
      </c>
      <c r="D1941" t="s">
        <v>17</v>
      </c>
      <c r="E1941" t="s">
        <v>18</v>
      </c>
      <c r="F1941" t="s">
        <v>19</v>
      </c>
      <c r="G1941" t="s">
        <v>20</v>
      </c>
      <c r="J1941" t="s">
        <v>17</v>
      </c>
      <c r="K1941" t="str">
        <f>"86120500"</f>
        <v>86120500</v>
      </c>
      <c r="L1941" t="str">
        <f>"86120500"</f>
        <v>86120500</v>
      </c>
      <c r="M1941" t="s">
        <v>84</v>
      </c>
      <c r="N1941" s="1">
        <v>43262.956944444442</v>
      </c>
      <c r="O1941" t="s">
        <v>19</v>
      </c>
    </row>
    <row r="1942" spans="1:15" x14ac:dyDescent="0.25">
      <c r="A1942" t="s">
        <v>1777</v>
      </c>
      <c r="B1942" t="s">
        <v>15</v>
      </c>
      <c r="C1942" t="s">
        <v>1619</v>
      </c>
      <c r="D1942" t="s">
        <v>17</v>
      </c>
      <c r="E1942" t="s">
        <v>18</v>
      </c>
      <c r="F1942" t="s">
        <v>19</v>
      </c>
      <c r="G1942" t="s">
        <v>20</v>
      </c>
      <c r="J1942" t="s">
        <v>17</v>
      </c>
      <c r="K1942" t="str">
        <f>"6901443267446"</f>
        <v>6901443267446</v>
      </c>
      <c r="L1942" t="str">
        <f>"92120084"</f>
        <v>92120084</v>
      </c>
      <c r="M1942" t="s">
        <v>21</v>
      </c>
      <c r="N1942" s="1">
        <v>43853.887499999997</v>
      </c>
      <c r="O1942" t="s">
        <v>19</v>
      </c>
    </row>
    <row r="1943" spans="1:15" x14ac:dyDescent="0.25">
      <c r="A1943" t="s">
        <v>1778</v>
      </c>
      <c r="B1943" t="s">
        <v>15</v>
      </c>
      <c r="C1943" t="s">
        <v>1619</v>
      </c>
      <c r="D1943" t="s">
        <v>17</v>
      </c>
      <c r="E1943" t="s">
        <v>18</v>
      </c>
      <c r="F1943" t="s">
        <v>19</v>
      </c>
      <c r="G1943" t="s">
        <v>20</v>
      </c>
      <c r="J1943" t="s">
        <v>17</v>
      </c>
      <c r="K1943" t="str">
        <f>"6901443080274"</f>
        <v>6901443080274</v>
      </c>
      <c r="L1943" t="str">
        <f>"79HUE0AP32"</f>
        <v>79HUE0AP32</v>
      </c>
      <c r="M1943" t="s">
        <v>21</v>
      </c>
      <c r="N1943" s="1">
        <v>44001.67083333333</v>
      </c>
      <c r="O1943" t="s">
        <v>19</v>
      </c>
    </row>
    <row r="1944" spans="1:15" x14ac:dyDescent="0.25">
      <c r="A1944" t="s">
        <v>1779</v>
      </c>
      <c r="B1944" t="s">
        <v>15</v>
      </c>
      <c r="C1944" t="s">
        <v>1619</v>
      </c>
      <c r="D1944" t="s">
        <v>17</v>
      </c>
      <c r="E1944" t="s">
        <v>18</v>
      </c>
      <c r="F1944" t="s">
        <v>19</v>
      </c>
      <c r="G1944" t="s">
        <v>20</v>
      </c>
      <c r="J1944" t="s">
        <v>17</v>
      </c>
      <c r="K1944" t="str">
        <f>"6901143156719"</f>
        <v>6901143156719</v>
      </c>
      <c r="L1944" t="str">
        <f>"39121414"</f>
        <v>39121414</v>
      </c>
      <c r="M1944" t="s">
        <v>21</v>
      </c>
      <c r="N1944" s="1">
        <v>43665.76458333333</v>
      </c>
      <c r="O1944" t="s">
        <v>19</v>
      </c>
    </row>
    <row r="1945" spans="1:15" x14ac:dyDescent="0.25">
      <c r="A1945" t="s">
        <v>1780</v>
      </c>
      <c r="B1945" t="s">
        <v>15</v>
      </c>
      <c r="C1945" t="s">
        <v>1619</v>
      </c>
      <c r="D1945" t="s">
        <v>17</v>
      </c>
      <c r="E1945" t="s">
        <v>18</v>
      </c>
      <c r="F1945" t="s">
        <v>19</v>
      </c>
      <c r="G1945" t="s">
        <v>20</v>
      </c>
      <c r="J1945" t="s">
        <v>18</v>
      </c>
      <c r="K1945" t="str">
        <f>"6925871602587"</f>
        <v>6925871602587</v>
      </c>
      <c r="L1945" t="str">
        <f>"22120258"</f>
        <v>22120258</v>
      </c>
      <c r="M1945" t="s">
        <v>21</v>
      </c>
      <c r="N1945" s="1">
        <v>44047.698611111111</v>
      </c>
      <c r="O1945" t="s">
        <v>19</v>
      </c>
    </row>
    <row r="1946" spans="1:15" x14ac:dyDescent="0.25">
      <c r="A1946" t="s">
        <v>1781</v>
      </c>
      <c r="B1946" t="s">
        <v>15</v>
      </c>
      <c r="C1946" t="s">
        <v>1619</v>
      </c>
      <c r="D1946" t="s">
        <v>17</v>
      </c>
      <c r="E1946" t="s">
        <v>18</v>
      </c>
      <c r="F1946" t="s">
        <v>19</v>
      </c>
      <c r="G1946" t="s">
        <v>20</v>
      </c>
      <c r="J1946" t="s">
        <v>17</v>
      </c>
      <c r="K1946" t="str">
        <f>"6925871602594"</f>
        <v>6925871602594</v>
      </c>
      <c r="L1946" t="str">
        <f>"22120259"</f>
        <v>22120259</v>
      </c>
      <c r="M1946" t="s">
        <v>21</v>
      </c>
      <c r="N1946" s="1">
        <v>43125.822916666664</v>
      </c>
      <c r="O1946" t="s">
        <v>19</v>
      </c>
    </row>
    <row r="1947" spans="1:15" x14ac:dyDescent="0.25">
      <c r="A1947" t="s">
        <v>1782</v>
      </c>
      <c r="B1947" t="s">
        <v>15</v>
      </c>
      <c r="C1947" t="s">
        <v>1619</v>
      </c>
      <c r="D1947" t="s">
        <v>17</v>
      </c>
      <c r="E1947" t="s">
        <v>18</v>
      </c>
      <c r="F1947" t="s">
        <v>19</v>
      </c>
      <c r="G1947" t="s">
        <v>20</v>
      </c>
      <c r="J1947" t="s">
        <v>17</v>
      </c>
      <c r="K1947" t="str">
        <f>"7858816084287"</f>
        <v>7858816084287</v>
      </c>
      <c r="L1947" t="str">
        <f>"87128428"</f>
        <v>87128428</v>
      </c>
      <c r="M1947" t="s">
        <v>21</v>
      </c>
      <c r="N1947" s="1">
        <v>44404.709027777775</v>
      </c>
      <c r="O1947" t="s">
        <v>19</v>
      </c>
    </row>
    <row r="1948" spans="1:15" x14ac:dyDescent="0.25">
      <c r="A1948" t="s">
        <v>1783</v>
      </c>
      <c r="B1948" t="s">
        <v>15</v>
      </c>
      <c r="C1948" t="s">
        <v>1619</v>
      </c>
      <c r="D1948" t="s">
        <v>17</v>
      </c>
      <c r="E1948" t="s">
        <v>18</v>
      </c>
      <c r="F1948" t="s">
        <v>19</v>
      </c>
      <c r="G1948" t="s">
        <v>20</v>
      </c>
      <c r="J1948" t="s">
        <v>17</v>
      </c>
      <c r="K1948" t="str">
        <f>"6901004411707"</f>
        <v>6901004411707</v>
      </c>
      <c r="L1948" t="str">
        <f>"1588953936672"</f>
        <v>1588953936672</v>
      </c>
      <c r="M1948" t="s">
        <v>21</v>
      </c>
      <c r="N1948" s="1">
        <v>43959.670138888891</v>
      </c>
      <c r="O1948" t="s">
        <v>19</v>
      </c>
    </row>
    <row r="1949" spans="1:15" x14ac:dyDescent="0.25">
      <c r="A1949" t="s">
        <v>1784</v>
      </c>
      <c r="B1949" t="s">
        <v>15</v>
      </c>
      <c r="C1949" t="s">
        <v>1619</v>
      </c>
      <c r="D1949" t="s">
        <v>17</v>
      </c>
      <c r="E1949" t="s">
        <v>18</v>
      </c>
      <c r="F1949" t="s">
        <v>19</v>
      </c>
      <c r="G1949" t="s">
        <v>20</v>
      </c>
      <c r="J1949" t="s">
        <v>17</v>
      </c>
      <c r="K1949" t="str">
        <f>"6901004411509"</f>
        <v>6901004411509</v>
      </c>
      <c r="L1949" t="str">
        <f>"1588953896086"</f>
        <v>1588953896086</v>
      </c>
      <c r="M1949" t="s">
        <v>21</v>
      </c>
      <c r="N1949" s="1">
        <v>43959.669444444444</v>
      </c>
      <c r="O1949" t="s">
        <v>19</v>
      </c>
    </row>
    <row r="1950" spans="1:15" x14ac:dyDescent="0.25">
      <c r="A1950" t="s">
        <v>1785</v>
      </c>
      <c r="B1950" t="s">
        <v>15</v>
      </c>
      <c r="C1950" t="s">
        <v>1619</v>
      </c>
      <c r="D1950" t="s">
        <v>17</v>
      </c>
      <c r="E1950" t="s">
        <v>18</v>
      </c>
      <c r="F1950" t="s">
        <v>19</v>
      </c>
      <c r="G1950" t="s">
        <v>20</v>
      </c>
      <c r="J1950" t="s">
        <v>17</v>
      </c>
      <c r="K1950" t="str">
        <f>"6901004410618"</f>
        <v>6901004410618</v>
      </c>
      <c r="L1950" t="str">
        <f>"1588953576809"</f>
        <v>1588953576809</v>
      </c>
      <c r="M1950" t="s">
        <v>21</v>
      </c>
      <c r="N1950" s="1">
        <v>43959.665972222225</v>
      </c>
      <c r="O1950" t="s">
        <v>19</v>
      </c>
    </row>
    <row r="1951" spans="1:15" x14ac:dyDescent="0.25">
      <c r="A1951" t="s">
        <v>1786</v>
      </c>
      <c r="B1951" t="s">
        <v>15</v>
      </c>
      <c r="C1951" t="s">
        <v>1619</v>
      </c>
      <c r="D1951" t="s">
        <v>17</v>
      </c>
      <c r="E1951" t="s">
        <v>18</v>
      </c>
      <c r="F1951" t="s">
        <v>19</v>
      </c>
      <c r="G1951" t="s">
        <v>20</v>
      </c>
      <c r="J1951" t="s">
        <v>17</v>
      </c>
      <c r="K1951" t="str">
        <f>"6901004411462"</f>
        <v>6901004411462</v>
      </c>
      <c r="L1951" t="str">
        <f>"1588953759348"</f>
        <v>1588953759348</v>
      </c>
      <c r="M1951" t="s">
        <v>21</v>
      </c>
      <c r="N1951" s="1">
        <v>43959.668055555558</v>
      </c>
      <c r="O1951" t="s">
        <v>19</v>
      </c>
    </row>
    <row r="1952" spans="1:15" x14ac:dyDescent="0.25">
      <c r="A1952" t="s">
        <v>1787</v>
      </c>
      <c r="B1952" t="s">
        <v>15</v>
      </c>
      <c r="C1952" t="s">
        <v>1619</v>
      </c>
      <c r="D1952" t="s">
        <v>17</v>
      </c>
      <c r="E1952" t="s">
        <v>18</v>
      </c>
      <c r="F1952" t="s">
        <v>19</v>
      </c>
      <c r="G1952" t="s">
        <v>20</v>
      </c>
      <c r="J1952" t="s">
        <v>17</v>
      </c>
      <c r="K1952" t="str">
        <f>"6901004410038"</f>
        <v>6901004410038</v>
      </c>
      <c r="L1952" t="str">
        <f>"1588953665891"</f>
        <v>1588953665891</v>
      </c>
      <c r="M1952" t="s">
        <v>21</v>
      </c>
      <c r="N1952" s="1">
        <v>43959.667361111111</v>
      </c>
      <c r="O1952" t="s">
        <v>19</v>
      </c>
    </row>
    <row r="1953" spans="1:15" x14ac:dyDescent="0.25">
      <c r="A1953" t="s">
        <v>1788</v>
      </c>
      <c r="B1953" t="s">
        <v>15</v>
      </c>
      <c r="C1953" t="s">
        <v>1619</v>
      </c>
      <c r="D1953" t="s">
        <v>17</v>
      </c>
      <c r="E1953" t="s">
        <v>18</v>
      </c>
      <c r="F1953" t="s">
        <v>19</v>
      </c>
      <c r="G1953" t="s">
        <v>20</v>
      </c>
      <c r="J1953" t="s">
        <v>17</v>
      </c>
      <c r="K1953" t="str">
        <f>"10001349"</f>
        <v>10001349</v>
      </c>
      <c r="L1953" t="str">
        <f>"10001349"</f>
        <v>10001349</v>
      </c>
      <c r="M1953" t="s">
        <v>75</v>
      </c>
      <c r="N1953" s="1">
        <v>42872.839583333334</v>
      </c>
      <c r="O1953" t="s">
        <v>19</v>
      </c>
    </row>
    <row r="1954" spans="1:15" x14ac:dyDescent="0.25">
      <c r="A1954" t="s">
        <v>1789</v>
      </c>
      <c r="B1954" t="s">
        <v>15</v>
      </c>
      <c r="C1954" t="s">
        <v>1619</v>
      </c>
      <c r="D1954" t="s">
        <v>17</v>
      </c>
      <c r="E1954" t="s">
        <v>18</v>
      </c>
      <c r="F1954" t="s">
        <v>19</v>
      </c>
      <c r="G1954" t="s">
        <v>20</v>
      </c>
      <c r="J1954" t="s">
        <v>17</v>
      </c>
      <c r="K1954" t="str">
        <f>"76020510"</f>
        <v>76020510</v>
      </c>
      <c r="L1954" t="str">
        <f>"76020510"</f>
        <v>76020510</v>
      </c>
      <c r="M1954" t="s">
        <v>75</v>
      </c>
      <c r="N1954" s="1">
        <v>42872.847222222219</v>
      </c>
      <c r="O1954" t="s">
        <v>19</v>
      </c>
    </row>
    <row r="1955" spans="1:15" x14ac:dyDescent="0.25">
      <c r="A1955" t="s">
        <v>1790</v>
      </c>
      <c r="B1955" t="s">
        <v>15</v>
      </c>
      <c r="C1955" t="s">
        <v>1619</v>
      </c>
      <c r="D1955" t="s">
        <v>17</v>
      </c>
      <c r="E1955" t="s">
        <v>18</v>
      </c>
      <c r="F1955" t="s">
        <v>19</v>
      </c>
      <c r="G1955" t="s">
        <v>20</v>
      </c>
      <c r="J1955" t="s">
        <v>17</v>
      </c>
      <c r="K1955" t="str">
        <f>"34120715"</f>
        <v>34120715</v>
      </c>
      <c r="L1955" t="str">
        <f>"34120715"</f>
        <v>34120715</v>
      </c>
      <c r="M1955" t="s">
        <v>21</v>
      </c>
      <c r="N1955" s="1">
        <v>43006.845833333333</v>
      </c>
      <c r="O1955" t="s">
        <v>19</v>
      </c>
    </row>
    <row r="1956" spans="1:15" x14ac:dyDescent="0.25">
      <c r="A1956" t="s">
        <v>1791</v>
      </c>
      <c r="B1956" t="s">
        <v>15</v>
      </c>
      <c r="C1956" t="s">
        <v>1619</v>
      </c>
      <c r="D1956" t="s">
        <v>17</v>
      </c>
      <c r="E1956" t="s">
        <v>18</v>
      </c>
      <c r="F1956" t="s">
        <v>19</v>
      </c>
      <c r="G1956" t="s">
        <v>20</v>
      </c>
      <c r="J1956" t="s">
        <v>17</v>
      </c>
      <c r="K1956" t="str">
        <f>"41120701"</f>
        <v>41120701</v>
      </c>
      <c r="L1956" t="str">
        <f>"41120701"</f>
        <v>41120701</v>
      </c>
      <c r="M1956" t="s">
        <v>84</v>
      </c>
      <c r="N1956" s="1">
        <v>43350.875</v>
      </c>
      <c r="O1956" t="s">
        <v>19</v>
      </c>
    </row>
    <row r="1957" spans="1:15" x14ac:dyDescent="0.25">
      <c r="A1957" t="s">
        <v>1792</v>
      </c>
      <c r="B1957" t="s">
        <v>15</v>
      </c>
      <c r="C1957" t="s">
        <v>1619</v>
      </c>
      <c r="D1957" t="s">
        <v>17</v>
      </c>
      <c r="E1957" t="s">
        <v>18</v>
      </c>
      <c r="F1957" t="s">
        <v>19</v>
      </c>
      <c r="G1957" t="s">
        <v>20</v>
      </c>
      <c r="J1957" t="s">
        <v>17</v>
      </c>
      <c r="K1957" t="str">
        <f>"885909627363"</f>
        <v>885909627363</v>
      </c>
      <c r="L1957" t="str">
        <f>"86120700"</f>
        <v>86120700</v>
      </c>
      <c r="M1957" t="s">
        <v>84</v>
      </c>
      <c r="N1957" s="1">
        <v>43367.699305555558</v>
      </c>
      <c r="O1957" t="s">
        <v>19</v>
      </c>
    </row>
    <row r="1958" spans="1:15" x14ac:dyDescent="0.25">
      <c r="A1958" t="s">
        <v>1793</v>
      </c>
      <c r="B1958" t="s">
        <v>15</v>
      </c>
      <c r="C1958" t="s">
        <v>1619</v>
      </c>
      <c r="D1958" t="s">
        <v>17</v>
      </c>
      <c r="E1958" t="s">
        <v>18</v>
      </c>
      <c r="F1958" t="s">
        <v>19</v>
      </c>
      <c r="G1958" t="s">
        <v>20</v>
      </c>
      <c r="J1958" t="s">
        <v>17</v>
      </c>
      <c r="K1958" t="str">
        <f>"6956116750978"</f>
        <v>6956116750978</v>
      </c>
      <c r="L1958" t="str">
        <f>"40120221"</f>
        <v>40120221</v>
      </c>
      <c r="M1958" t="s">
        <v>21</v>
      </c>
      <c r="N1958" s="1">
        <v>42872.849305555559</v>
      </c>
      <c r="O1958" t="s">
        <v>19</v>
      </c>
    </row>
    <row r="1959" spans="1:15" x14ac:dyDescent="0.25">
      <c r="A1959" t="s">
        <v>1794</v>
      </c>
      <c r="B1959" t="s">
        <v>15</v>
      </c>
      <c r="C1959" t="s">
        <v>1619</v>
      </c>
      <c r="D1959" t="s">
        <v>17</v>
      </c>
      <c r="E1959" t="s">
        <v>18</v>
      </c>
      <c r="F1959" t="s">
        <v>19</v>
      </c>
      <c r="G1959" t="s">
        <v>20</v>
      </c>
      <c r="J1959" t="s">
        <v>17</v>
      </c>
      <c r="K1959" t="str">
        <f>"6933138633045"</f>
        <v>6933138633045</v>
      </c>
      <c r="L1959" t="str">
        <f>"49120034"</f>
        <v>49120034</v>
      </c>
      <c r="M1959" t="s">
        <v>84</v>
      </c>
      <c r="N1959" s="1">
        <v>43396.907638888886</v>
      </c>
      <c r="O1959" t="s">
        <v>19</v>
      </c>
    </row>
    <row r="1960" spans="1:15" x14ac:dyDescent="0.25">
      <c r="A1960" t="s">
        <v>1795</v>
      </c>
      <c r="B1960" t="s">
        <v>15</v>
      </c>
      <c r="C1960" t="s">
        <v>1619</v>
      </c>
      <c r="D1960" t="s">
        <v>17</v>
      </c>
      <c r="E1960" t="s">
        <v>18</v>
      </c>
      <c r="F1960" t="s">
        <v>19</v>
      </c>
      <c r="G1960" t="s">
        <v>20</v>
      </c>
      <c r="J1960" t="s">
        <v>17</v>
      </c>
      <c r="K1960" t="str">
        <f>"49120700"</f>
        <v>49120700</v>
      </c>
      <c r="L1960" t="str">
        <f>"49120700"</f>
        <v>49120700</v>
      </c>
      <c r="M1960" t="s">
        <v>75</v>
      </c>
      <c r="N1960" s="1">
        <v>43236.713194444441</v>
      </c>
      <c r="O1960" t="s">
        <v>19</v>
      </c>
    </row>
    <row r="1961" spans="1:15" x14ac:dyDescent="0.25">
      <c r="A1961" t="s">
        <v>1796</v>
      </c>
      <c r="B1961" t="s">
        <v>15</v>
      </c>
      <c r="C1961" t="s">
        <v>1619</v>
      </c>
      <c r="D1961" t="s">
        <v>17</v>
      </c>
      <c r="E1961" t="s">
        <v>18</v>
      </c>
      <c r="F1961" t="s">
        <v>19</v>
      </c>
      <c r="G1961" t="s">
        <v>20</v>
      </c>
      <c r="J1961" t="s">
        <v>17</v>
      </c>
      <c r="K1961" t="str">
        <f>"49120001"</f>
        <v>49120001</v>
      </c>
      <c r="L1961" t="str">
        <f>"49120001"</f>
        <v>49120001</v>
      </c>
      <c r="M1961" t="s">
        <v>75</v>
      </c>
      <c r="N1961" s="1">
        <v>43236.711805555555</v>
      </c>
      <c r="O1961" t="s">
        <v>19</v>
      </c>
    </row>
    <row r="1962" spans="1:15" x14ac:dyDescent="0.25">
      <c r="A1962" t="s">
        <v>1797</v>
      </c>
      <c r="B1962" t="s">
        <v>15</v>
      </c>
      <c r="C1962" t="s">
        <v>1619</v>
      </c>
      <c r="D1962" t="s">
        <v>17</v>
      </c>
      <c r="E1962" t="s">
        <v>18</v>
      </c>
      <c r="F1962" t="s">
        <v>19</v>
      </c>
      <c r="G1962" t="s">
        <v>20</v>
      </c>
      <c r="J1962" t="s">
        <v>18</v>
      </c>
      <c r="K1962" t="str">
        <f>"6938981509226"</f>
        <v>6938981509226</v>
      </c>
      <c r="L1962" t="str">
        <f>"6938981509325"</f>
        <v>6938981509325</v>
      </c>
      <c r="M1962" t="s">
        <v>21</v>
      </c>
      <c r="N1962" s="1">
        <v>44047.7</v>
      </c>
      <c r="O1962" t="s">
        <v>19</v>
      </c>
    </row>
    <row r="1963" spans="1:15" x14ac:dyDescent="0.25">
      <c r="A1963" t="s">
        <v>1798</v>
      </c>
      <c r="B1963" t="s">
        <v>15</v>
      </c>
      <c r="C1963" t="s">
        <v>1619</v>
      </c>
      <c r="D1963" t="s">
        <v>17</v>
      </c>
      <c r="E1963" t="s">
        <v>18</v>
      </c>
      <c r="F1963" t="s">
        <v>19</v>
      </c>
      <c r="G1963" t="s">
        <v>20</v>
      </c>
      <c r="J1963" t="s">
        <v>17</v>
      </c>
      <c r="K1963" t="str">
        <f>"6995411110100"</f>
        <v>6995411110100</v>
      </c>
      <c r="L1963" t="str">
        <f>"76120001"</f>
        <v>76120001</v>
      </c>
      <c r="M1963" t="s">
        <v>21</v>
      </c>
      <c r="N1963" s="1">
        <v>43819.64166666667</v>
      </c>
      <c r="O1963" t="s">
        <v>19</v>
      </c>
    </row>
    <row r="1964" spans="1:15" x14ac:dyDescent="0.25">
      <c r="A1964" t="s">
        <v>1799</v>
      </c>
      <c r="B1964" t="s">
        <v>15</v>
      </c>
      <c r="C1964" t="s">
        <v>1619</v>
      </c>
      <c r="D1964" t="s">
        <v>17</v>
      </c>
      <c r="E1964" t="s">
        <v>18</v>
      </c>
      <c r="F1964" t="s">
        <v>19</v>
      </c>
      <c r="G1964" t="s">
        <v>20</v>
      </c>
      <c r="J1964" t="s">
        <v>17</v>
      </c>
      <c r="K1964" t="str">
        <f>"76126000"</f>
        <v>76126000</v>
      </c>
      <c r="L1964" t="str">
        <f>"76126000"</f>
        <v>76126000</v>
      </c>
      <c r="M1964" t="s">
        <v>21</v>
      </c>
      <c r="N1964" s="1">
        <v>43862.835416666669</v>
      </c>
      <c r="O1964" t="s">
        <v>19</v>
      </c>
    </row>
    <row r="1965" spans="1:15" x14ac:dyDescent="0.25">
      <c r="A1965" t="s">
        <v>1800</v>
      </c>
      <c r="B1965" t="s">
        <v>15</v>
      </c>
      <c r="C1965" t="s">
        <v>1619</v>
      </c>
      <c r="D1965" t="s">
        <v>17</v>
      </c>
      <c r="E1965" t="s">
        <v>18</v>
      </c>
      <c r="F1965" t="s">
        <v>19</v>
      </c>
      <c r="G1965" t="s">
        <v>20</v>
      </c>
      <c r="J1965" t="s">
        <v>17</v>
      </c>
      <c r="K1965" t="str">
        <f>"6967850656181"</f>
        <v>6967850656181</v>
      </c>
      <c r="L1965" t="str">
        <f>"86121010"</f>
        <v>86121010</v>
      </c>
      <c r="M1965" t="s">
        <v>21</v>
      </c>
      <c r="N1965" s="1">
        <v>43665.763194444444</v>
      </c>
      <c r="O1965" t="s">
        <v>19</v>
      </c>
    </row>
    <row r="1966" spans="1:15" x14ac:dyDescent="0.25">
      <c r="A1966" t="s">
        <v>1801</v>
      </c>
      <c r="B1966" t="s">
        <v>15</v>
      </c>
      <c r="C1966" t="s">
        <v>1619</v>
      </c>
      <c r="D1966" t="s">
        <v>17</v>
      </c>
      <c r="E1966" t="s">
        <v>18</v>
      </c>
      <c r="F1966" t="s">
        <v>19</v>
      </c>
      <c r="G1966" t="s">
        <v>20</v>
      </c>
      <c r="J1966" t="s">
        <v>17</v>
      </c>
      <c r="K1966" t="str">
        <f>"5626890043924"</f>
        <v>5626890043924</v>
      </c>
      <c r="L1966" t="str">
        <f>"28124392"</f>
        <v>28124392</v>
      </c>
      <c r="M1966" t="s">
        <v>84</v>
      </c>
      <c r="N1966" s="1">
        <v>43266.95416666667</v>
      </c>
      <c r="O1966" t="s">
        <v>19</v>
      </c>
    </row>
    <row r="1967" spans="1:15" x14ac:dyDescent="0.25">
      <c r="A1967" t="s">
        <v>1802</v>
      </c>
      <c r="B1967" t="s">
        <v>15</v>
      </c>
      <c r="C1967" t="s">
        <v>1619</v>
      </c>
      <c r="D1967" t="s">
        <v>17</v>
      </c>
      <c r="E1967" t="s">
        <v>18</v>
      </c>
      <c r="F1967" t="s">
        <v>19</v>
      </c>
      <c r="G1967" t="s">
        <v>20</v>
      </c>
      <c r="J1967" t="s">
        <v>17</v>
      </c>
      <c r="K1967" t="str">
        <f>"005141"</f>
        <v>005141</v>
      </c>
      <c r="L1967" t="str">
        <f>"33121400"</f>
        <v>33121400</v>
      </c>
      <c r="M1967" t="s">
        <v>75</v>
      </c>
      <c r="N1967" s="1">
        <v>43046.629166666666</v>
      </c>
      <c r="O1967" t="s">
        <v>19</v>
      </c>
    </row>
    <row r="1968" spans="1:15" x14ac:dyDescent="0.25">
      <c r="A1968" t="s">
        <v>1803</v>
      </c>
      <c r="B1968" t="s">
        <v>15</v>
      </c>
      <c r="C1968" t="s">
        <v>1619</v>
      </c>
      <c r="D1968" t="s">
        <v>17</v>
      </c>
      <c r="E1968" t="s">
        <v>18</v>
      </c>
      <c r="F1968" t="s">
        <v>19</v>
      </c>
      <c r="G1968" t="s">
        <v>20</v>
      </c>
      <c r="J1968" t="s">
        <v>17</v>
      </c>
      <c r="K1968" t="str">
        <f>"138055651547"</f>
        <v>138055651547</v>
      </c>
      <c r="L1968" t="str">
        <f>"10110065"</f>
        <v>10110065</v>
      </c>
      <c r="M1968" t="s">
        <v>75</v>
      </c>
      <c r="N1968" s="1">
        <v>42872.839583333334</v>
      </c>
      <c r="O1968" t="s">
        <v>19</v>
      </c>
    </row>
    <row r="1969" spans="1:15" x14ac:dyDescent="0.25">
      <c r="A1969" t="s">
        <v>1804</v>
      </c>
      <c r="B1969" t="s">
        <v>15</v>
      </c>
      <c r="C1969" t="s">
        <v>1619</v>
      </c>
      <c r="D1969" t="s">
        <v>17</v>
      </c>
      <c r="E1969" t="s">
        <v>18</v>
      </c>
      <c r="F1969" t="s">
        <v>19</v>
      </c>
      <c r="G1969" t="s">
        <v>20</v>
      </c>
      <c r="J1969" t="s">
        <v>17</v>
      </c>
      <c r="K1969" t="str">
        <f>"76120715"</f>
        <v>76120715</v>
      </c>
      <c r="L1969" t="str">
        <f>"76120715"</f>
        <v>76120715</v>
      </c>
      <c r="M1969" t="s">
        <v>75</v>
      </c>
      <c r="N1969" s="1">
        <v>42872.847222222219</v>
      </c>
      <c r="O1969" t="s">
        <v>19</v>
      </c>
    </row>
    <row r="1970" spans="1:15" x14ac:dyDescent="0.25">
      <c r="A1970" t="s">
        <v>1805</v>
      </c>
      <c r="B1970" t="s">
        <v>15</v>
      </c>
      <c r="C1970" t="s">
        <v>1619</v>
      </c>
      <c r="D1970" t="s">
        <v>17</v>
      </c>
      <c r="E1970" t="s">
        <v>18</v>
      </c>
      <c r="F1970" t="s">
        <v>19</v>
      </c>
      <c r="G1970" t="s">
        <v>20</v>
      </c>
      <c r="J1970" t="s">
        <v>17</v>
      </c>
      <c r="K1970" t="str">
        <f>"6970463502226"</f>
        <v>6970463502226</v>
      </c>
      <c r="L1970" t="str">
        <f>"86121420"</f>
        <v>86121420</v>
      </c>
      <c r="M1970" t="s">
        <v>21</v>
      </c>
      <c r="N1970" s="1">
        <v>43665.904861111114</v>
      </c>
      <c r="O1970" t="s">
        <v>19</v>
      </c>
    </row>
    <row r="1971" spans="1:15" x14ac:dyDescent="0.25">
      <c r="A1971" t="s">
        <v>1806</v>
      </c>
      <c r="B1971" t="s">
        <v>15</v>
      </c>
      <c r="C1971" t="s">
        <v>1619</v>
      </c>
      <c r="D1971" t="s">
        <v>17</v>
      </c>
      <c r="E1971" t="s">
        <v>18</v>
      </c>
      <c r="F1971" t="s">
        <v>19</v>
      </c>
      <c r="G1971" t="s">
        <v>20</v>
      </c>
      <c r="J1971" t="s">
        <v>17</v>
      </c>
      <c r="K1971" t="str">
        <f>"79121414"</f>
        <v>79121414</v>
      </c>
      <c r="L1971" t="str">
        <f>"79121414"</f>
        <v>79121414</v>
      </c>
      <c r="M1971" t="s">
        <v>21</v>
      </c>
      <c r="N1971" s="1">
        <v>43805.814583333333</v>
      </c>
      <c r="O1971" t="s">
        <v>19</v>
      </c>
    </row>
    <row r="1972" spans="1:15" x14ac:dyDescent="0.25">
      <c r="A1972" t="s">
        <v>1806</v>
      </c>
      <c r="B1972" t="s">
        <v>15</v>
      </c>
      <c r="C1972" t="s">
        <v>1619</v>
      </c>
      <c r="D1972" t="s">
        <v>17</v>
      </c>
      <c r="E1972" t="s">
        <v>18</v>
      </c>
      <c r="F1972" t="s">
        <v>19</v>
      </c>
      <c r="G1972" t="s">
        <v>20</v>
      </c>
      <c r="J1972" t="s">
        <v>17</v>
      </c>
      <c r="K1972" t="str">
        <f>"8806071740836"</f>
        <v>8806071740836</v>
      </c>
      <c r="L1972" t="str">
        <f>"79ORG95221"</f>
        <v>79ORG95221</v>
      </c>
      <c r="M1972" t="s">
        <v>21</v>
      </c>
      <c r="N1972" s="1">
        <v>43805.816666666666</v>
      </c>
      <c r="O1972" t="s">
        <v>19</v>
      </c>
    </row>
    <row r="1973" spans="1:15" x14ac:dyDescent="0.25">
      <c r="A1973" t="s">
        <v>1807</v>
      </c>
      <c r="B1973" t="s">
        <v>15</v>
      </c>
      <c r="C1973" t="s">
        <v>1619</v>
      </c>
      <c r="D1973" t="s">
        <v>17</v>
      </c>
      <c r="E1973" t="s">
        <v>18</v>
      </c>
      <c r="F1973" t="s">
        <v>19</v>
      </c>
      <c r="G1973" t="s">
        <v>20</v>
      </c>
      <c r="J1973" t="s">
        <v>17</v>
      </c>
      <c r="K1973" t="str">
        <f>"8801643278960"</f>
        <v>8801643278960</v>
      </c>
      <c r="L1973" t="str">
        <f>"63121401"</f>
        <v>63121401</v>
      </c>
      <c r="M1973" t="s">
        <v>21</v>
      </c>
      <c r="N1973" s="1">
        <v>43879.79583333333</v>
      </c>
      <c r="O1973" t="s">
        <v>19</v>
      </c>
    </row>
    <row r="1974" spans="1:15" x14ac:dyDescent="0.25">
      <c r="A1974" t="s">
        <v>1808</v>
      </c>
      <c r="B1974" t="s">
        <v>15</v>
      </c>
      <c r="C1974" t="s">
        <v>1619</v>
      </c>
      <c r="D1974" t="s">
        <v>17</v>
      </c>
      <c r="E1974" t="s">
        <v>18</v>
      </c>
      <c r="F1974" t="s">
        <v>19</v>
      </c>
      <c r="G1974" t="s">
        <v>20</v>
      </c>
      <c r="J1974" t="s">
        <v>17</v>
      </c>
      <c r="K1974" t="str">
        <f>"87121265"</f>
        <v>87121265</v>
      </c>
      <c r="L1974" t="str">
        <f>"87121265"</f>
        <v>87121265</v>
      </c>
      <c r="M1974" t="s">
        <v>84</v>
      </c>
      <c r="N1974" s="1">
        <v>43336.624305555553</v>
      </c>
      <c r="O1974" t="s">
        <v>19</v>
      </c>
    </row>
    <row r="1975" spans="1:15" x14ac:dyDescent="0.25">
      <c r="A1975" t="s">
        <v>1809</v>
      </c>
      <c r="B1975" t="s">
        <v>15</v>
      </c>
      <c r="C1975" t="s">
        <v>1619</v>
      </c>
      <c r="D1975" t="s">
        <v>17</v>
      </c>
      <c r="E1975" t="s">
        <v>18</v>
      </c>
      <c r="F1975" t="s">
        <v>19</v>
      </c>
      <c r="G1975" t="s">
        <v>20</v>
      </c>
      <c r="J1975" t="s">
        <v>17</v>
      </c>
      <c r="K1975" t="str">
        <f>"92120502"</f>
        <v>92120502</v>
      </c>
      <c r="L1975" t="str">
        <f>"92120502"</f>
        <v>92120502</v>
      </c>
      <c r="M1975" t="s">
        <v>21</v>
      </c>
      <c r="N1975" s="1">
        <v>43630.952777777777</v>
      </c>
      <c r="O1975" t="s">
        <v>19</v>
      </c>
    </row>
    <row r="1976" spans="1:15" x14ac:dyDescent="0.25">
      <c r="A1976" t="s">
        <v>1809</v>
      </c>
      <c r="B1976" t="s">
        <v>15</v>
      </c>
      <c r="C1976" t="s">
        <v>1619</v>
      </c>
      <c r="D1976" t="s">
        <v>17</v>
      </c>
      <c r="E1976" t="s">
        <v>18</v>
      </c>
      <c r="F1976" t="s">
        <v>19</v>
      </c>
      <c r="G1976" t="s">
        <v>20</v>
      </c>
      <c r="J1976" t="s">
        <v>17</v>
      </c>
      <c r="K1976" t="str">
        <f>"6901443267439"</f>
        <v>6901443267439</v>
      </c>
      <c r="L1976" t="str">
        <f>"63120500"</f>
        <v>63120500</v>
      </c>
      <c r="M1976" t="s">
        <v>21</v>
      </c>
      <c r="N1976" s="1">
        <v>43879.790277777778</v>
      </c>
      <c r="O1976" t="s">
        <v>19</v>
      </c>
    </row>
    <row r="1977" spans="1:15" x14ac:dyDescent="0.25">
      <c r="A1977" t="s">
        <v>1810</v>
      </c>
      <c r="B1977" t="s">
        <v>15</v>
      </c>
      <c r="C1977" t="s">
        <v>1619</v>
      </c>
      <c r="D1977" t="s">
        <v>17</v>
      </c>
      <c r="E1977" t="s">
        <v>18</v>
      </c>
      <c r="F1977" t="s">
        <v>19</v>
      </c>
      <c r="G1977" t="s">
        <v>20</v>
      </c>
      <c r="J1977" t="s">
        <v>17</v>
      </c>
      <c r="K1977" t="str">
        <f>"6901443156689"</f>
        <v>6901443156689</v>
      </c>
      <c r="L1977" t="str">
        <f>"41121414"</f>
        <v>41121414</v>
      </c>
      <c r="M1977" t="s">
        <v>21</v>
      </c>
      <c r="N1977" s="1">
        <v>43665.745833333334</v>
      </c>
      <c r="O1977" t="s">
        <v>19</v>
      </c>
    </row>
    <row r="1978" spans="1:15" x14ac:dyDescent="0.25">
      <c r="A1978" t="s">
        <v>1811</v>
      </c>
      <c r="B1978" t="s">
        <v>15</v>
      </c>
      <c r="C1978" t="s">
        <v>1619</v>
      </c>
      <c r="D1978" t="s">
        <v>17</v>
      </c>
      <c r="E1978" t="s">
        <v>18</v>
      </c>
      <c r="F1978" t="s">
        <v>19</v>
      </c>
      <c r="G1978" t="s">
        <v>20</v>
      </c>
      <c r="J1978" t="s">
        <v>18</v>
      </c>
      <c r="K1978" t="str">
        <f>"6971083496254"</f>
        <v>6971083496254</v>
      </c>
      <c r="L1978" t="str">
        <f>"41126254"</f>
        <v>41126254</v>
      </c>
      <c r="M1978" t="s">
        <v>21</v>
      </c>
      <c r="N1978" s="1">
        <v>44351.807638888888</v>
      </c>
      <c r="O1978" t="s">
        <v>19</v>
      </c>
    </row>
    <row r="1979" spans="1:15" x14ac:dyDescent="0.25">
      <c r="A1979" t="s">
        <v>1812</v>
      </c>
      <c r="B1979" t="s">
        <v>15</v>
      </c>
      <c r="C1979" t="s">
        <v>1619</v>
      </c>
      <c r="D1979" t="s">
        <v>17</v>
      </c>
      <c r="E1979" t="s">
        <v>18</v>
      </c>
      <c r="F1979" t="s">
        <v>19</v>
      </c>
      <c r="G1979" t="s">
        <v>20</v>
      </c>
      <c r="J1979" t="s">
        <v>17</v>
      </c>
      <c r="K1979" t="str">
        <f>"10011460"</f>
        <v>10011460</v>
      </c>
      <c r="L1979" t="str">
        <f>"10011460"</f>
        <v>10011460</v>
      </c>
      <c r="M1979" t="s">
        <v>21</v>
      </c>
      <c r="N1979" s="1">
        <v>43610.961111111108</v>
      </c>
      <c r="O1979" t="s">
        <v>19</v>
      </c>
    </row>
    <row r="1980" spans="1:15" x14ac:dyDescent="0.25">
      <c r="A1980" t="s">
        <v>1813</v>
      </c>
      <c r="B1980" t="s">
        <v>15</v>
      </c>
      <c r="C1980" t="s">
        <v>1619</v>
      </c>
      <c r="D1980" t="s">
        <v>17</v>
      </c>
      <c r="E1980" t="s">
        <v>18</v>
      </c>
      <c r="F1980" t="s">
        <v>19</v>
      </c>
      <c r="G1980" t="s">
        <v>20</v>
      </c>
      <c r="J1980" t="s">
        <v>17</v>
      </c>
      <c r="K1980" t="str">
        <f>"7820099880801"</f>
        <v>7820099880801</v>
      </c>
      <c r="L1980" t="str">
        <f>"54120900"</f>
        <v>54120900</v>
      </c>
      <c r="M1980" t="s">
        <v>21</v>
      </c>
      <c r="N1980" s="1">
        <v>44210.74722222222</v>
      </c>
      <c r="O1980" t="s">
        <v>19</v>
      </c>
    </row>
    <row r="1981" spans="1:15" x14ac:dyDescent="0.25">
      <c r="A1981" t="s">
        <v>1814</v>
      </c>
      <c r="B1981" t="s">
        <v>15</v>
      </c>
      <c r="C1981" t="s">
        <v>1619</v>
      </c>
      <c r="D1981" t="s">
        <v>17</v>
      </c>
      <c r="E1981" t="s">
        <v>18</v>
      </c>
      <c r="F1981" t="s">
        <v>19</v>
      </c>
      <c r="G1981" t="s">
        <v>20</v>
      </c>
      <c r="J1981" t="s">
        <v>17</v>
      </c>
      <c r="K1981" t="str">
        <f>"7237558977413"</f>
        <v>7237558977413</v>
      </c>
      <c r="L1981" t="str">
        <f>"7237558977796"</f>
        <v>7237558977796</v>
      </c>
      <c r="M1981" t="s">
        <v>21</v>
      </c>
      <c r="N1981" s="1">
        <v>44210.762499999997</v>
      </c>
      <c r="O1981" t="s">
        <v>19</v>
      </c>
    </row>
    <row r="1982" spans="1:15" x14ac:dyDescent="0.25">
      <c r="A1982" t="s">
        <v>1815</v>
      </c>
      <c r="B1982" t="s">
        <v>15</v>
      </c>
      <c r="C1982" t="s">
        <v>1619</v>
      </c>
      <c r="D1982" t="s">
        <v>17</v>
      </c>
      <c r="E1982" t="s">
        <v>18</v>
      </c>
      <c r="F1982" t="s">
        <v>19</v>
      </c>
      <c r="G1982" t="s">
        <v>20</v>
      </c>
      <c r="J1982" t="s">
        <v>17</v>
      </c>
      <c r="K1982" t="str">
        <f>"7811158501799"</f>
        <v>7811158501799</v>
      </c>
      <c r="L1982" t="str">
        <f>"54121000"</f>
        <v>54121000</v>
      </c>
      <c r="M1982" t="s">
        <v>21</v>
      </c>
      <c r="N1982" s="1">
        <v>44210.745138888888</v>
      </c>
      <c r="O1982" t="s">
        <v>19</v>
      </c>
    </row>
    <row r="1983" spans="1:15" x14ac:dyDescent="0.25">
      <c r="A1983" t="s">
        <v>1816</v>
      </c>
      <c r="B1983" t="s">
        <v>15</v>
      </c>
      <c r="C1983" t="s">
        <v>1619</v>
      </c>
      <c r="D1983" t="s">
        <v>17</v>
      </c>
      <c r="E1983" t="s">
        <v>18</v>
      </c>
      <c r="F1983" t="s">
        <v>19</v>
      </c>
      <c r="G1983" t="s">
        <v>20</v>
      </c>
      <c r="J1983" t="s">
        <v>17</v>
      </c>
      <c r="K1983" t="str">
        <f>"745883636518"</f>
        <v>745883636518</v>
      </c>
      <c r="L1983" t="str">
        <f>"42121000"</f>
        <v>42121000</v>
      </c>
      <c r="M1983" t="s">
        <v>21</v>
      </c>
      <c r="N1983" s="1">
        <v>43131.82708333333</v>
      </c>
      <c r="O1983" t="s">
        <v>19</v>
      </c>
    </row>
    <row r="1984" spans="1:15" x14ac:dyDescent="0.25">
      <c r="A1984" t="s">
        <v>1817</v>
      </c>
      <c r="B1984" t="s">
        <v>15</v>
      </c>
      <c r="C1984" t="s">
        <v>1619</v>
      </c>
      <c r="D1984" t="s">
        <v>17</v>
      </c>
      <c r="E1984" t="s">
        <v>18</v>
      </c>
      <c r="F1984" t="s">
        <v>19</v>
      </c>
      <c r="G1984" t="s">
        <v>20</v>
      </c>
      <c r="J1984" t="s">
        <v>17</v>
      </c>
      <c r="K1984" t="str">
        <f>"3303201709732"</f>
        <v>3303201709732</v>
      </c>
      <c r="L1984" t="str">
        <f>"41120001"</f>
        <v>41120001</v>
      </c>
      <c r="M1984" t="s">
        <v>84</v>
      </c>
      <c r="N1984" s="1">
        <v>43502.606944444444</v>
      </c>
      <c r="O1984" t="s">
        <v>19</v>
      </c>
    </row>
    <row r="1985" spans="1:15" x14ac:dyDescent="0.25">
      <c r="A1985" t="s">
        <v>1817</v>
      </c>
      <c r="B1985" t="s">
        <v>15</v>
      </c>
      <c r="C1985" t="s">
        <v>1619</v>
      </c>
      <c r="D1985" t="s">
        <v>17</v>
      </c>
      <c r="E1985" t="s">
        <v>18</v>
      </c>
      <c r="F1985" t="s">
        <v>19</v>
      </c>
      <c r="G1985" t="s">
        <v>20</v>
      </c>
      <c r="J1985" t="s">
        <v>17</v>
      </c>
      <c r="K1985" t="str">
        <f>"6686996215136"</f>
        <v>6686996215136</v>
      </c>
      <c r="L1985" t="str">
        <f>"41120002"</f>
        <v>41120002</v>
      </c>
      <c r="M1985" t="s">
        <v>84</v>
      </c>
      <c r="N1985" s="1">
        <v>43502.607638888891</v>
      </c>
      <c r="O1985" t="s">
        <v>19</v>
      </c>
    </row>
    <row r="1986" spans="1:15" x14ac:dyDescent="0.25">
      <c r="A1986" t="s">
        <v>1818</v>
      </c>
      <c r="B1986" t="s">
        <v>15</v>
      </c>
      <c r="C1986" t="s">
        <v>1619</v>
      </c>
      <c r="D1986" t="s">
        <v>17</v>
      </c>
      <c r="E1986" t="s">
        <v>18</v>
      </c>
      <c r="F1986" t="s">
        <v>19</v>
      </c>
      <c r="G1986" t="s">
        <v>20</v>
      </c>
      <c r="J1986" t="s">
        <v>17</v>
      </c>
      <c r="K1986" t="str">
        <f>"6686996419862"</f>
        <v>6686996419862</v>
      </c>
      <c r="L1986" t="str">
        <f>"54121986"</f>
        <v>54121986</v>
      </c>
      <c r="M1986" t="s">
        <v>21</v>
      </c>
      <c r="N1986" s="1">
        <v>44247.829861111109</v>
      </c>
      <c r="O1986" t="s">
        <v>19</v>
      </c>
    </row>
    <row r="1987" spans="1:15" x14ac:dyDescent="0.25">
      <c r="A1987" t="s">
        <v>1819</v>
      </c>
      <c r="B1987" t="s">
        <v>15</v>
      </c>
      <c r="C1987" t="s">
        <v>1619</v>
      </c>
      <c r="D1987" t="s">
        <v>17</v>
      </c>
      <c r="E1987" t="s">
        <v>18</v>
      </c>
      <c r="F1987" t="s">
        <v>19</v>
      </c>
      <c r="G1987" t="s">
        <v>20</v>
      </c>
      <c r="J1987" t="s">
        <v>17</v>
      </c>
      <c r="K1987" t="str">
        <f>"6959633349946"</f>
        <v>6959633349946</v>
      </c>
      <c r="L1987" t="str">
        <f>"79129946"</f>
        <v>79129946</v>
      </c>
      <c r="M1987" t="s">
        <v>21</v>
      </c>
      <c r="N1987" s="1">
        <v>43131.675000000003</v>
      </c>
      <c r="O1987" t="s">
        <v>19</v>
      </c>
    </row>
    <row r="1988" spans="1:15" x14ac:dyDescent="0.25">
      <c r="A1988" t="s">
        <v>1820</v>
      </c>
      <c r="B1988" t="s">
        <v>15</v>
      </c>
      <c r="C1988" t="s">
        <v>1619</v>
      </c>
      <c r="D1988" t="s">
        <v>17</v>
      </c>
      <c r="E1988" t="s">
        <v>18</v>
      </c>
      <c r="F1988" t="s">
        <v>19</v>
      </c>
      <c r="G1988" t="s">
        <v>20</v>
      </c>
      <c r="J1988" t="s">
        <v>17</v>
      </c>
      <c r="K1988" t="str">
        <f>"190198886699"</f>
        <v>190198886699</v>
      </c>
      <c r="L1988" t="str">
        <f>"39120700"</f>
        <v>39120700</v>
      </c>
      <c r="M1988" t="s">
        <v>21</v>
      </c>
      <c r="N1988" s="1">
        <v>44351.874305555553</v>
      </c>
      <c r="O1988" t="s">
        <v>19</v>
      </c>
    </row>
    <row r="1989" spans="1:15" x14ac:dyDescent="0.25">
      <c r="A1989" t="s">
        <v>1821</v>
      </c>
      <c r="B1989" t="s">
        <v>15</v>
      </c>
      <c r="C1989" t="s">
        <v>1619</v>
      </c>
      <c r="D1989" t="s">
        <v>17</v>
      </c>
      <c r="E1989" t="s">
        <v>18</v>
      </c>
      <c r="F1989" t="s">
        <v>19</v>
      </c>
      <c r="G1989" t="s">
        <v>20</v>
      </c>
      <c r="J1989" t="s">
        <v>17</v>
      </c>
      <c r="K1989" t="str">
        <f>"86650715"</f>
        <v>86650715</v>
      </c>
      <c r="L1989" t="str">
        <f>"86650715"</f>
        <v>86650715</v>
      </c>
      <c r="M1989" t="s">
        <v>75</v>
      </c>
      <c r="N1989" s="1">
        <v>42872.847222222219</v>
      </c>
      <c r="O1989" t="s">
        <v>19</v>
      </c>
    </row>
    <row r="1990" spans="1:15" x14ac:dyDescent="0.25">
      <c r="A1990" t="s">
        <v>1822</v>
      </c>
      <c r="B1990" t="s">
        <v>15</v>
      </c>
      <c r="C1990" t="s">
        <v>1619</v>
      </c>
      <c r="D1990" t="s">
        <v>17</v>
      </c>
      <c r="E1990" t="s">
        <v>18</v>
      </c>
      <c r="F1990" t="s">
        <v>19</v>
      </c>
      <c r="G1990" t="s">
        <v>20</v>
      </c>
      <c r="J1990" t="s">
        <v>17</v>
      </c>
      <c r="K1990" t="str">
        <f>"7298229021651"</f>
        <v>7298229021651</v>
      </c>
      <c r="L1990" t="str">
        <f>"29TNBMC165"</f>
        <v>29TNBMC165</v>
      </c>
      <c r="M1990" t="s">
        <v>21</v>
      </c>
      <c r="N1990" s="1">
        <v>43805.731944444444</v>
      </c>
      <c r="O1990" t="s">
        <v>19</v>
      </c>
    </row>
    <row r="1991" spans="1:15" x14ac:dyDescent="0.25">
      <c r="A1991" t="s">
        <v>1823</v>
      </c>
      <c r="B1991" t="s">
        <v>15</v>
      </c>
      <c r="C1991" t="s">
        <v>1619</v>
      </c>
      <c r="D1991" t="s">
        <v>17</v>
      </c>
      <c r="E1991" t="s">
        <v>18</v>
      </c>
      <c r="F1991" t="s">
        <v>19</v>
      </c>
      <c r="G1991" t="s">
        <v>20</v>
      </c>
      <c r="J1991" t="s">
        <v>17</v>
      </c>
      <c r="K1991" t="str">
        <f>"6925871660235"</f>
        <v>6925871660235</v>
      </c>
      <c r="L1991" t="str">
        <f>"98126023"</f>
        <v>98126023</v>
      </c>
      <c r="M1991" t="s">
        <v>21</v>
      </c>
      <c r="N1991" s="1">
        <v>42872.849305555559</v>
      </c>
      <c r="O1991" t="s">
        <v>19</v>
      </c>
    </row>
    <row r="1992" spans="1:15" x14ac:dyDescent="0.25">
      <c r="A1992" t="s">
        <v>1824</v>
      </c>
      <c r="B1992" t="s">
        <v>15</v>
      </c>
      <c r="C1992" t="s">
        <v>37</v>
      </c>
      <c r="D1992" t="s">
        <v>17</v>
      </c>
      <c r="E1992" t="s">
        <v>18</v>
      </c>
      <c r="F1992" t="s">
        <v>19</v>
      </c>
      <c r="G1992" t="s">
        <v>20</v>
      </c>
      <c r="J1992" t="s">
        <v>17</v>
      </c>
      <c r="K1992" t="str">
        <f>"7858816047763"</f>
        <v>7858816047763</v>
      </c>
      <c r="L1992" t="str">
        <f>"87124776"</f>
        <v>87124776</v>
      </c>
      <c r="M1992" t="s">
        <v>21</v>
      </c>
      <c r="N1992" s="1">
        <v>43889.863888888889</v>
      </c>
      <c r="O1992" t="s">
        <v>19</v>
      </c>
    </row>
    <row r="1993" spans="1:15" x14ac:dyDescent="0.25">
      <c r="A1993" t="s">
        <v>1825</v>
      </c>
      <c r="B1993" t="s">
        <v>15</v>
      </c>
      <c r="C1993" t="s">
        <v>1619</v>
      </c>
      <c r="D1993" t="s">
        <v>17</v>
      </c>
      <c r="E1993" t="s">
        <v>18</v>
      </c>
      <c r="F1993" t="s">
        <v>19</v>
      </c>
      <c r="G1993" t="s">
        <v>20</v>
      </c>
      <c r="J1993" t="s">
        <v>17</v>
      </c>
      <c r="K1993" t="str">
        <f>"6950355170450"</f>
        <v>6950355170450</v>
      </c>
      <c r="L1993" t="str">
        <f>"10002377"</f>
        <v>10002377</v>
      </c>
      <c r="M1993" t="s">
        <v>84</v>
      </c>
      <c r="N1993" s="1">
        <v>43470.772916666669</v>
      </c>
      <c r="O1993" t="s">
        <v>19</v>
      </c>
    </row>
    <row r="1994" spans="1:15" x14ac:dyDescent="0.25">
      <c r="A1994" t="s">
        <v>1826</v>
      </c>
      <c r="B1994" t="s">
        <v>15</v>
      </c>
      <c r="C1994" t="s">
        <v>37</v>
      </c>
      <c r="D1994" t="s">
        <v>17</v>
      </c>
      <c r="E1994" t="s">
        <v>18</v>
      </c>
      <c r="F1994" t="s">
        <v>19</v>
      </c>
      <c r="G1994" t="s">
        <v>20</v>
      </c>
      <c r="J1994" t="s">
        <v>17</v>
      </c>
      <c r="K1994" t="str">
        <f>"6937170420083"</f>
        <v>6937170420083</v>
      </c>
      <c r="L1994" t="str">
        <f>"10002491"</f>
        <v>10002491</v>
      </c>
      <c r="M1994" t="s">
        <v>21</v>
      </c>
      <c r="N1994" s="1">
        <v>43753.650694444441</v>
      </c>
      <c r="O1994" t="s">
        <v>19</v>
      </c>
    </row>
    <row r="1995" spans="1:15" x14ac:dyDescent="0.25">
      <c r="A1995" t="s">
        <v>1827</v>
      </c>
      <c r="B1995" t="s">
        <v>15</v>
      </c>
      <c r="C1995" t="s">
        <v>932</v>
      </c>
      <c r="D1995" t="s">
        <v>17</v>
      </c>
      <c r="E1995" t="s">
        <v>18</v>
      </c>
      <c r="F1995" t="s">
        <v>19</v>
      </c>
      <c r="G1995" t="s">
        <v>20</v>
      </c>
      <c r="J1995" t="s">
        <v>17</v>
      </c>
      <c r="K1995" t="str">
        <f>"6931803160513"</f>
        <v>6931803160513</v>
      </c>
      <c r="L1995" t="str">
        <f>"42ULX9580J"</f>
        <v>42ULX9580J</v>
      </c>
      <c r="M1995" t="s">
        <v>21</v>
      </c>
      <c r="N1995" s="1">
        <v>43994.851388888892</v>
      </c>
      <c r="O1995" t="s">
        <v>19</v>
      </c>
    </row>
    <row r="1996" spans="1:15" x14ac:dyDescent="0.25">
      <c r="A1996" t="s">
        <v>1828</v>
      </c>
      <c r="B1996" t="s">
        <v>15</v>
      </c>
      <c r="C1996" t="s">
        <v>932</v>
      </c>
      <c r="D1996" t="s">
        <v>17</v>
      </c>
      <c r="E1996" t="s">
        <v>18</v>
      </c>
      <c r="F1996" t="s">
        <v>19</v>
      </c>
      <c r="G1996" t="s">
        <v>20</v>
      </c>
      <c r="J1996" t="s">
        <v>17</v>
      </c>
      <c r="K1996" t="str">
        <f>"6931803160483"</f>
        <v>6931803160483</v>
      </c>
      <c r="L1996" t="str">
        <f>"98129580"</f>
        <v>98129580</v>
      </c>
      <c r="M1996" t="s">
        <v>21</v>
      </c>
      <c r="N1996" s="1">
        <v>43853.907638888886</v>
      </c>
      <c r="O1996" t="s">
        <v>19</v>
      </c>
    </row>
    <row r="1997" spans="1:15" x14ac:dyDescent="0.25">
      <c r="A1997" t="s">
        <v>1829</v>
      </c>
      <c r="B1997" t="s">
        <v>15</v>
      </c>
      <c r="C1997" t="s">
        <v>1619</v>
      </c>
      <c r="D1997" t="s">
        <v>17</v>
      </c>
      <c r="E1997" t="s">
        <v>18</v>
      </c>
      <c r="F1997" t="s">
        <v>19</v>
      </c>
      <c r="G1997" t="s">
        <v>20</v>
      </c>
      <c r="J1997" t="s">
        <v>17</v>
      </c>
      <c r="K1997" t="str">
        <f>"7168292306712"</f>
        <v>7168292306712</v>
      </c>
      <c r="L1997" t="str">
        <f>"98929700"</f>
        <v>98929700</v>
      </c>
      <c r="M1997" t="s">
        <v>21</v>
      </c>
      <c r="N1997" s="1">
        <v>43853.90902777778</v>
      </c>
      <c r="O1997" t="s">
        <v>19</v>
      </c>
    </row>
    <row r="1998" spans="1:15" x14ac:dyDescent="0.25">
      <c r="A1998" t="s">
        <v>1830</v>
      </c>
      <c r="B1998" t="s">
        <v>15</v>
      </c>
      <c r="C1998" t="s">
        <v>932</v>
      </c>
      <c r="D1998" t="s">
        <v>17</v>
      </c>
      <c r="E1998" t="s">
        <v>18</v>
      </c>
      <c r="F1998" t="s">
        <v>19</v>
      </c>
      <c r="G1998" t="s">
        <v>20</v>
      </c>
      <c r="J1998" t="s">
        <v>17</v>
      </c>
      <c r="K1998" t="str">
        <f>"7168242985431"</f>
        <v>7168242985431</v>
      </c>
      <c r="L1998" t="str">
        <f>"98929854"</f>
        <v>98929854</v>
      </c>
      <c r="M1998" t="s">
        <v>21</v>
      </c>
      <c r="N1998" s="1">
        <v>43686.707638888889</v>
      </c>
      <c r="O1998" t="s">
        <v>19</v>
      </c>
    </row>
    <row r="1999" spans="1:15" x14ac:dyDescent="0.25">
      <c r="A1999" t="s">
        <v>1831</v>
      </c>
      <c r="B1999" t="s">
        <v>15</v>
      </c>
      <c r="C1999" t="s">
        <v>1619</v>
      </c>
      <c r="D1999" t="s">
        <v>17</v>
      </c>
      <c r="E1999" t="s">
        <v>18</v>
      </c>
      <c r="F1999" t="s">
        <v>19</v>
      </c>
      <c r="G1999" t="s">
        <v>20</v>
      </c>
      <c r="J1999" t="s">
        <v>17</v>
      </c>
      <c r="K1999" t="str">
        <f>"66007969"</f>
        <v>66007969</v>
      </c>
      <c r="L1999" t="str">
        <f>"66007969"</f>
        <v>66007969</v>
      </c>
      <c r="M1999" t="s">
        <v>75</v>
      </c>
      <c r="N1999" s="1">
        <v>42872.847222222219</v>
      </c>
      <c r="O1999" t="s">
        <v>19</v>
      </c>
    </row>
    <row r="2000" spans="1:15" x14ac:dyDescent="0.25">
      <c r="A2000" t="s">
        <v>1832</v>
      </c>
      <c r="B2000" t="s">
        <v>15</v>
      </c>
      <c r="C2000" t="s">
        <v>1619</v>
      </c>
      <c r="D2000" t="s">
        <v>17</v>
      </c>
      <c r="E2000" t="s">
        <v>18</v>
      </c>
      <c r="F2000" t="s">
        <v>19</v>
      </c>
      <c r="G2000" t="s">
        <v>20</v>
      </c>
      <c r="J2000" t="s">
        <v>17</v>
      </c>
      <c r="K2000" t="str">
        <f>"6925871660648"</f>
        <v>6925871660648</v>
      </c>
      <c r="L2000" t="str">
        <f>"22126064"</f>
        <v>22126064</v>
      </c>
      <c r="M2000" t="s">
        <v>75</v>
      </c>
      <c r="N2000" s="1">
        <v>42907.947916666664</v>
      </c>
      <c r="O2000" t="s">
        <v>19</v>
      </c>
    </row>
    <row r="2001" spans="1:15" x14ac:dyDescent="0.25">
      <c r="A2001" t="s">
        <v>1833</v>
      </c>
      <c r="B2001" t="s">
        <v>15</v>
      </c>
      <c r="C2001" t="s">
        <v>1619</v>
      </c>
      <c r="D2001" t="s">
        <v>17</v>
      </c>
      <c r="E2001" t="s">
        <v>18</v>
      </c>
      <c r="F2001" t="s">
        <v>19</v>
      </c>
      <c r="G2001" t="s">
        <v>20</v>
      </c>
      <c r="J2001" t="s">
        <v>17</v>
      </c>
      <c r="K2001" t="str">
        <f>"8806088757612"</f>
        <v>8806088757612</v>
      </c>
      <c r="L2001" t="str">
        <f>"34127612"</f>
        <v>34127612</v>
      </c>
      <c r="M2001" t="s">
        <v>75</v>
      </c>
      <c r="N2001" s="1">
        <v>43131.704861111109</v>
      </c>
      <c r="O2001" t="s">
        <v>19</v>
      </c>
    </row>
    <row r="2002" spans="1:15" x14ac:dyDescent="0.25">
      <c r="A2002" t="s">
        <v>1834</v>
      </c>
      <c r="B2002" t="s">
        <v>15</v>
      </c>
      <c r="C2002" t="s">
        <v>1619</v>
      </c>
      <c r="D2002" t="s">
        <v>17</v>
      </c>
      <c r="E2002" t="s">
        <v>18</v>
      </c>
      <c r="F2002" t="s">
        <v>19</v>
      </c>
      <c r="G2002" t="s">
        <v>20</v>
      </c>
      <c r="J2002" t="s">
        <v>17</v>
      </c>
      <c r="K2002" t="str">
        <f>"34120003"</f>
        <v>34120003</v>
      </c>
      <c r="L2002" t="str">
        <f>"34120003"</f>
        <v>34120003</v>
      </c>
      <c r="M2002" t="s">
        <v>75</v>
      </c>
      <c r="N2002" s="1">
        <v>43178.718055555553</v>
      </c>
      <c r="O2002" t="s">
        <v>19</v>
      </c>
    </row>
    <row r="2003" spans="1:15" x14ac:dyDescent="0.25">
      <c r="A2003" t="s">
        <v>1835</v>
      </c>
      <c r="B2003" t="s">
        <v>15</v>
      </c>
      <c r="C2003" t="s">
        <v>1619</v>
      </c>
      <c r="D2003" t="s">
        <v>17</v>
      </c>
      <c r="E2003" t="s">
        <v>18</v>
      </c>
      <c r="F2003" t="s">
        <v>19</v>
      </c>
      <c r="G2003" t="s">
        <v>20</v>
      </c>
      <c r="J2003" t="s">
        <v>17</v>
      </c>
      <c r="K2003" t="str">
        <f>"34120716"</f>
        <v>34120716</v>
      </c>
      <c r="L2003" t="str">
        <f>"34120716"</f>
        <v>34120716</v>
      </c>
      <c r="M2003" t="s">
        <v>75</v>
      </c>
      <c r="N2003" s="1">
        <v>43131.705555555556</v>
      </c>
      <c r="O2003" t="s">
        <v>19</v>
      </c>
    </row>
    <row r="2004" spans="1:15" x14ac:dyDescent="0.25">
      <c r="A2004" t="s">
        <v>1836</v>
      </c>
      <c r="B2004" t="s">
        <v>15</v>
      </c>
      <c r="C2004" t="s">
        <v>1619</v>
      </c>
      <c r="D2004" t="s">
        <v>17</v>
      </c>
      <c r="E2004" t="s">
        <v>18</v>
      </c>
      <c r="F2004" t="s">
        <v>19</v>
      </c>
      <c r="G2004" t="s">
        <v>20</v>
      </c>
      <c r="J2004" t="s">
        <v>17</v>
      </c>
      <c r="K2004" t="str">
        <f>"34120000"</f>
        <v>34120000</v>
      </c>
      <c r="L2004" t="str">
        <f>"34120000"</f>
        <v>34120000</v>
      </c>
      <c r="M2004" t="s">
        <v>75</v>
      </c>
      <c r="N2004" s="1">
        <v>42968.702777777777</v>
      </c>
      <c r="O2004" t="s">
        <v>19</v>
      </c>
    </row>
    <row r="2005" spans="1:15" x14ac:dyDescent="0.25">
      <c r="A2005" t="s">
        <v>1837</v>
      </c>
      <c r="B2005" t="s">
        <v>15</v>
      </c>
      <c r="C2005" t="s">
        <v>1619</v>
      </c>
      <c r="D2005" t="s">
        <v>17</v>
      </c>
      <c r="E2005" t="s">
        <v>18</v>
      </c>
      <c r="F2005" t="s">
        <v>19</v>
      </c>
      <c r="G2005" t="s">
        <v>20</v>
      </c>
      <c r="J2005" t="s">
        <v>17</v>
      </c>
      <c r="K2005" t="str">
        <f>"8806088689647"</f>
        <v>8806088689647</v>
      </c>
      <c r="L2005" t="str">
        <f>"34127755"</f>
        <v>34127755</v>
      </c>
      <c r="M2005" t="s">
        <v>75</v>
      </c>
      <c r="N2005" s="1">
        <v>43131.70416666667</v>
      </c>
      <c r="O2005" t="s">
        <v>19</v>
      </c>
    </row>
    <row r="2006" spans="1:15" x14ac:dyDescent="0.25">
      <c r="A2006" t="s">
        <v>1838</v>
      </c>
      <c r="B2006" t="s">
        <v>15</v>
      </c>
      <c r="C2006" t="s">
        <v>1619</v>
      </c>
      <c r="D2006" t="s">
        <v>17</v>
      </c>
      <c r="E2006" t="s">
        <v>18</v>
      </c>
      <c r="F2006" t="s">
        <v>19</v>
      </c>
      <c r="G2006" t="s">
        <v>20</v>
      </c>
      <c r="J2006" t="s">
        <v>17</v>
      </c>
      <c r="K2006" t="str">
        <f>"34121407"</f>
        <v>34121407</v>
      </c>
      <c r="L2006" t="str">
        <f>"34121407"</f>
        <v>34121407</v>
      </c>
      <c r="M2006" t="s">
        <v>21</v>
      </c>
      <c r="N2006" s="1">
        <v>43825.925000000003</v>
      </c>
      <c r="O2006" t="s">
        <v>19</v>
      </c>
    </row>
    <row r="2007" spans="1:15" x14ac:dyDescent="0.25">
      <c r="A2007" t="s">
        <v>1839</v>
      </c>
      <c r="B2007" t="s">
        <v>15</v>
      </c>
      <c r="C2007" t="s">
        <v>1619</v>
      </c>
      <c r="D2007" t="s">
        <v>17</v>
      </c>
      <c r="E2007" t="s">
        <v>18</v>
      </c>
      <c r="F2007" t="s">
        <v>19</v>
      </c>
      <c r="G2007" t="s">
        <v>20</v>
      </c>
      <c r="J2007" t="s">
        <v>17</v>
      </c>
      <c r="K2007" t="str">
        <f>"7895623050173"</f>
        <v>7895623050173</v>
      </c>
      <c r="L2007" t="str">
        <f>"66125017"</f>
        <v>66125017</v>
      </c>
      <c r="M2007" t="s">
        <v>21</v>
      </c>
      <c r="N2007" s="1">
        <v>44392.824999999997</v>
      </c>
      <c r="O2007" t="s">
        <v>19</v>
      </c>
    </row>
    <row r="2008" spans="1:15" x14ac:dyDescent="0.25">
      <c r="A2008" t="s">
        <v>1840</v>
      </c>
      <c r="B2008" t="s">
        <v>15</v>
      </c>
      <c r="C2008" t="s">
        <v>1619</v>
      </c>
      <c r="D2008" t="s">
        <v>17</v>
      </c>
      <c r="E2008" t="s">
        <v>18</v>
      </c>
      <c r="F2008" t="s">
        <v>19</v>
      </c>
      <c r="G2008" t="s">
        <v>20</v>
      </c>
      <c r="J2008" t="s">
        <v>17</v>
      </c>
      <c r="K2008" t="str">
        <f>"67200010"</f>
        <v>67200010</v>
      </c>
      <c r="L2008" t="str">
        <f>"67200010"</f>
        <v>67200010</v>
      </c>
      <c r="M2008" t="s">
        <v>75</v>
      </c>
      <c r="N2008" s="1">
        <v>42872.847222222219</v>
      </c>
      <c r="O2008" t="s">
        <v>19</v>
      </c>
    </row>
    <row r="2009" spans="1:15" x14ac:dyDescent="0.25">
      <c r="A2009" t="s">
        <v>1841</v>
      </c>
      <c r="B2009" t="s">
        <v>15</v>
      </c>
      <c r="C2009" t="s">
        <v>1619</v>
      </c>
      <c r="D2009" t="s">
        <v>17</v>
      </c>
      <c r="E2009" t="s">
        <v>18</v>
      </c>
      <c r="F2009" t="s">
        <v>19</v>
      </c>
      <c r="G2009" t="s">
        <v>20</v>
      </c>
      <c r="J2009" t="s">
        <v>17</v>
      </c>
      <c r="K2009" t="str">
        <f>"28093118"</f>
        <v>28093118</v>
      </c>
      <c r="L2009" t="str">
        <f>"28093118"</f>
        <v>28093118</v>
      </c>
      <c r="M2009" t="s">
        <v>21</v>
      </c>
      <c r="N2009" s="1">
        <v>43502.567361111112</v>
      </c>
      <c r="O2009" t="s">
        <v>19</v>
      </c>
    </row>
    <row r="2010" spans="1:15" x14ac:dyDescent="0.25">
      <c r="A2010" t="s">
        <v>1842</v>
      </c>
      <c r="B2010" t="s">
        <v>15</v>
      </c>
      <c r="C2010" t="s">
        <v>1619</v>
      </c>
      <c r="D2010" t="s">
        <v>17</v>
      </c>
      <c r="E2010" t="s">
        <v>18</v>
      </c>
      <c r="F2010" t="s">
        <v>19</v>
      </c>
      <c r="G2010" t="s">
        <v>20</v>
      </c>
      <c r="J2010" t="s">
        <v>17</v>
      </c>
      <c r="K2010" t="str">
        <f>"5626890051349"</f>
        <v>5626890051349</v>
      </c>
      <c r="L2010" t="str">
        <f>"28093133"</f>
        <v>28093133</v>
      </c>
      <c r="M2010" t="s">
        <v>84</v>
      </c>
      <c r="N2010" s="1">
        <v>43502.568055555559</v>
      </c>
      <c r="O2010" t="s">
        <v>19</v>
      </c>
    </row>
    <row r="2011" spans="1:15" x14ac:dyDescent="0.25">
      <c r="A2011" t="s">
        <v>1843</v>
      </c>
      <c r="B2011" t="s">
        <v>15</v>
      </c>
      <c r="C2011" t="s">
        <v>1619</v>
      </c>
      <c r="D2011" t="s">
        <v>17</v>
      </c>
      <c r="E2011" t="s">
        <v>18</v>
      </c>
      <c r="F2011" t="s">
        <v>19</v>
      </c>
      <c r="G2011" t="s">
        <v>20</v>
      </c>
      <c r="J2011" t="s">
        <v>17</v>
      </c>
      <c r="K2011" t="str">
        <f>"5620000931835"</f>
        <v>5620000931835</v>
      </c>
      <c r="L2011" t="str">
        <f>"28093183"</f>
        <v>28093183</v>
      </c>
      <c r="M2011" t="s">
        <v>84</v>
      </c>
      <c r="N2011" s="1">
        <v>43502.569444444445</v>
      </c>
      <c r="O2011" t="s">
        <v>19</v>
      </c>
    </row>
    <row r="2012" spans="1:15" x14ac:dyDescent="0.25">
      <c r="A2012" t="s">
        <v>1844</v>
      </c>
      <c r="B2012" t="s">
        <v>15</v>
      </c>
      <c r="C2012" t="s">
        <v>1619</v>
      </c>
      <c r="D2012" t="s">
        <v>17</v>
      </c>
      <c r="E2012" t="s">
        <v>18</v>
      </c>
      <c r="F2012" t="s">
        <v>19</v>
      </c>
      <c r="G2012" t="s">
        <v>20</v>
      </c>
      <c r="J2012" t="s">
        <v>17</v>
      </c>
      <c r="K2012" t="str">
        <f>"28093184"</f>
        <v>28093184</v>
      </c>
      <c r="L2012" t="str">
        <f>"28093184"</f>
        <v>28093184</v>
      </c>
      <c r="M2012" t="s">
        <v>84</v>
      </c>
      <c r="N2012" s="1">
        <v>43502.570833333331</v>
      </c>
      <c r="O2012" t="s">
        <v>19</v>
      </c>
    </row>
    <row r="2013" spans="1:15" x14ac:dyDescent="0.25">
      <c r="A2013" t="s">
        <v>1845</v>
      </c>
      <c r="B2013" t="s">
        <v>15</v>
      </c>
      <c r="C2013" t="s">
        <v>1619</v>
      </c>
      <c r="D2013" t="s">
        <v>17</v>
      </c>
      <c r="E2013" t="s">
        <v>18</v>
      </c>
      <c r="F2013" t="s">
        <v>19</v>
      </c>
      <c r="G2013" t="s">
        <v>20</v>
      </c>
      <c r="J2013" t="s">
        <v>17</v>
      </c>
      <c r="K2013" t="str">
        <f>"9146000568"</f>
        <v>9146000568</v>
      </c>
      <c r="L2013" t="str">
        <f>"98129146"</f>
        <v>98129146</v>
      </c>
      <c r="M2013" t="s">
        <v>21</v>
      </c>
      <c r="N2013" s="1">
        <v>43350.830555555556</v>
      </c>
      <c r="O2013" t="s">
        <v>19</v>
      </c>
    </row>
    <row r="2014" spans="1:15" x14ac:dyDescent="0.25">
      <c r="A2014" t="s">
        <v>1846</v>
      </c>
      <c r="B2014" t="s">
        <v>15</v>
      </c>
      <c r="C2014" t="s">
        <v>1619</v>
      </c>
      <c r="D2014" t="s">
        <v>17</v>
      </c>
      <c r="E2014" t="s">
        <v>18</v>
      </c>
      <c r="F2014" t="s">
        <v>19</v>
      </c>
      <c r="G2014" t="s">
        <v>20</v>
      </c>
      <c r="J2014" t="s">
        <v>17</v>
      </c>
      <c r="K2014" t="str">
        <f>"98129147"</f>
        <v>98129147</v>
      </c>
      <c r="L2014" t="str">
        <f>"98129147"</f>
        <v>98129147</v>
      </c>
      <c r="M2014" t="s">
        <v>21</v>
      </c>
      <c r="N2014" s="1">
        <v>43350.831944444442</v>
      </c>
      <c r="O2014" t="s">
        <v>19</v>
      </c>
    </row>
    <row r="2015" spans="1:15" x14ac:dyDescent="0.25">
      <c r="A2015" t="s">
        <v>1847</v>
      </c>
      <c r="B2015" t="s">
        <v>15</v>
      </c>
      <c r="C2015" t="s">
        <v>1619</v>
      </c>
      <c r="D2015" t="s">
        <v>17</v>
      </c>
      <c r="E2015" t="s">
        <v>18</v>
      </c>
      <c r="F2015" t="s">
        <v>19</v>
      </c>
      <c r="G2015" t="s">
        <v>20</v>
      </c>
      <c r="J2015" t="s">
        <v>17</v>
      </c>
      <c r="K2015" t="str">
        <f>"34120002"</f>
        <v>34120002</v>
      </c>
      <c r="L2015" t="str">
        <f>"34120002"</f>
        <v>34120002</v>
      </c>
      <c r="M2015" t="s">
        <v>75</v>
      </c>
      <c r="N2015" s="1">
        <v>43006.84652777778</v>
      </c>
      <c r="O2015" t="s">
        <v>19</v>
      </c>
    </row>
    <row r="2016" spans="1:15" x14ac:dyDescent="0.25">
      <c r="A2016" t="s">
        <v>1848</v>
      </c>
      <c r="B2016" t="s">
        <v>15</v>
      </c>
      <c r="C2016" t="s">
        <v>1619</v>
      </c>
      <c r="D2016" t="s">
        <v>17</v>
      </c>
      <c r="E2016" t="s">
        <v>18</v>
      </c>
      <c r="F2016" t="s">
        <v>19</v>
      </c>
      <c r="G2016" t="s">
        <v>20</v>
      </c>
      <c r="J2016" t="s">
        <v>17</v>
      </c>
      <c r="K2016" t="str">
        <f>"10006708"</f>
        <v>10006708</v>
      </c>
      <c r="L2016" t="str">
        <f>"10006708"</f>
        <v>10006708</v>
      </c>
      <c r="M2016" t="s">
        <v>75</v>
      </c>
      <c r="N2016" s="1">
        <v>42872.839583333334</v>
      </c>
      <c r="O2016" t="s">
        <v>19</v>
      </c>
    </row>
    <row r="2017" spans="1:15" x14ac:dyDescent="0.25">
      <c r="A2017" t="s">
        <v>1849</v>
      </c>
      <c r="B2017" t="s">
        <v>15</v>
      </c>
      <c r="C2017" t="s">
        <v>1619</v>
      </c>
      <c r="D2017" t="s">
        <v>17</v>
      </c>
      <c r="E2017" t="s">
        <v>18</v>
      </c>
      <c r="F2017" t="s">
        <v>19</v>
      </c>
      <c r="G2017" t="s">
        <v>20</v>
      </c>
      <c r="J2017" t="s">
        <v>17</v>
      </c>
      <c r="K2017" t="str">
        <f>"1000001080024"</f>
        <v>1000001080024</v>
      </c>
      <c r="L2017" t="str">
        <f>"76110000"</f>
        <v>76110000</v>
      </c>
      <c r="M2017" t="s">
        <v>75</v>
      </c>
      <c r="N2017" s="1">
        <v>42872.847222222219</v>
      </c>
      <c r="O2017" t="s">
        <v>19</v>
      </c>
    </row>
    <row r="2018" spans="1:15" x14ac:dyDescent="0.25">
      <c r="A2018" t="s">
        <v>1850</v>
      </c>
      <c r="B2018" t="s">
        <v>15</v>
      </c>
      <c r="C2018" t="s">
        <v>1619</v>
      </c>
      <c r="D2018" t="s">
        <v>17</v>
      </c>
      <c r="E2018" t="s">
        <v>18</v>
      </c>
      <c r="F2018" t="s">
        <v>19</v>
      </c>
      <c r="G2018" t="s">
        <v>20</v>
      </c>
      <c r="J2018" t="s">
        <v>17</v>
      </c>
      <c r="K2018" t="str">
        <f>"40121000"</f>
        <v>40121000</v>
      </c>
      <c r="L2018" t="str">
        <f>"40121000"</f>
        <v>40121000</v>
      </c>
      <c r="M2018" t="s">
        <v>75</v>
      </c>
      <c r="N2018" s="1">
        <v>43067.819444444445</v>
      </c>
      <c r="O2018" t="s">
        <v>19</v>
      </c>
    </row>
    <row r="2019" spans="1:15" x14ac:dyDescent="0.25">
      <c r="A2019" t="s">
        <v>1851</v>
      </c>
      <c r="B2019" t="s">
        <v>15</v>
      </c>
      <c r="C2019" t="s">
        <v>1619</v>
      </c>
      <c r="D2019" t="s">
        <v>17</v>
      </c>
      <c r="E2019" t="s">
        <v>18</v>
      </c>
      <c r="F2019" t="s">
        <v>19</v>
      </c>
      <c r="G2019" t="s">
        <v>20</v>
      </c>
      <c r="J2019" t="s">
        <v>17</v>
      </c>
      <c r="K2019" t="str">
        <f>"34001121"</f>
        <v>34001121</v>
      </c>
      <c r="L2019" t="str">
        <f>"34001121"</f>
        <v>34001121</v>
      </c>
      <c r="M2019" t="s">
        <v>75</v>
      </c>
      <c r="N2019" s="1">
        <v>42872.839583333334</v>
      </c>
      <c r="O2019" t="s">
        <v>19</v>
      </c>
    </row>
    <row r="2020" spans="1:15" x14ac:dyDescent="0.25">
      <c r="A2020" t="s">
        <v>1852</v>
      </c>
      <c r="B2020" t="s">
        <v>15</v>
      </c>
      <c r="C2020" t="s">
        <v>37</v>
      </c>
      <c r="D2020" t="s">
        <v>17</v>
      </c>
      <c r="E2020" t="s">
        <v>18</v>
      </c>
      <c r="F2020" t="s">
        <v>19</v>
      </c>
      <c r="G2020" t="s">
        <v>20</v>
      </c>
      <c r="J2020" t="s">
        <v>17</v>
      </c>
      <c r="K2020" t="str">
        <f>"10000718"</f>
        <v>10000718</v>
      </c>
      <c r="L2020" t="str">
        <f>"10000718"</f>
        <v>10000718</v>
      </c>
      <c r="M2020" t="s">
        <v>84</v>
      </c>
      <c r="N2020" s="1">
        <v>43510.684027777781</v>
      </c>
      <c r="O2020" t="s">
        <v>19</v>
      </c>
    </row>
    <row r="2021" spans="1:15" x14ac:dyDescent="0.25">
      <c r="A2021" t="s">
        <v>1853</v>
      </c>
      <c r="B2021" t="s">
        <v>15</v>
      </c>
      <c r="C2021" t="s">
        <v>64</v>
      </c>
      <c r="D2021" t="s">
        <v>17</v>
      </c>
      <c r="E2021" t="s">
        <v>18</v>
      </c>
      <c r="F2021" t="s">
        <v>19</v>
      </c>
      <c r="G2021" t="s">
        <v>20</v>
      </c>
      <c r="J2021" t="s">
        <v>17</v>
      </c>
      <c r="K2021" t="str">
        <f>"10009216"</f>
        <v>10009216</v>
      </c>
      <c r="L2021" t="str">
        <f>"10009216"</f>
        <v>10009216</v>
      </c>
      <c r="M2021" t="s">
        <v>21</v>
      </c>
      <c r="N2021" s="1">
        <v>44392.781944444447</v>
      </c>
      <c r="O2021" t="s">
        <v>19</v>
      </c>
    </row>
    <row r="2022" spans="1:15" x14ac:dyDescent="0.25">
      <c r="A2022" t="s">
        <v>1854</v>
      </c>
      <c r="B2022" t="s">
        <v>15</v>
      </c>
      <c r="C2022" t="s">
        <v>64</v>
      </c>
      <c r="D2022" t="s">
        <v>17</v>
      </c>
      <c r="E2022" t="s">
        <v>18</v>
      </c>
      <c r="F2022" t="s">
        <v>19</v>
      </c>
      <c r="G2022" t="s">
        <v>20</v>
      </c>
      <c r="J2022" t="s">
        <v>17</v>
      </c>
      <c r="K2022" t="str">
        <f>"7298229023334"</f>
        <v>7298229023334</v>
      </c>
      <c r="L2022" t="str">
        <f>"29TNBHP333"</f>
        <v>29TNBHP333</v>
      </c>
      <c r="M2022" t="s">
        <v>21</v>
      </c>
      <c r="N2022" s="1">
        <v>44265.898611111108</v>
      </c>
      <c r="O2022" t="s">
        <v>19</v>
      </c>
    </row>
    <row r="2023" spans="1:15" x14ac:dyDescent="0.25">
      <c r="A2023" t="s">
        <v>1855</v>
      </c>
      <c r="B2023" t="s">
        <v>15</v>
      </c>
      <c r="C2023" t="s">
        <v>37</v>
      </c>
      <c r="D2023" t="s">
        <v>17</v>
      </c>
      <c r="E2023" t="s">
        <v>18</v>
      </c>
      <c r="F2023" t="s">
        <v>19</v>
      </c>
      <c r="G2023" t="s">
        <v>20</v>
      </c>
      <c r="J2023" t="s">
        <v>17</v>
      </c>
      <c r="K2023" t="str">
        <f>"7858816000348"</f>
        <v>7858816000348</v>
      </c>
      <c r="L2023" t="str">
        <f>"87120034"</f>
        <v>87120034</v>
      </c>
      <c r="M2023" t="s">
        <v>21</v>
      </c>
      <c r="N2023" s="1">
        <v>43510.685416666667</v>
      </c>
      <c r="O2023" t="s">
        <v>19</v>
      </c>
    </row>
    <row r="2024" spans="1:15" x14ac:dyDescent="0.25">
      <c r="A2024" t="s">
        <v>1856</v>
      </c>
      <c r="B2024" t="s">
        <v>15</v>
      </c>
      <c r="C2024" t="s">
        <v>64</v>
      </c>
      <c r="D2024" t="s">
        <v>17</v>
      </c>
      <c r="E2024" t="s">
        <v>18</v>
      </c>
      <c r="F2024" t="s">
        <v>19</v>
      </c>
      <c r="G2024" t="s">
        <v>20</v>
      </c>
      <c r="J2024" t="s">
        <v>17</v>
      </c>
      <c r="K2024" t="str">
        <f>"7858816060373"</f>
        <v>7858816060373</v>
      </c>
      <c r="L2024" t="str">
        <f>"7858816011016"</f>
        <v>7858816011016</v>
      </c>
      <c r="M2024" t="s">
        <v>21</v>
      </c>
      <c r="N2024" s="1">
        <v>44295.703472222223</v>
      </c>
      <c r="O2024" t="s">
        <v>19</v>
      </c>
    </row>
    <row r="2025" spans="1:15" x14ac:dyDescent="0.25">
      <c r="A2025" t="s">
        <v>1857</v>
      </c>
      <c r="B2025" t="s">
        <v>15</v>
      </c>
      <c r="C2025" t="s">
        <v>64</v>
      </c>
      <c r="D2025" t="s">
        <v>17</v>
      </c>
      <c r="E2025" t="s">
        <v>18</v>
      </c>
      <c r="F2025" t="s">
        <v>19</v>
      </c>
      <c r="G2025" t="s">
        <v>20</v>
      </c>
      <c r="J2025" t="s">
        <v>17</v>
      </c>
      <c r="K2025" t="str">
        <f>"7298229023259"</f>
        <v>7298229023259</v>
      </c>
      <c r="L2025" t="str">
        <f>"29TNBLN325"</f>
        <v>29TNBLN325</v>
      </c>
      <c r="M2025" t="s">
        <v>21</v>
      </c>
      <c r="N2025" s="1">
        <v>44265.901388888888</v>
      </c>
      <c r="O2025" t="s">
        <v>19</v>
      </c>
    </row>
    <row r="2026" spans="1:15" x14ac:dyDescent="0.25">
      <c r="A2026" t="s">
        <v>1858</v>
      </c>
      <c r="B2026" t="s">
        <v>15</v>
      </c>
      <c r="C2026" t="s">
        <v>35</v>
      </c>
      <c r="D2026" t="s">
        <v>17</v>
      </c>
      <c r="E2026" t="s">
        <v>18</v>
      </c>
      <c r="F2026" t="s">
        <v>19</v>
      </c>
      <c r="G2026" t="s">
        <v>20</v>
      </c>
      <c r="J2026" t="s">
        <v>17</v>
      </c>
      <c r="K2026" t="str">
        <f>"6925871669269"</f>
        <v>6925871669269</v>
      </c>
      <c r="L2026" t="str">
        <f>"22086926"</f>
        <v>22086926</v>
      </c>
      <c r="M2026" t="s">
        <v>21</v>
      </c>
      <c r="N2026" s="1">
        <v>43314.680555555555</v>
      </c>
      <c r="O2026" t="s">
        <v>19</v>
      </c>
    </row>
    <row r="2027" spans="1:15" x14ac:dyDescent="0.25">
      <c r="A2027" t="s">
        <v>1859</v>
      </c>
      <c r="B2027" t="s">
        <v>15</v>
      </c>
      <c r="C2027" t="s">
        <v>1619</v>
      </c>
      <c r="D2027" t="s">
        <v>17</v>
      </c>
      <c r="E2027" t="s">
        <v>18</v>
      </c>
      <c r="F2027" t="s">
        <v>19</v>
      </c>
      <c r="G2027" t="s">
        <v>20</v>
      </c>
      <c r="J2027" t="s">
        <v>17</v>
      </c>
      <c r="K2027" t="str">
        <f>"98120700"</f>
        <v>98120700</v>
      </c>
      <c r="L2027" t="str">
        <f>"98120700"</f>
        <v>98120700</v>
      </c>
      <c r="M2027" t="s">
        <v>84</v>
      </c>
      <c r="N2027" s="1">
        <v>43350.847916666666</v>
      </c>
      <c r="O2027" t="s">
        <v>19</v>
      </c>
    </row>
    <row r="2028" spans="1:15" x14ac:dyDescent="0.25">
      <c r="A2028" t="s">
        <v>1860</v>
      </c>
      <c r="B2028" t="s">
        <v>15</v>
      </c>
      <c r="C2028" t="s">
        <v>64</v>
      </c>
      <c r="D2028" t="s">
        <v>17</v>
      </c>
      <c r="E2028" t="s">
        <v>18</v>
      </c>
      <c r="F2028" t="s">
        <v>19</v>
      </c>
      <c r="G2028" t="s">
        <v>20</v>
      </c>
      <c r="J2028" t="s">
        <v>17</v>
      </c>
      <c r="K2028" t="str">
        <f>"6931326001935"</f>
        <v>6931326001935</v>
      </c>
      <c r="L2028" t="str">
        <f>"40121935"</f>
        <v>40121935</v>
      </c>
      <c r="M2028" t="s">
        <v>21</v>
      </c>
      <c r="N2028" s="1">
        <v>42941.667361111111</v>
      </c>
      <c r="O2028" t="s">
        <v>19</v>
      </c>
    </row>
    <row r="2029" spans="1:15" x14ac:dyDescent="0.25">
      <c r="A2029" t="s">
        <v>1861</v>
      </c>
      <c r="B2029" t="s">
        <v>15</v>
      </c>
      <c r="C2029" t="s">
        <v>64</v>
      </c>
      <c r="D2029" t="s">
        <v>17</v>
      </c>
      <c r="E2029" t="s">
        <v>18</v>
      </c>
      <c r="F2029" t="s">
        <v>19</v>
      </c>
      <c r="G2029" t="s">
        <v>20</v>
      </c>
      <c r="J2029" t="s">
        <v>17</v>
      </c>
      <c r="K2029" t="str">
        <f>"6931328501938"</f>
        <v>6931328501938</v>
      </c>
      <c r="L2029" t="str">
        <f>"40121938"</f>
        <v>40121938</v>
      </c>
      <c r="M2029" t="s">
        <v>21</v>
      </c>
      <c r="N2029" s="1">
        <v>43417.905555555553</v>
      </c>
      <c r="O2029" t="s">
        <v>19</v>
      </c>
    </row>
    <row r="2030" spans="1:15" x14ac:dyDescent="0.25">
      <c r="A2030" t="s">
        <v>1862</v>
      </c>
      <c r="B2030" t="s">
        <v>15</v>
      </c>
      <c r="C2030" t="s">
        <v>1619</v>
      </c>
      <c r="D2030" t="s">
        <v>17</v>
      </c>
      <c r="E2030" t="s">
        <v>18</v>
      </c>
      <c r="F2030" t="s">
        <v>19</v>
      </c>
      <c r="G2030" t="s">
        <v>20</v>
      </c>
      <c r="J2030" t="s">
        <v>17</v>
      </c>
      <c r="K2030" t="str">
        <f>"110108844"</f>
        <v>110108844</v>
      </c>
      <c r="L2030" t="str">
        <f>"110108844"</f>
        <v>110108844</v>
      </c>
      <c r="M2030" t="s">
        <v>75</v>
      </c>
      <c r="N2030" s="1">
        <v>42872.847222222219</v>
      </c>
      <c r="O2030" t="s">
        <v>19</v>
      </c>
    </row>
    <row r="2031" spans="1:15" x14ac:dyDescent="0.25">
      <c r="A2031" t="s">
        <v>1863</v>
      </c>
      <c r="B2031" t="s">
        <v>15</v>
      </c>
      <c r="C2031" t="s">
        <v>1619</v>
      </c>
      <c r="D2031" t="s">
        <v>17</v>
      </c>
      <c r="E2031" t="s">
        <v>18</v>
      </c>
      <c r="F2031" t="s">
        <v>19</v>
      </c>
      <c r="G2031" t="s">
        <v>20</v>
      </c>
      <c r="J2031" t="s">
        <v>17</v>
      </c>
      <c r="K2031" t="str">
        <f>"76120714"</f>
        <v>76120714</v>
      </c>
      <c r="L2031" t="str">
        <f>"76120714"</f>
        <v>76120714</v>
      </c>
      <c r="M2031" t="s">
        <v>75</v>
      </c>
      <c r="N2031" s="1">
        <v>42986.928472222222</v>
      </c>
      <c r="O2031" t="s">
        <v>19</v>
      </c>
    </row>
    <row r="2032" spans="1:15" x14ac:dyDescent="0.25">
      <c r="A2032" t="s">
        <v>1864</v>
      </c>
      <c r="B2032" t="s">
        <v>15</v>
      </c>
      <c r="C2032" t="s">
        <v>1619</v>
      </c>
      <c r="D2032" t="s">
        <v>17</v>
      </c>
      <c r="E2032" t="s">
        <v>18</v>
      </c>
      <c r="F2032" t="s">
        <v>19</v>
      </c>
      <c r="G2032" t="s">
        <v>20</v>
      </c>
      <c r="J2032" t="s">
        <v>17</v>
      </c>
      <c r="K2032" t="str">
        <f>"52520002"</f>
        <v>52520002</v>
      </c>
      <c r="L2032" t="str">
        <f>"52520002"</f>
        <v>52520002</v>
      </c>
      <c r="M2032" t="s">
        <v>21</v>
      </c>
      <c r="N2032" s="1">
        <v>43581.633333333331</v>
      </c>
      <c r="O2032" t="s">
        <v>19</v>
      </c>
    </row>
    <row r="2033" spans="1:15" x14ac:dyDescent="0.25">
      <c r="A2033" t="s">
        <v>1865</v>
      </c>
      <c r="B2033" t="s">
        <v>15</v>
      </c>
      <c r="C2033" t="s">
        <v>1619</v>
      </c>
      <c r="D2033" t="s">
        <v>17</v>
      </c>
      <c r="E2033" t="s">
        <v>18</v>
      </c>
      <c r="F2033" t="s">
        <v>19</v>
      </c>
      <c r="G2033" t="s">
        <v>20</v>
      </c>
      <c r="J2033" t="s">
        <v>17</v>
      </c>
      <c r="K2033" t="str">
        <f>"34121402"</f>
        <v>34121402</v>
      </c>
      <c r="L2033" t="str">
        <f>"34121402"</f>
        <v>34121402</v>
      </c>
      <c r="M2033" t="s">
        <v>75</v>
      </c>
      <c r="N2033" s="1">
        <v>42872.839583333334</v>
      </c>
      <c r="O2033" t="s">
        <v>19</v>
      </c>
    </row>
    <row r="2034" spans="1:15" x14ac:dyDescent="0.25">
      <c r="A2034" t="s">
        <v>1866</v>
      </c>
      <c r="B2034" t="s">
        <v>15</v>
      </c>
      <c r="C2034" t="s">
        <v>1619</v>
      </c>
      <c r="D2034" t="s">
        <v>17</v>
      </c>
      <c r="E2034" t="s">
        <v>18</v>
      </c>
      <c r="F2034" t="s">
        <v>19</v>
      </c>
      <c r="G2034" t="s">
        <v>20</v>
      </c>
      <c r="J2034" t="s">
        <v>17</v>
      </c>
      <c r="K2034" t="str">
        <f>"40121414"</f>
        <v>40121414</v>
      </c>
      <c r="L2034" t="str">
        <f>"40121414"</f>
        <v>40121414</v>
      </c>
      <c r="M2034" t="s">
        <v>75</v>
      </c>
      <c r="N2034" s="1">
        <v>43067.815972222219</v>
      </c>
      <c r="O2034" t="s">
        <v>19</v>
      </c>
    </row>
    <row r="2035" spans="1:15" x14ac:dyDescent="0.25">
      <c r="A2035" t="s">
        <v>1867</v>
      </c>
      <c r="B2035" t="s">
        <v>15</v>
      </c>
      <c r="C2035" t="s">
        <v>935</v>
      </c>
      <c r="D2035" t="s">
        <v>17</v>
      </c>
      <c r="E2035" t="s">
        <v>18</v>
      </c>
      <c r="F2035" t="s">
        <v>19</v>
      </c>
      <c r="G2035" t="s">
        <v>20</v>
      </c>
      <c r="J2035" t="s">
        <v>17</v>
      </c>
      <c r="K2035" t="str">
        <f>"8669885004859"</f>
        <v>8669885004859</v>
      </c>
      <c r="L2035" t="str">
        <f>"665500485"</f>
        <v>665500485</v>
      </c>
      <c r="M2035" t="s">
        <v>75</v>
      </c>
      <c r="N2035" s="1">
        <v>43147.681944444441</v>
      </c>
      <c r="O2035" t="s">
        <v>19</v>
      </c>
    </row>
    <row r="2036" spans="1:15" x14ac:dyDescent="0.25">
      <c r="A2036" t="s">
        <v>1868</v>
      </c>
      <c r="B2036" t="s">
        <v>15</v>
      </c>
      <c r="C2036" t="s">
        <v>1619</v>
      </c>
      <c r="D2036" t="s">
        <v>17</v>
      </c>
      <c r="E2036" t="s">
        <v>18</v>
      </c>
      <c r="F2036" t="s">
        <v>19</v>
      </c>
      <c r="G2036" t="s">
        <v>20</v>
      </c>
      <c r="J2036" t="s">
        <v>17</v>
      </c>
      <c r="K2036" t="str">
        <f>"7820099880818"</f>
        <v>7820099880818</v>
      </c>
      <c r="L2036" t="str">
        <f>"40121500"</f>
        <v>40121500</v>
      </c>
      <c r="M2036" t="s">
        <v>75</v>
      </c>
      <c r="N2036" s="1">
        <v>43067.816666666666</v>
      </c>
      <c r="O2036" t="s">
        <v>19</v>
      </c>
    </row>
    <row r="2037" spans="1:15" x14ac:dyDescent="0.25">
      <c r="A2037" t="s">
        <v>1869</v>
      </c>
      <c r="B2037" t="s">
        <v>15</v>
      </c>
      <c r="C2037" t="s">
        <v>1619</v>
      </c>
      <c r="D2037" t="s">
        <v>17</v>
      </c>
      <c r="E2037" t="s">
        <v>18</v>
      </c>
      <c r="F2037" t="s">
        <v>19</v>
      </c>
      <c r="G2037" t="s">
        <v>20</v>
      </c>
      <c r="J2037" t="s">
        <v>17</v>
      </c>
      <c r="K2037" t="str">
        <f>"100110065"</f>
        <v>100110065</v>
      </c>
      <c r="L2037" t="str">
        <f>"100110065"</f>
        <v>100110065</v>
      </c>
      <c r="M2037" t="s">
        <v>21</v>
      </c>
      <c r="N2037" s="1">
        <v>42872.847222222219</v>
      </c>
      <c r="O2037" t="s">
        <v>33</v>
      </c>
    </row>
    <row r="2038" spans="1:15" x14ac:dyDescent="0.25">
      <c r="A2038" t="s">
        <v>1870</v>
      </c>
      <c r="B2038" t="s">
        <v>15</v>
      </c>
      <c r="C2038" t="s">
        <v>1619</v>
      </c>
      <c r="D2038" t="s">
        <v>17</v>
      </c>
      <c r="E2038" t="s">
        <v>18</v>
      </c>
      <c r="F2038" t="s">
        <v>19</v>
      </c>
      <c r="G2038" t="s">
        <v>20</v>
      </c>
      <c r="J2038" t="s">
        <v>17</v>
      </c>
      <c r="K2038" t="str">
        <f>"86121000"</f>
        <v>86121000</v>
      </c>
      <c r="L2038" t="str">
        <f>"86121000"</f>
        <v>86121000</v>
      </c>
      <c r="M2038" t="s">
        <v>75</v>
      </c>
      <c r="N2038" s="1">
        <v>43136.651388888888</v>
      </c>
      <c r="O2038" t="s">
        <v>19</v>
      </c>
    </row>
    <row r="2039" spans="1:15" x14ac:dyDescent="0.25">
      <c r="A2039" t="s">
        <v>1871</v>
      </c>
      <c r="B2039" t="s">
        <v>15</v>
      </c>
      <c r="C2039" t="s">
        <v>1619</v>
      </c>
      <c r="D2039" t="s">
        <v>17</v>
      </c>
      <c r="E2039" t="s">
        <v>18</v>
      </c>
      <c r="F2039" t="s">
        <v>19</v>
      </c>
      <c r="G2039" t="s">
        <v>20</v>
      </c>
      <c r="J2039" t="s">
        <v>17</v>
      </c>
      <c r="K2039" t="str">
        <f>"17002470"</f>
        <v>17002470</v>
      </c>
      <c r="L2039" t="str">
        <f>"17002470"</f>
        <v>17002470</v>
      </c>
      <c r="M2039" t="s">
        <v>21</v>
      </c>
      <c r="N2039" s="1">
        <v>42872.839583333334</v>
      </c>
      <c r="O2039" t="s">
        <v>33</v>
      </c>
    </row>
    <row r="2040" spans="1:15" x14ac:dyDescent="0.25">
      <c r="A2040" t="s">
        <v>1872</v>
      </c>
      <c r="B2040" t="s">
        <v>15</v>
      </c>
      <c r="C2040" t="s">
        <v>1619</v>
      </c>
      <c r="D2040" t="s">
        <v>17</v>
      </c>
      <c r="E2040" t="s">
        <v>18</v>
      </c>
      <c r="F2040" t="s">
        <v>19</v>
      </c>
      <c r="G2040" t="s">
        <v>20</v>
      </c>
      <c r="J2040" t="s">
        <v>17</v>
      </c>
      <c r="K2040" t="str">
        <f>"10120405"</f>
        <v>10120405</v>
      </c>
      <c r="L2040" t="str">
        <f>"10120405"</f>
        <v>10120405</v>
      </c>
      <c r="M2040" t="s">
        <v>21</v>
      </c>
      <c r="N2040" s="1">
        <v>42872.839583333334</v>
      </c>
      <c r="O2040" t="s">
        <v>33</v>
      </c>
    </row>
    <row r="2041" spans="1:15" x14ac:dyDescent="0.25">
      <c r="A2041" t="s">
        <v>1873</v>
      </c>
      <c r="B2041" t="s">
        <v>15</v>
      </c>
      <c r="C2041" t="s">
        <v>1619</v>
      </c>
      <c r="D2041" t="s">
        <v>17</v>
      </c>
      <c r="E2041" t="s">
        <v>18</v>
      </c>
      <c r="F2041" t="s">
        <v>19</v>
      </c>
      <c r="G2041" t="s">
        <v>20</v>
      </c>
      <c r="J2041" t="s">
        <v>17</v>
      </c>
      <c r="K2041" t="str">
        <f>"5713682578112"</f>
        <v>5713682578112</v>
      </c>
      <c r="L2041" t="str">
        <f>"40120688"</f>
        <v>40120688</v>
      </c>
      <c r="M2041" t="s">
        <v>21</v>
      </c>
      <c r="N2041" s="1">
        <v>44306.927083333336</v>
      </c>
      <c r="O2041" t="s">
        <v>19</v>
      </c>
    </row>
    <row r="2042" spans="1:15" x14ac:dyDescent="0.25">
      <c r="A2042" t="s">
        <v>1874</v>
      </c>
      <c r="B2042" t="s">
        <v>15</v>
      </c>
      <c r="C2042" t="s">
        <v>1619</v>
      </c>
      <c r="D2042" t="s">
        <v>17</v>
      </c>
      <c r="E2042" t="s">
        <v>18</v>
      </c>
      <c r="F2042" t="s">
        <v>19</v>
      </c>
      <c r="G2042" t="s">
        <v>20</v>
      </c>
      <c r="J2042" t="s">
        <v>17</v>
      </c>
      <c r="K2042" t="str">
        <f>"7298229029657"</f>
        <v>7298229029657</v>
      </c>
      <c r="L2042" t="str">
        <f>"29TNB65SLIM"</f>
        <v>29TNB65SLIM</v>
      </c>
      <c r="M2042" t="s">
        <v>21</v>
      </c>
      <c r="N2042" s="1">
        <v>43805.730555555558</v>
      </c>
      <c r="O2042" t="s">
        <v>19</v>
      </c>
    </row>
    <row r="2043" spans="1:15" x14ac:dyDescent="0.25">
      <c r="A2043" t="s">
        <v>1875</v>
      </c>
      <c r="B2043" t="s">
        <v>15</v>
      </c>
      <c r="C2043" t="s">
        <v>1619</v>
      </c>
      <c r="D2043" t="s">
        <v>17</v>
      </c>
      <c r="E2043" t="s">
        <v>18</v>
      </c>
      <c r="F2043" t="s">
        <v>19</v>
      </c>
      <c r="G2043" t="s">
        <v>20</v>
      </c>
      <c r="J2043" t="s">
        <v>17</v>
      </c>
      <c r="K2043" t="str">
        <f>"34009287"</f>
        <v>34009287</v>
      </c>
      <c r="L2043" t="str">
        <f>"34009287"</f>
        <v>34009287</v>
      </c>
      <c r="M2043" t="s">
        <v>75</v>
      </c>
      <c r="N2043" s="1">
        <v>42872.839583333334</v>
      </c>
      <c r="O2043" t="s">
        <v>19</v>
      </c>
    </row>
    <row r="2044" spans="1:15" x14ac:dyDescent="0.25">
      <c r="A2044" t="s">
        <v>1876</v>
      </c>
      <c r="B2044" t="s">
        <v>15</v>
      </c>
      <c r="C2044" t="s">
        <v>1619</v>
      </c>
      <c r="D2044" t="s">
        <v>17</v>
      </c>
      <c r="E2044" t="s">
        <v>18</v>
      </c>
      <c r="F2044" t="s">
        <v>19</v>
      </c>
      <c r="G2044" t="s">
        <v>20</v>
      </c>
      <c r="J2044" t="s">
        <v>17</v>
      </c>
      <c r="K2044" t="str">
        <f>"81219700"</f>
        <v>81219700</v>
      </c>
      <c r="L2044" t="str">
        <f>"81219700"</f>
        <v>81219700</v>
      </c>
      <c r="M2044" t="s">
        <v>75</v>
      </c>
      <c r="N2044" s="1">
        <v>42872.847222222219</v>
      </c>
      <c r="O2044" t="s">
        <v>19</v>
      </c>
    </row>
    <row r="2045" spans="1:15" x14ac:dyDescent="0.25">
      <c r="A2045" t="s">
        <v>1877</v>
      </c>
      <c r="B2045" t="s">
        <v>15</v>
      </c>
      <c r="C2045" t="s">
        <v>1619</v>
      </c>
      <c r="D2045" t="s">
        <v>17</v>
      </c>
      <c r="E2045" t="s">
        <v>18</v>
      </c>
      <c r="F2045" t="s">
        <v>19</v>
      </c>
      <c r="G2045" t="s">
        <v>20</v>
      </c>
      <c r="J2045" t="s">
        <v>17</v>
      </c>
      <c r="K2045" t="str">
        <f>"4710007720905"</f>
        <v>4710007720905</v>
      </c>
      <c r="L2045" t="str">
        <f>"65120010"</f>
        <v>65120010</v>
      </c>
      <c r="M2045" t="s">
        <v>75</v>
      </c>
      <c r="N2045" s="1">
        <v>43202.840277777781</v>
      </c>
      <c r="O2045" t="s">
        <v>19</v>
      </c>
    </row>
    <row r="2046" spans="1:15" x14ac:dyDescent="0.25">
      <c r="A2046" t="s">
        <v>1878</v>
      </c>
      <c r="B2046" t="s">
        <v>15</v>
      </c>
      <c r="C2046" t="s">
        <v>1619</v>
      </c>
      <c r="D2046" t="s">
        <v>17</v>
      </c>
      <c r="E2046" t="s">
        <v>18</v>
      </c>
      <c r="F2046" t="s">
        <v>19</v>
      </c>
      <c r="G2046" t="s">
        <v>20</v>
      </c>
      <c r="J2046" t="s">
        <v>17</v>
      </c>
      <c r="K2046" t="str">
        <f>"10003604"</f>
        <v>10003604</v>
      </c>
      <c r="L2046" t="str">
        <f>"10003604"</f>
        <v>10003604</v>
      </c>
      <c r="M2046" t="s">
        <v>75</v>
      </c>
      <c r="N2046" s="1">
        <v>42965.911805555559</v>
      </c>
      <c r="O2046" t="s">
        <v>19</v>
      </c>
    </row>
    <row r="2047" spans="1:15" x14ac:dyDescent="0.25">
      <c r="A2047" t="s">
        <v>1879</v>
      </c>
      <c r="B2047" t="s">
        <v>15</v>
      </c>
      <c r="C2047" t="s">
        <v>1619</v>
      </c>
      <c r="D2047" t="s">
        <v>17</v>
      </c>
      <c r="E2047" t="s">
        <v>18</v>
      </c>
      <c r="F2047" t="s">
        <v>19</v>
      </c>
      <c r="G2047" t="s">
        <v>20</v>
      </c>
      <c r="J2047" t="s">
        <v>17</v>
      </c>
      <c r="K2047" t="str">
        <f>"170022470"</f>
        <v>170022470</v>
      </c>
      <c r="L2047" t="str">
        <f>"170022470"</f>
        <v>170022470</v>
      </c>
      <c r="M2047" t="s">
        <v>21</v>
      </c>
      <c r="N2047" s="1">
        <v>42872.847222222219</v>
      </c>
      <c r="O2047" t="s">
        <v>33</v>
      </c>
    </row>
    <row r="2048" spans="1:15" x14ac:dyDescent="0.25">
      <c r="A2048" t="s">
        <v>1880</v>
      </c>
      <c r="B2048" t="s">
        <v>15</v>
      </c>
      <c r="C2048" t="s">
        <v>35</v>
      </c>
      <c r="D2048" t="s">
        <v>17</v>
      </c>
      <c r="E2048" t="s">
        <v>18</v>
      </c>
      <c r="F2048" t="s">
        <v>19</v>
      </c>
      <c r="G2048" t="s">
        <v>20</v>
      </c>
      <c r="J2048" t="s">
        <v>17</v>
      </c>
      <c r="K2048" t="str">
        <f>"6925871662253"</f>
        <v>6925871662253</v>
      </c>
      <c r="L2048" t="str">
        <f>"98126225"</f>
        <v>98126225</v>
      </c>
      <c r="M2048" t="s">
        <v>21</v>
      </c>
      <c r="N2048" s="1">
        <v>43195.656944444447</v>
      </c>
      <c r="O2048" t="s">
        <v>19</v>
      </c>
    </row>
    <row r="2049" spans="1:15" x14ac:dyDescent="0.25">
      <c r="A2049" t="s">
        <v>1881</v>
      </c>
      <c r="B2049" t="s">
        <v>15</v>
      </c>
      <c r="C2049" t="s">
        <v>37</v>
      </c>
      <c r="D2049" t="s">
        <v>17</v>
      </c>
      <c r="E2049" t="s">
        <v>18</v>
      </c>
      <c r="F2049" t="s">
        <v>19</v>
      </c>
      <c r="G2049" t="s">
        <v>20</v>
      </c>
      <c r="J2049" t="s">
        <v>17</v>
      </c>
      <c r="K2049" t="str">
        <f>"6925871666992"</f>
        <v>6925871666992</v>
      </c>
      <c r="L2049" t="str">
        <f>"22526699"</f>
        <v>22526699</v>
      </c>
      <c r="M2049" t="s">
        <v>75</v>
      </c>
      <c r="N2049" s="1">
        <v>43125.840277777781</v>
      </c>
      <c r="O2049" t="s">
        <v>19</v>
      </c>
    </row>
    <row r="2050" spans="1:15" x14ac:dyDescent="0.25">
      <c r="A2050" t="s">
        <v>1882</v>
      </c>
      <c r="B2050" t="s">
        <v>15</v>
      </c>
      <c r="C2050" t="s">
        <v>64</v>
      </c>
      <c r="D2050" t="s">
        <v>17</v>
      </c>
      <c r="E2050" t="s">
        <v>18</v>
      </c>
      <c r="F2050" t="s">
        <v>19</v>
      </c>
      <c r="G2050" t="s">
        <v>20</v>
      </c>
      <c r="J2050" t="s">
        <v>17</v>
      </c>
      <c r="K2050" t="str">
        <f>"001400000109"</f>
        <v>001400000109</v>
      </c>
      <c r="L2050" t="str">
        <f>"40120109"</f>
        <v>40120109</v>
      </c>
      <c r="M2050" t="s">
        <v>21</v>
      </c>
      <c r="N2050" s="1">
        <v>44306.890972222223</v>
      </c>
      <c r="O2050" t="s">
        <v>19</v>
      </c>
    </row>
    <row r="2051" spans="1:15" x14ac:dyDescent="0.25">
      <c r="A2051" t="s">
        <v>1883</v>
      </c>
      <c r="B2051" t="s">
        <v>15</v>
      </c>
      <c r="C2051" t="s">
        <v>64</v>
      </c>
      <c r="D2051" t="s">
        <v>17</v>
      </c>
      <c r="E2051" t="s">
        <v>18</v>
      </c>
      <c r="F2051" t="s">
        <v>19</v>
      </c>
      <c r="G2051" t="s">
        <v>20</v>
      </c>
      <c r="J2051" t="s">
        <v>17</v>
      </c>
      <c r="K2051" t="str">
        <f>"2019031040822"</f>
        <v>2019031040822</v>
      </c>
      <c r="L2051" t="str">
        <f>"18526067"</f>
        <v>18526067</v>
      </c>
      <c r="M2051" t="s">
        <v>21</v>
      </c>
      <c r="N2051" s="1">
        <v>42872.839583333334</v>
      </c>
      <c r="O2051" t="s">
        <v>19</v>
      </c>
    </row>
    <row r="2052" spans="1:15" x14ac:dyDescent="0.25">
      <c r="A2052" t="s">
        <v>1884</v>
      </c>
      <c r="B2052" t="s">
        <v>15</v>
      </c>
      <c r="C2052" t="s">
        <v>1619</v>
      </c>
      <c r="D2052" t="s">
        <v>17</v>
      </c>
      <c r="E2052" t="s">
        <v>18</v>
      </c>
      <c r="F2052" t="s">
        <v>19</v>
      </c>
      <c r="G2052" t="s">
        <v>20</v>
      </c>
      <c r="J2052" t="s">
        <v>17</v>
      </c>
      <c r="K2052" t="str">
        <f>"7796941037740"</f>
        <v>7796941037740</v>
      </c>
      <c r="L2052" t="str">
        <f>"42120500"</f>
        <v>42120500</v>
      </c>
      <c r="M2052" t="s">
        <v>75</v>
      </c>
      <c r="N2052" s="1">
        <v>42872.839583333334</v>
      </c>
      <c r="O2052" t="s">
        <v>19</v>
      </c>
    </row>
    <row r="2053" spans="1:15" x14ac:dyDescent="0.25">
      <c r="A2053" t="s">
        <v>1885</v>
      </c>
      <c r="B2053" t="s">
        <v>15</v>
      </c>
      <c r="C2053" t="s">
        <v>1619</v>
      </c>
      <c r="D2053" t="s">
        <v>17</v>
      </c>
      <c r="E2053" t="s">
        <v>18</v>
      </c>
      <c r="F2053" t="s">
        <v>19</v>
      </c>
      <c r="G2053" t="s">
        <v>20</v>
      </c>
      <c r="J2053" t="s">
        <v>17</v>
      </c>
      <c r="K2053" t="str">
        <f>"29TNBTC525"</f>
        <v>29TNBTC525</v>
      </c>
      <c r="L2053" t="str">
        <f>"29TNBTC525"</f>
        <v>29TNBTC525</v>
      </c>
      <c r="M2053" t="s">
        <v>21</v>
      </c>
      <c r="N2053" s="1">
        <v>43994.853472222225</v>
      </c>
      <c r="O2053" t="s">
        <v>19</v>
      </c>
    </row>
    <row r="2054" spans="1:15" x14ac:dyDescent="0.25">
      <c r="A2054" t="s">
        <v>1886</v>
      </c>
      <c r="B2054" t="s">
        <v>15</v>
      </c>
      <c r="C2054" t="s">
        <v>1619</v>
      </c>
      <c r="D2054" t="s">
        <v>17</v>
      </c>
      <c r="E2054" t="s">
        <v>18</v>
      </c>
      <c r="F2054" t="s">
        <v>19</v>
      </c>
      <c r="G2054" t="s">
        <v>20</v>
      </c>
      <c r="J2054" t="s">
        <v>17</v>
      </c>
      <c r="K2054" t="str">
        <f>"51103918"</f>
        <v>51103918</v>
      </c>
      <c r="L2054" t="str">
        <f>"51103918"</f>
        <v>51103918</v>
      </c>
      <c r="M2054" t="s">
        <v>75</v>
      </c>
      <c r="N2054" s="1">
        <v>42872.839583333334</v>
      </c>
      <c r="O2054" t="s">
        <v>19</v>
      </c>
    </row>
    <row r="2055" spans="1:15" x14ac:dyDescent="0.25">
      <c r="A2055" t="s">
        <v>1887</v>
      </c>
      <c r="B2055" t="s">
        <v>15</v>
      </c>
      <c r="C2055" t="s">
        <v>1613</v>
      </c>
      <c r="D2055" t="s">
        <v>17</v>
      </c>
      <c r="E2055" t="s">
        <v>18</v>
      </c>
      <c r="F2055" t="s">
        <v>19</v>
      </c>
      <c r="G2055" t="s">
        <v>20</v>
      </c>
      <c r="J2055" t="s">
        <v>17</v>
      </c>
      <c r="K2055" t="str">
        <f>"51103921"</f>
        <v>51103921</v>
      </c>
      <c r="L2055" t="str">
        <f>"51103921"</f>
        <v>51103921</v>
      </c>
      <c r="M2055" t="s">
        <v>75</v>
      </c>
      <c r="N2055" s="1">
        <v>42872.839583333334</v>
      </c>
      <c r="O2055" t="s">
        <v>19</v>
      </c>
    </row>
    <row r="2056" spans="1:15" x14ac:dyDescent="0.25">
      <c r="A2056" t="s">
        <v>1888</v>
      </c>
      <c r="B2056" t="s">
        <v>15</v>
      </c>
      <c r="C2056" t="s">
        <v>1619</v>
      </c>
      <c r="D2056" t="s">
        <v>17</v>
      </c>
      <c r="E2056" t="s">
        <v>18</v>
      </c>
      <c r="F2056" t="s">
        <v>19</v>
      </c>
      <c r="G2056" t="s">
        <v>20</v>
      </c>
      <c r="J2056" t="s">
        <v>17</v>
      </c>
      <c r="K2056" t="str">
        <f>"51103917"</f>
        <v>51103917</v>
      </c>
      <c r="L2056" t="str">
        <f>"51103917"</f>
        <v>51103917</v>
      </c>
      <c r="M2056" t="s">
        <v>75</v>
      </c>
      <c r="N2056" s="1">
        <v>42872.839583333334</v>
      </c>
      <c r="O2056" t="s">
        <v>19</v>
      </c>
    </row>
    <row r="2057" spans="1:15" x14ac:dyDescent="0.25">
      <c r="A2057" t="s">
        <v>1889</v>
      </c>
      <c r="B2057" t="s">
        <v>15</v>
      </c>
      <c r="C2057" t="s">
        <v>1619</v>
      </c>
      <c r="D2057" t="s">
        <v>17</v>
      </c>
      <c r="E2057" t="s">
        <v>18</v>
      </c>
      <c r="F2057" t="s">
        <v>19</v>
      </c>
      <c r="G2057" t="s">
        <v>20</v>
      </c>
      <c r="J2057" t="s">
        <v>17</v>
      </c>
      <c r="K2057" t="str">
        <f>"66121401"</f>
        <v>66121401</v>
      </c>
      <c r="L2057" t="str">
        <f>"66121401"</f>
        <v>66121401</v>
      </c>
      <c r="M2057" t="s">
        <v>75</v>
      </c>
      <c r="N2057" s="1">
        <v>42872.847222222219</v>
      </c>
      <c r="O2057" t="s">
        <v>19</v>
      </c>
    </row>
    <row r="2058" spans="1:15" x14ac:dyDescent="0.25">
      <c r="A2058" t="s">
        <v>1890</v>
      </c>
      <c r="B2058" t="s">
        <v>15</v>
      </c>
      <c r="C2058" t="s">
        <v>1619</v>
      </c>
      <c r="D2058" t="s">
        <v>17</v>
      </c>
      <c r="E2058" t="s">
        <v>18</v>
      </c>
      <c r="F2058" t="s">
        <v>19</v>
      </c>
      <c r="G2058" t="s">
        <v>20</v>
      </c>
      <c r="J2058" t="s">
        <v>17</v>
      </c>
      <c r="K2058" t="str">
        <f>"86123608"</f>
        <v>86123608</v>
      </c>
      <c r="L2058" t="str">
        <f>"86123608"</f>
        <v>86123608</v>
      </c>
      <c r="M2058" t="s">
        <v>75</v>
      </c>
      <c r="N2058" s="1">
        <v>42872.847222222219</v>
      </c>
      <c r="O2058" t="s">
        <v>19</v>
      </c>
    </row>
    <row r="2059" spans="1:15" x14ac:dyDescent="0.25">
      <c r="A2059" t="s">
        <v>1891</v>
      </c>
      <c r="B2059" t="s">
        <v>15</v>
      </c>
      <c r="C2059" t="s">
        <v>37</v>
      </c>
      <c r="D2059" t="s">
        <v>17</v>
      </c>
      <c r="E2059" t="s">
        <v>18</v>
      </c>
      <c r="F2059" t="s">
        <v>19</v>
      </c>
      <c r="G2059" t="s">
        <v>20</v>
      </c>
      <c r="J2059" t="s">
        <v>17</v>
      </c>
      <c r="K2059" t="str">
        <f>"10119052"</f>
        <v>10119052</v>
      </c>
      <c r="L2059" t="str">
        <f>"10119052"</f>
        <v>10119052</v>
      </c>
      <c r="M2059" t="s">
        <v>21</v>
      </c>
      <c r="N2059" s="1">
        <v>42872.849305555559</v>
      </c>
      <c r="O2059" t="s">
        <v>19</v>
      </c>
    </row>
    <row r="2060" spans="1:15" x14ac:dyDescent="0.25">
      <c r="A2060" t="s">
        <v>1892</v>
      </c>
      <c r="B2060" t="s">
        <v>15</v>
      </c>
      <c r="C2060" t="s">
        <v>37</v>
      </c>
      <c r="D2060" t="s">
        <v>17</v>
      </c>
      <c r="E2060" t="s">
        <v>18</v>
      </c>
      <c r="F2060" t="s">
        <v>19</v>
      </c>
      <c r="G2060" t="s">
        <v>20</v>
      </c>
      <c r="J2060" t="s">
        <v>17</v>
      </c>
      <c r="K2060" t="str">
        <f>"8819180260218"</f>
        <v>8819180260218</v>
      </c>
      <c r="L2060" t="str">
        <f>"405226021"</f>
        <v>405226021</v>
      </c>
      <c r="M2060" t="s">
        <v>21</v>
      </c>
      <c r="N2060" s="1">
        <v>42872.849305555559</v>
      </c>
      <c r="O2060" t="s">
        <v>19</v>
      </c>
    </row>
    <row r="2061" spans="1:15" x14ac:dyDescent="0.25">
      <c r="A2061" t="s">
        <v>1893</v>
      </c>
      <c r="B2061" t="s">
        <v>15</v>
      </c>
      <c r="C2061" t="s">
        <v>37</v>
      </c>
      <c r="D2061" t="s">
        <v>17</v>
      </c>
      <c r="E2061" t="s">
        <v>18</v>
      </c>
      <c r="F2061" t="s">
        <v>19</v>
      </c>
      <c r="G2061" t="s">
        <v>20</v>
      </c>
      <c r="J2061" t="s">
        <v>17</v>
      </c>
      <c r="K2061" t="str">
        <f>"28522473"</f>
        <v>28522473</v>
      </c>
      <c r="L2061" t="str">
        <f>"28522473"</f>
        <v>28522473</v>
      </c>
      <c r="M2061" t="s">
        <v>84</v>
      </c>
      <c r="N2061" s="1">
        <v>43335.881944444445</v>
      </c>
      <c r="O2061" t="s">
        <v>19</v>
      </c>
    </row>
    <row r="2062" spans="1:15" x14ac:dyDescent="0.25">
      <c r="A2062" t="s">
        <v>1894</v>
      </c>
      <c r="B2062" t="s">
        <v>15</v>
      </c>
      <c r="C2062" t="s">
        <v>37</v>
      </c>
      <c r="D2062" t="s">
        <v>17</v>
      </c>
      <c r="E2062" t="s">
        <v>18</v>
      </c>
      <c r="F2062" t="s">
        <v>19</v>
      </c>
      <c r="G2062" t="s">
        <v>20</v>
      </c>
      <c r="J2062" t="s">
        <v>17</v>
      </c>
      <c r="K2062" t="str">
        <f>"28521884"</f>
        <v>28521884</v>
      </c>
      <c r="L2062" t="str">
        <f>"28521884"</f>
        <v>28521884</v>
      </c>
      <c r="M2062" t="s">
        <v>84</v>
      </c>
      <c r="N2062" s="1">
        <v>43335.882638888892</v>
      </c>
      <c r="O2062" t="s">
        <v>19</v>
      </c>
    </row>
    <row r="2063" spans="1:15" x14ac:dyDescent="0.25">
      <c r="A2063" t="s">
        <v>1895</v>
      </c>
      <c r="B2063" t="s">
        <v>15</v>
      </c>
      <c r="C2063" t="s">
        <v>37</v>
      </c>
      <c r="D2063" t="s">
        <v>17</v>
      </c>
      <c r="E2063" t="s">
        <v>18</v>
      </c>
      <c r="F2063" t="s">
        <v>19</v>
      </c>
      <c r="G2063" t="s">
        <v>20</v>
      </c>
      <c r="J2063" t="s">
        <v>17</v>
      </c>
      <c r="K2063" t="str">
        <f>"7808748509822"</f>
        <v>7808748509822</v>
      </c>
      <c r="L2063" t="str">
        <f>"98520700"</f>
        <v>98520700</v>
      </c>
      <c r="M2063" t="s">
        <v>21</v>
      </c>
      <c r="N2063" s="1">
        <v>43719.671527777777</v>
      </c>
      <c r="O2063" t="s">
        <v>19</v>
      </c>
    </row>
    <row r="2064" spans="1:15" x14ac:dyDescent="0.25">
      <c r="A2064" t="s">
        <v>1896</v>
      </c>
      <c r="B2064" t="s">
        <v>15</v>
      </c>
      <c r="C2064" t="s">
        <v>28</v>
      </c>
      <c r="D2064" t="s">
        <v>17</v>
      </c>
      <c r="E2064" t="s">
        <v>18</v>
      </c>
      <c r="F2064" t="s">
        <v>19</v>
      </c>
      <c r="G2064" t="s">
        <v>20</v>
      </c>
      <c r="J2064" t="s">
        <v>17</v>
      </c>
      <c r="K2064" t="str">
        <f>"4710007728093"</f>
        <v>4710007728093</v>
      </c>
      <c r="L2064" t="str">
        <f>"65138093"</f>
        <v>65138093</v>
      </c>
      <c r="M2064" t="s">
        <v>75</v>
      </c>
      <c r="N2064" s="1">
        <v>43028.943749999999</v>
      </c>
      <c r="O2064" t="s">
        <v>19</v>
      </c>
    </row>
    <row r="2065" spans="1:15" x14ac:dyDescent="0.25">
      <c r="A2065" t="s">
        <v>1897</v>
      </c>
      <c r="B2065" t="s">
        <v>15</v>
      </c>
      <c r="C2065" t="s">
        <v>28</v>
      </c>
      <c r="D2065" t="s">
        <v>17</v>
      </c>
      <c r="E2065" t="s">
        <v>18</v>
      </c>
      <c r="F2065" t="s">
        <v>19</v>
      </c>
      <c r="G2065" t="s">
        <v>20</v>
      </c>
      <c r="J2065" t="s">
        <v>17</v>
      </c>
      <c r="K2065" t="str">
        <f>"4710007736104"</f>
        <v>4710007736104</v>
      </c>
      <c r="L2065" t="str">
        <f>"65136104"</f>
        <v>65136104</v>
      </c>
      <c r="M2065" t="s">
        <v>75</v>
      </c>
      <c r="N2065" s="1">
        <v>43248.862500000003</v>
      </c>
      <c r="O2065" t="s">
        <v>19</v>
      </c>
    </row>
    <row r="2066" spans="1:15" x14ac:dyDescent="0.25">
      <c r="A2066" t="s">
        <v>1898</v>
      </c>
      <c r="B2066" t="s">
        <v>15</v>
      </c>
      <c r="C2066" t="s">
        <v>28</v>
      </c>
      <c r="D2066" t="s">
        <v>17</v>
      </c>
      <c r="E2066" t="s">
        <v>18</v>
      </c>
      <c r="F2066" t="s">
        <v>19</v>
      </c>
      <c r="G2066" t="s">
        <v>20</v>
      </c>
      <c r="J2066" t="s">
        <v>17</v>
      </c>
      <c r="K2066" t="str">
        <f>"4710007736128"</f>
        <v>4710007736128</v>
      </c>
      <c r="L2066" t="str">
        <f>"65136128"</f>
        <v>65136128</v>
      </c>
      <c r="M2066" t="s">
        <v>75</v>
      </c>
      <c r="N2066" s="1">
        <v>43248.862500000003</v>
      </c>
      <c r="O2066" t="s">
        <v>19</v>
      </c>
    </row>
    <row r="2067" spans="1:15" x14ac:dyDescent="0.25">
      <c r="A2067" t="s">
        <v>1899</v>
      </c>
      <c r="B2067" t="s">
        <v>15</v>
      </c>
      <c r="C2067" t="s">
        <v>28</v>
      </c>
      <c r="D2067" t="s">
        <v>17</v>
      </c>
      <c r="E2067" t="s">
        <v>18</v>
      </c>
      <c r="F2067" t="s">
        <v>19</v>
      </c>
      <c r="G2067" t="s">
        <v>20</v>
      </c>
      <c r="J2067" t="s">
        <v>17</v>
      </c>
      <c r="K2067" t="str">
        <f>"4710007736142"</f>
        <v>4710007736142</v>
      </c>
      <c r="L2067" t="str">
        <f>"65136142"</f>
        <v>65136142</v>
      </c>
      <c r="M2067" t="s">
        <v>75</v>
      </c>
      <c r="N2067" s="1">
        <v>43248.863194444442</v>
      </c>
      <c r="O2067" t="s">
        <v>19</v>
      </c>
    </row>
    <row r="2068" spans="1:15" x14ac:dyDescent="0.25">
      <c r="A2068" t="s">
        <v>1900</v>
      </c>
      <c r="B2068" t="s">
        <v>15</v>
      </c>
      <c r="C2068" t="s">
        <v>28</v>
      </c>
      <c r="D2068" t="s">
        <v>17</v>
      </c>
      <c r="E2068" t="s">
        <v>18</v>
      </c>
      <c r="F2068" t="s">
        <v>19</v>
      </c>
      <c r="G2068" t="s">
        <v>20</v>
      </c>
      <c r="J2068" t="s">
        <v>17</v>
      </c>
      <c r="K2068" t="str">
        <f>"4710007724446"</f>
        <v>4710007724446</v>
      </c>
      <c r="L2068" t="str">
        <f>"65134446"</f>
        <v>65134446</v>
      </c>
      <c r="M2068" t="s">
        <v>75</v>
      </c>
      <c r="N2068" s="1">
        <v>43028.948611111111</v>
      </c>
      <c r="O2068" t="s">
        <v>19</v>
      </c>
    </row>
    <row r="2069" spans="1:15" x14ac:dyDescent="0.25">
      <c r="A2069" t="s">
        <v>1901</v>
      </c>
      <c r="B2069" t="s">
        <v>15</v>
      </c>
      <c r="C2069" t="s">
        <v>28</v>
      </c>
      <c r="D2069" t="s">
        <v>17</v>
      </c>
      <c r="E2069" t="s">
        <v>18</v>
      </c>
      <c r="F2069" t="s">
        <v>19</v>
      </c>
      <c r="G2069" t="s">
        <v>20</v>
      </c>
      <c r="J2069" t="s">
        <v>17</v>
      </c>
      <c r="K2069" t="str">
        <f>"6925871618519"</f>
        <v>6925871618519</v>
      </c>
      <c r="L2069" t="str">
        <f>"22131375"</f>
        <v>22131375</v>
      </c>
      <c r="M2069" t="s">
        <v>84</v>
      </c>
      <c r="N2069" s="1">
        <v>43404.743750000001</v>
      </c>
      <c r="O2069" t="s">
        <v>19</v>
      </c>
    </row>
    <row r="2070" spans="1:15" x14ac:dyDescent="0.25">
      <c r="A2070" t="s">
        <v>1902</v>
      </c>
      <c r="B2070" t="s">
        <v>15</v>
      </c>
      <c r="C2070" t="s">
        <v>28</v>
      </c>
      <c r="D2070" t="s">
        <v>17</v>
      </c>
      <c r="E2070" t="s">
        <v>18</v>
      </c>
      <c r="F2070" t="s">
        <v>19</v>
      </c>
      <c r="G2070" t="s">
        <v>20</v>
      </c>
      <c r="J2070" t="s">
        <v>17</v>
      </c>
      <c r="K2070" t="str">
        <f>"848958030256"</f>
        <v>848958030256</v>
      </c>
      <c r="L2070" t="str">
        <f>"55130256"</f>
        <v>55130256</v>
      </c>
      <c r="M2070" t="s">
        <v>75</v>
      </c>
      <c r="N2070" s="1">
        <v>43067.622916666667</v>
      </c>
      <c r="O2070" t="s">
        <v>19</v>
      </c>
    </row>
    <row r="2071" spans="1:15" x14ac:dyDescent="0.25">
      <c r="A2071" t="s">
        <v>1903</v>
      </c>
      <c r="B2071" t="s">
        <v>15</v>
      </c>
      <c r="C2071" t="s">
        <v>28</v>
      </c>
      <c r="D2071" t="s">
        <v>17</v>
      </c>
      <c r="E2071" t="s">
        <v>18</v>
      </c>
      <c r="F2071" t="s">
        <v>19</v>
      </c>
      <c r="G2071" t="s">
        <v>20</v>
      </c>
      <c r="J2071" t="s">
        <v>17</v>
      </c>
      <c r="K2071" t="str">
        <f>"848958032199"</f>
        <v>848958032199</v>
      </c>
      <c r="L2071" t="str">
        <f>"55132199"</f>
        <v>55132199</v>
      </c>
      <c r="M2071" t="s">
        <v>75</v>
      </c>
      <c r="N2071" s="1">
        <v>43067.624305555553</v>
      </c>
      <c r="O2071" t="s">
        <v>19</v>
      </c>
    </row>
    <row r="2072" spans="1:15" x14ac:dyDescent="0.25">
      <c r="A2072" t="s">
        <v>1904</v>
      </c>
      <c r="B2072" t="s">
        <v>15</v>
      </c>
      <c r="C2072" t="s">
        <v>1905</v>
      </c>
      <c r="D2072" t="s">
        <v>17</v>
      </c>
      <c r="E2072" t="s">
        <v>18</v>
      </c>
      <c r="F2072" t="s">
        <v>19</v>
      </c>
      <c r="G2072" t="s">
        <v>20</v>
      </c>
      <c r="J2072" t="s">
        <v>17</v>
      </c>
      <c r="K2072" t="str">
        <f>"51140009"</f>
        <v>51140009</v>
      </c>
      <c r="L2072" t="str">
        <f>"51140009"</f>
        <v>51140009</v>
      </c>
      <c r="M2072" t="s">
        <v>84</v>
      </c>
      <c r="N2072" s="1">
        <v>43348.9</v>
      </c>
      <c r="O2072" t="s">
        <v>19</v>
      </c>
    </row>
    <row r="2073" spans="1:15" x14ac:dyDescent="0.25">
      <c r="A2073" t="s">
        <v>1906</v>
      </c>
      <c r="B2073" t="s">
        <v>15</v>
      </c>
      <c r="C2073" t="s">
        <v>28</v>
      </c>
      <c r="D2073" t="s">
        <v>17</v>
      </c>
      <c r="E2073" t="s">
        <v>18</v>
      </c>
      <c r="F2073" t="s">
        <v>19</v>
      </c>
      <c r="G2073" t="s">
        <v>20</v>
      </c>
      <c r="J2073" t="s">
        <v>17</v>
      </c>
      <c r="K2073" t="str">
        <f>"7809596509224"</f>
        <v>7809596509224</v>
      </c>
      <c r="L2073" t="str">
        <f>"30433111"</f>
        <v>30433111</v>
      </c>
      <c r="M2073" t="s">
        <v>84</v>
      </c>
      <c r="N2073" s="1">
        <v>43313.722916666666</v>
      </c>
      <c r="O2073" t="s">
        <v>19</v>
      </c>
    </row>
    <row r="2074" spans="1:15" x14ac:dyDescent="0.25">
      <c r="A2074" t="s">
        <v>1907</v>
      </c>
      <c r="B2074" t="s">
        <v>15</v>
      </c>
      <c r="C2074" t="s">
        <v>28</v>
      </c>
      <c r="D2074" t="s">
        <v>17</v>
      </c>
      <c r="E2074" t="s">
        <v>18</v>
      </c>
      <c r="F2074" t="s">
        <v>19</v>
      </c>
      <c r="G2074" t="s">
        <v>20</v>
      </c>
      <c r="J2074" t="s">
        <v>17</v>
      </c>
      <c r="K2074" t="str">
        <f>"941305280"</f>
        <v>941305280</v>
      </c>
      <c r="L2074" t="str">
        <f>"941305280"</f>
        <v>941305280</v>
      </c>
      <c r="M2074" t="s">
        <v>75</v>
      </c>
      <c r="N2074" s="1">
        <v>42872.849305555559</v>
      </c>
      <c r="O2074" t="s">
        <v>19</v>
      </c>
    </row>
    <row r="2075" spans="1:15" x14ac:dyDescent="0.25">
      <c r="A2075" t="s">
        <v>1908</v>
      </c>
      <c r="B2075" t="s">
        <v>15</v>
      </c>
      <c r="C2075" t="s">
        <v>28</v>
      </c>
      <c r="D2075" t="s">
        <v>17</v>
      </c>
      <c r="E2075" t="s">
        <v>18</v>
      </c>
      <c r="F2075" t="s">
        <v>19</v>
      </c>
      <c r="G2075" t="s">
        <v>20</v>
      </c>
      <c r="J2075" t="s">
        <v>17</v>
      </c>
      <c r="K2075" t="str">
        <f>"7809596508050"</f>
        <v>7809596508050</v>
      </c>
      <c r="L2075" t="str">
        <f>"721305280"</f>
        <v>721305280</v>
      </c>
      <c r="M2075" t="s">
        <v>75</v>
      </c>
      <c r="N2075" s="1">
        <v>43057.711805555555</v>
      </c>
      <c r="O2075" t="s">
        <v>19</v>
      </c>
    </row>
    <row r="2076" spans="1:15" x14ac:dyDescent="0.25">
      <c r="A2076" t="s">
        <v>1909</v>
      </c>
      <c r="B2076" t="s">
        <v>15</v>
      </c>
      <c r="C2076" t="s">
        <v>28</v>
      </c>
      <c r="D2076" t="s">
        <v>17</v>
      </c>
      <c r="E2076" t="s">
        <v>18</v>
      </c>
      <c r="F2076" t="s">
        <v>19</v>
      </c>
      <c r="G2076" t="s">
        <v>20</v>
      </c>
      <c r="J2076" t="s">
        <v>17</v>
      </c>
      <c r="K2076" t="str">
        <f>"8002017233201"</f>
        <v>8002017233201</v>
      </c>
      <c r="L2076" t="str">
        <f>"18134001"</f>
        <v>18134001</v>
      </c>
      <c r="M2076" t="s">
        <v>84</v>
      </c>
      <c r="N2076" s="1">
        <v>42872.839583333334</v>
      </c>
      <c r="O2076" t="s">
        <v>19</v>
      </c>
    </row>
    <row r="2077" spans="1:15" x14ac:dyDescent="0.25">
      <c r="A2077" t="s">
        <v>1910</v>
      </c>
      <c r="B2077" t="s">
        <v>15</v>
      </c>
      <c r="C2077" t="s">
        <v>28</v>
      </c>
      <c r="D2077" t="s">
        <v>17</v>
      </c>
      <c r="E2077" t="s">
        <v>18</v>
      </c>
      <c r="F2077" t="s">
        <v>19</v>
      </c>
      <c r="G2077" t="s">
        <v>20</v>
      </c>
      <c r="J2077" t="s">
        <v>17</v>
      </c>
      <c r="K2077" t="str">
        <f>"8002017233203"</f>
        <v>8002017233203</v>
      </c>
      <c r="L2077" t="str">
        <f>"18134003"</f>
        <v>18134003</v>
      </c>
      <c r="M2077" t="s">
        <v>75</v>
      </c>
      <c r="N2077" s="1">
        <v>43097.740277777775</v>
      </c>
      <c r="O2077" t="s">
        <v>19</v>
      </c>
    </row>
    <row r="2078" spans="1:15" x14ac:dyDescent="0.25">
      <c r="A2078" t="s">
        <v>1911</v>
      </c>
      <c r="B2078" t="s">
        <v>15</v>
      </c>
      <c r="C2078" t="s">
        <v>28</v>
      </c>
      <c r="D2078" t="s">
        <v>17</v>
      </c>
      <c r="E2078" t="s">
        <v>18</v>
      </c>
      <c r="F2078" t="s">
        <v>19</v>
      </c>
      <c r="G2078" t="s">
        <v>20</v>
      </c>
      <c r="J2078" t="s">
        <v>17</v>
      </c>
      <c r="K2078" t="str">
        <f>"8002017233202"</f>
        <v>8002017233202</v>
      </c>
      <c r="L2078" t="str">
        <f>"18134002"</f>
        <v>18134002</v>
      </c>
      <c r="M2078" t="s">
        <v>75</v>
      </c>
      <c r="N2078" s="1">
        <v>42872.839583333334</v>
      </c>
      <c r="O2078" t="s">
        <v>19</v>
      </c>
    </row>
    <row r="2079" spans="1:15" x14ac:dyDescent="0.25">
      <c r="A2079" t="s">
        <v>1912</v>
      </c>
      <c r="B2079" t="s">
        <v>15</v>
      </c>
      <c r="C2079" t="s">
        <v>28</v>
      </c>
      <c r="D2079" t="s">
        <v>17</v>
      </c>
      <c r="E2079" t="s">
        <v>18</v>
      </c>
      <c r="F2079" t="s">
        <v>19</v>
      </c>
      <c r="G2079" t="s">
        <v>20</v>
      </c>
      <c r="J2079" t="s">
        <v>17</v>
      </c>
      <c r="K2079" t="str">
        <f>"51131035"</f>
        <v>51131035</v>
      </c>
      <c r="L2079" t="str">
        <f>"51131035"</f>
        <v>51131035</v>
      </c>
      <c r="M2079" t="s">
        <v>84</v>
      </c>
      <c r="N2079" s="1">
        <v>43348.900694444441</v>
      </c>
      <c r="O2079" t="s">
        <v>19</v>
      </c>
    </row>
    <row r="2080" spans="1:15" x14ac:dyDescent="0.25">
      <c r="A2080" t="s">
        <v>1913</v>
      </c>
      <c r="B2080" t="s">
        <v>15</v>
      </c>
      <c r="C2080" t="s">
        <v>28</v>
      </c>
      <c r="D2080" t="s">
        <v>17</v>
      </c>
      <c r="E2080" t="s">
        <v>18</v>
      </c>
      <c r="F2080" t="s">
        <v>19</v>
      </c>
      <c r="G2080" t="s">
        <v>20</v>
      </c>
      <c r="J2080" t="s">
        <v>17</v>
      </c>
      <c r="K2080" t="str">
        <f>"8806088808741"</f>
        <v>8806088808741</v>
      </c>
      <c r="L2080" t="str">
        <f>"811314266"</f>
        <v>811314266</v>
      </c>
      <c r="M2080" t="s">
        <v>75</v>
      </c>
      <c r="N2080" s="1">
        <v>43110.935416666667</v>
      </c>
      <c r="O2080" t="s">
        <v>19</v>
      </c>
    </row>
    <row r="2081" spans="1:15" x14ac:dyDescent="0.25">
      <c r="A2081" t="s">
        <v>1914</v>
      </c>
      <c r="B2081" t="s">
        <v>15</v>
      </c>
      <c r="C2081" t="s">
        <v>28</v>
      </c>
      <c r="D2081" t="s">
        <v>17</v>
      </c>
      <c r="E2081" t="s">
        <v>18</v>
      </c>
      <c r="F2081" t="s">
        <v>19</v>
      </c>
      <c r="G2081" t="s">
        <v>20</v>
      </c>
      <c r="J2081" t="s">
        <v>17</v>
      </c>
      <c r="K2081" t="str">
        <f>"181314200"</f>
        <v>181314200</v>
      </c>
      <c r="L2081" t="str">
        <f>"181314200"</f>
        <v>181314200</v>
      </c>
      <c r="M2081" t="s">
        <v>84</v>
      </c>
      <c r="N2081" s="1">
        <v>43350.856249999997</v>
      </c>
      <c r="O2081" t="s">
        <v>19</v>
      </c>
    </row>
    <row r="2082" spans="1:15" x14ac:dyDescent="0.25">
      <c r="A2082" t="s">
        <v>1915</v>
      </c>
      <c r="B2082" t="s">
        <v>15</v>
      </c>
      <c r="C2082" t="s">
        <v>1905</v>
      </c>
      <c r="D2082" t="s">
        <v>17</v>
      </c>
      <c r="E2082" t="s">
        <v>18</v>
      </c>
      <c r="F2082" t="s">
        <v>19</v>
      </c>
      <c r="G2082" t="s">
        <v>20</v>
      </c>
      <c r="J2082" t="s">
        <v>18</v>
      </c>
      <c r="K2082" t="str">
        <f>"52521414"</f>
        <v>52521414</v>
      </c>
      <c r="L2082" t="str">
        <f>"52521414"</f>
        <v>52521414</v>
      </c>
      <c r="M2082" t="s">
        <v>21</v>
      </c>
      <c r="N2082" s="1">
        <v>43788.771527777775</v>
      </c>
      <c r="O2082" t="s">
        <v>19</v>
      </c>
    </row>
    <row r="2083" spans="1:15" x14ac:dyDescent="0.25">
      <c r="A2083" t="s">
        <v>1916</v>
      </c>
      <c r="B2083" t="s">
        <v>15</v>
      </c>
      <c r="C2083" t="s">
        <v>28</v>
      </c>
      <c r="D2083" t="s">
        <v>17</v>
      </c>
      <c r="E2083" t="s">
        <v>18</v>
      </c>
      <c r="F2083" t="s">
        <v>19</v>
      </c>
      <c r="G2083" t="s">
        <v>20</v>
      </c>
      <c r="J2083" t="s">
        <v>17</v>
      </c>
      <c r="K2083" t="str">
        <f>"4710007745991"</f>
        <v>4710007745991</v>
      </c>
      <c r="L2083" t="str">
        <f>"65135991"</f>
        <v>65135991</v>
      </c>
      <c r="M2083" t="s">
        <v>21</v>
      </c>
      <c r="N2083" s="1">
        <v>43808.851388888892</v>
      </c>
      <c r="O2083" t="s">
        <v>19</v>
      </c>
    </row>
    <row r="2084" spans="1:15" x14ac:dyDescent="0.25">
      <c r="A2084" t="s">
        <v>1917</v>
      </c>
      <c r="B2084" t="s">
        <v>15</v>
      </c>
      <c r="C2084" t="s">
        <v>28</v>
      </c>
      <c r="D2084" t="s">
        <v>17</v>
      </c>
      <c r="E2084" t="s">
        <v>18</v>
      </c>
      <c r="F2084" t="s">
        <v>19</v>
      </c>
      <c r="G2084" t="s">
        <v>20</v>
      </c>
      <c r="J2084" t="s">
        <v>17</v>
      </c>
      <c r="K2084" t="str">
        <f>"4710007745984"</f>
        <v>4710007745984</v>
      </c>
      <c r="L2084" t="str">
        <f>"65135984"</f>
        <v>65135984</v>
      </c>
      <c r="M2084" t="s">
        <v>21</v>
      </c>
      <c r="N2084" s="1">
        <v>43808.847222222219</v>
      </c>
      <c r="O2084" t="s">
        <v>19</v>
      </c>
    </row>
    <row r="2085" spans="1:15" x14ac:dyDescent="0.25">
      <c r="A2085" t="s">
        <v>1918</v>
      </c>
      <c r="B2085" t="s">
        <v>15</v>
      </c>
      <c r="C2085" t="s">
        <v>28</v>
      </c>
      <c r="D2085" t="s">
        <v>17</v>
      </c>
      <c r="E2085" t="s">
        <v>18</v>
      </c>
      <c r="F2085" t="s">
        <v>19</v>
      </c>
      <c r="G2085" t="s">
        <v>20</v>
      </c>
      <c r="J2085" t="s">
        <v>17</v>
      </c>
      <c r="K2085" t="str">
        <f>"4710007746325"</f>
        <v>4710007746325</v>
      </c>
      <c r="L2085" t="str">
        <f>"65130016"</f>
        <v>65130016</v>
      </c>
      <c r="M2085" t="s">
        <v>21</v>
      </c>
      <c r="N2085" s="1">
        <v>43810.686805555553</v>
      </c>
      <c r="O2085" t="s">
        <v>19</v>
      </c>
    </row>
    <row r="2086" spans="1:15" x14ac:dyDescent="0.25">
      <c r="A2086" t="s">
        <v>1919</v>
      </c>
      <c r="B2086" t="s">
        <v>15</v>
      </c>
      <c r="C2086" t="s">
        <v>28</v>
      </c>
      <c r="D2086" t="s">
        <v>17</v>
      </c>
      <c r="E2086" t="s">
        <v>18</v>
      </c>
      <c r="F2086" t="s">
        <v>19</v>
      </c>
      <c r="G2086" t="s">
        <v>20</v>
      </c>
      <c r="J2086" t="s">
        <v>17</v>
      </c>
      <c r="K2086" t="str">
        <f>"4710007746318"</f>
        <v>4710007746318</v>
      </c>
      <c r="L2086" t="str">
        <f>"65131600"</f>
        <v>65131600</v>
      </c>
      <c r="M2086" t="s">
        <v>21</v>
      </c>
      <c r="N2086" s="1">
        <v>43851.838888888888</v>
      </c>
      <c r="O2086" t="s">
        <v>19</v>
      </c>
    </row>
    <row r="2087" spans="1:15" x14ac:dyDescent="0.25">
      <c r="A2087" t="s">
        <v>1920</v>
      </c>
      <c r="B2087" t="s">
        <v>15</v>
      </c>
      <c r="C2087" t="s">
        <v>28</v>
      </c>
      <c r="D2087" t="s">
        <v>17</v>
      </c>
      <c r="E2087" t="s">
        <v>18</v>
      </c>
      <c r="F2087" t="s">
        <v>19</v>
      </c>
      <c r="G2087" t="s">
        <v>20</v>
      </c>
      <c r="J2087" t="s">
        <v>17</v>
      </c>
      <c r="K2087" t="str">
        <f>"4710007747209"</f>
        <v>4710007747209</v>
      </c>
      <c r="L2087" t="str">
        <f>"65130018"</f>
        <v>65130018</v>
      </c>
      <c r="M2087" t="s">
        <v>21</v>
      </c>
      <c r="N2087" s="1">
        <v>43809.642361111109</v>
      </c>
      <c r="O2087" t="s">
        <v>19</v>
      </c>
    </row>
    <row r="2088" spans="1:15" x14ac:dyDescent="0.25">
      <c r="A2088" t="s">
        <v>1921</v>
      </c>
      <c r="B2088" t="s">
        <v>15</v>
      </c>
      <c r="C2088" t="s">
        <v>28</v>
      </c>
      <c r="D2088" t="s">
        <v>17</v>
      </c>
      <c r="E2088" t="s">
        <v>18</v>
      </c>
      <c r="F2088" t="s">
        <v>19</v>
      </c>
      <c r="G2088" t="s">
        <v>20</v>
      </c>
      <c r="J2088" t="s">
        <v>17</v>
      </c>
      <c r="K2088" t="str">
        <f>"9359000828"</f>
        <v>9359000828</v>
      </c>
      <c r="L2088" t="str">
        <f>"98139359"</f>
        <v>98139359</v>
      </c>
      <c r="M2088" t="s">
        <v>84</v>
      </c>
      <c r="N2088" s="1">
        <v>43495.845138888886</v>
      </c>
      <c r="O2088" t="s">
        <v>19</v>
      </c>
    </row>
    <row r="2089" spans="1:15" x14ac:dyDescent="0.25">
      <c r="A2089" t="s">
        <v>1922</v>
      </c>
      <c r="B2089" t="s">
        <v>15</v>
      </c>
      <c r="C2089" t="s">
        <v>28</v>
      </c>
      <c r="D2089" t="s">
        <v>17</v>
      </c>
      <c r="E2089" t="s">
        <v>18</v>
      </c>
      <c r="F2089" t="s">
        <v>19</v>
      </c>
      <c r="G2089" t="s">
        <v>20</v>
      </c>
      <c r="J2089" t="s">
        <v>17</v>
      </c>
      <c r="K2089" t="str">
        <f>"6927900073221"</f>
        <v>6927900073221</v>
      </c>
      <c r="L2089" t="str">
        <f>"91137322"</f>
        <v>91137322</v>
      </c>
      <c r="M2089" t="s">
        <v>75</v>
      </c>
      <c r="N2089" s="1">
        <v>43166.68472222222</v>
      </c>
      <c r="O2089" t="s">
        <v>19</v>
      </c>
    </row>
    <row r="2090" spans="1:15" x14ac:dyDescent="0.25">
      <c r="A2090" t="s">
        <v>1923</v>
      </c>
      <c r="B2090" t="s">
        <v>15</v>
      </c>
      <c r="C2090" t="s">
        <v>28</v>
      </c>
      <c r="D2090" t="s">
        <v>17</v>
      </c>
      <c r="E2090" t="s">
        <v>18</v>
      </c>
      <c r="F2090" t="s">
        <v>19</v>
      </c>
      <c r="G2090" t="s">
        <v>20</v>
      </c>
      <c r="J2090" t="s">
        <v>17</v>
      </c>
      <c r="K2090" t="str">
        <f>"6927900073238"</f>
        <v>6927900073238</v>
      </c>
      <c r="L2090" t="str">
        <f>"91137323"</f>
        <v>91137323</v>
      </c>
      <c r="M2090" t="s">
        <v>75</v>
      </c>
      <c r="N2090" s="1">
        <v>43166.686111111114</v>
      </c>
      <c r="O2090" t="s">
        <v>19</v>
      </c>
    </row>
    <row r="2091" spans="1:15" x14ac:dyDescent="0.25">
      <c r="A2091" t="s">
        <v>1924</v>
      </c>
      <c r="B2091" t="s">
        <v>15</v>
      </c>
      <c r="C2091" t="s">
        <v>35</v>
      </c>
      <c r="D2091" t="s">
        <v>17</v>
      </c>
      <c r="E2091" t="s">
        <v>18</v>
      </c>
      <c r="F2091" t="s">
        <v>19</v>
      </c>
      <c r="G2091" t="s">
        <v>20</v>
      </c>
      <c r="J2091" t="s">
        <v>17</v>
      </c>
      <c r="K2091" t="str">
        <f>"110101977"</f>
        <v>110101977</v>
      </c>
      <c r="L2091" t="str">
        <f>"110101977"</f>
        <v>110101977</v>
      </c>
      <c r="M2091" t="s">
        <v>75</v>
      </c>
      <c r="N2091" s="1">
        <v>42872.847222222219</v>
      </c>
      <c r="O2091" t="s">
        <v>19</v>
      </c>
    </row>
    <row r="2092" spans="1:15" x14ac:dyDescent="0.25">
      <c r="A2092" t="s">
        <v>1925</v>
      </c>
      <c r="B2092" t="s">
        <v>15</v>
      </c>
      <c r="C2092" t="s">
        <v>1926</v>
      </c>
      <c r="D2092" t="s">
        <v>17</v>
      </c>
      <c r="E2092" t="s">
        <v>18</v>
      </c>
      <c r="F2092" t="s">
        <v>19</v>
      </c>
      <c r="G2092" t="s">
        <v>20</v>
      </c>
      <c r="J2092" t="s">
        <v>17</v>
      </c>
      <c r="K2092" t="str">
        <f>"62150300"</f>
        <v>62150300</v>
      </c>
      <c r="L2092" t="str">
        <f>"62150300"</f>
        <v>62150300</v>
      </c>
      <c r="M2092" t="s">
        <v>75</v>
      </c>
      <c r="N2092" s="1">
        <v>42872.839583333334</v>
      </c>
      <c r="O2092" t="s">
        <v>19</v>
      </c>
    </row>
    <row r="2093" spans="1:15" x14ac:dyDescent="0.25">
      <c r="A2093" t="s">
        <v>1927</v>
      </c>
      <c r="B2093" t="s">
        <v>15</v>
      </c>
      <c r="C2093" t="s">
        <v>1926</v>
      </c>
      <c r="D2093" t="s">
        <v>17</v>
      </c>
      <c r="E2093" t="s">
        <v>18</v>
      </c>
      <c r="F2093" t="s">
        <v>19</v>
      </c>
      <c r="G2093" t="s">
        <v>20</v>
      </c>
      <c r="J2093" t="s">
        <v>17</v>
      </c>
      <c r="K2093" t="str">
        <f>"76002030"</f>
        <v>76002030</v>
      </c>
      <c r="L2093" t="str">
        <f>"76002030"</f>
        <v>76002030</v>
      </c>
      <c r="M2093" t="s">
        <v>75</v>
      </c>
      <c r="N2093" s="1">
        <v>42926.977777777778</v>
      </c>
      <c r="O2093" t="s">
        <v>19</v>
      </c>
    </row>
    <row r="2094" spans="1:15" x14ac:dyDescent="0.25">
      <c r="A2094" t="s">
        <v>1928</v>
      </c>
      <c r="B2094" t="s">
        <v>15</v>
      </c>
      <c r="C2094" t="s">
        <v>1926</v>
      </c>
      <c r="D2094" t="s">
        <v>17</v>
      </c>
      <c r="E2094" t="s">
        <v>18</v>
      </c>
      <c r="F2094" t="s">
        <v>19</v>
      </c>
      <c r="G2094" t="s">
        <v>20</v>
      </c>
      <c r="J2094" t="s">
        <v>17</v>
      </c>
      <c r="K2094" t="str">
        <f>"38002030"</f>
        <v>38002030</v>
      </c>
      <c r="L2094" t="str">
        <f>"38002030"</f>
        <v>38002030</v>
      </c>
      <c r="M2094" t="s">
        <v>75</v>
      </c>
      <c r="N2094" s="1">
        <v>42872.839583333334</v>
      </c>
      <c r="O2094" t="s">
        <v>19</v>
      </c>
    </row>
    <row r="2095" spans="1:15" x14ac:dyDescent="0.25">
      <c r="A2095" t="s">
        <v>1929</v>
      </c>
      <c r="B2095" t="s">
        <v>15</v>
      </c>
      <c r="C2095" t="s">
        <v>1926</v>
      </c>
      <c r="D2095" t="s">
        <v>17</v>
      </c>
      <c r="E2095" t="s">
        <v>18</v>
      </c>
      <c r="F2095" t="s">
        <v>19</v>
      </c>
      <c r="G2095" t="s">
        <v>20</v>
      </c>
      <c r="J2095" t="s">
        <v>17</v>
      </c>
      <c r="K2095" t="str">
        <f>"34343434"</f>
        <v>34343434</v>
      </c>
      <c r="L2095" t="str">
        <f>"34343434"</f>
        <v>34343434</v>
      </c>
      <c r="M2095" t="s">
        <v>75</v>
      </c>
      <c r="N2095" s="1">
        <v>42872.839583333334</v>
      </c>
      <c r="O2095" t="s">
        <v>19</v>
      </c>
    </row>
    <row r="2096" spans="1:15" x14ac:dyDescent="0.25">
      <c r="A2096" t="s">
        <v>1930</v>
      </c>
      <c r="B2096" t="s">
        <v>15</v>
      </c>
      <c r="C2096" t="s">
        <v>164</v>
      </c>
      <c r="D2096" t="s">
        <v>17</v>
      </c>
      <c r="E2096" t="s">
        <v>18</v>
      </c>
      <c r="F2096" t="s">
        <v>19</v>
      </c>
      <c r="G2096" t="s">
        <v>20</v>
      </c>
      <c r="J2096" t="s">
        <v>17</v>
      </c>
      <c r="K2096" t="str">
        <f>"7805080100021"</f>
        <v>7805080100021</v>
      </c>
      <c r="L2096" t="str">
        <f>"47880021"</f>
        <v>47880021</v>
      </c>
      <c r="M2096" t="s">
        <v>21</v>
      </c>
      <c r="N2096" s="1">
        <v>44285.732638888891</v>
      </c>
      <c r="O2096" t="s">
        <v>19</v>
      </c>
    </row>
    <row r="2097" spans="1:15" x14ac:dyDescent="0.25">
      <c r="A2097" t="s">
        <v>1931</v>
      </c>
      <c r="B2097" t="s">
        <v>15</v>
      </c>
      <c r="C2097" t="s">
        <v>164</v>
      </c>
      <c r="D2097" t="s">
        <v>17</v>
      </c>
      <c r="E2097" t="s">
        <v>18</v>
      </c>
      <c r="F2097" t="s">
        <v>19</v>
      </c>
      <c r="G2097" t="s">
        <v>20</v>
      </c>
      <c r="J2097" t="s">
        <v>17</v>
      </c>
      <c r="K2097" t="str">
        <f>"7805020001913"</f>
        <v>7805020001913</v>
      </c>
      <c r="L2097" t="str">
        <f>"47881913"</f>
        <v>47881913</v>
      </c>
      <c r="M2097" t="s">
        <v>21</v>
      </c>
      <c r="N2097" s="1">
        <v>42872.839583333334</v>
      </c>
      <c r="O2097" t="s">
        <v>19</v>
      </c>
    </row>
    <row r="2098" spans="1:15" x14ac:dyDescent="0.25">
      <c r="A2098" t="s">
        <v>1932</v>
      </c>
      <c r="B2098" t="s">
        <v>15</v>
      </c>
      <c r="C2098" t="s">
        <v>37</v>
      </c>
      <c r="D2098" t="s">
        <v>17</v>
      </c>
      <c r="E2098" t="s">
        <v>18</v>
      </c>
      <c r="F2098" t="s">
        <v>19</v>
      </c>
      <c r="G2098" t="s">
        <v>20</v>
      </c>
      <c r="J2098" t="s">
        <v>17</v>
      </c>
      <c r="K2098" t="str">
        <f>"5620000931323"</f>
        <v>5620000931323</v>
      </c>
      <c r="L2098" t="str">
        <f>"285293132"</f>
        <v>285293132</v>
      </c>
      <c r="M2098" t="s">
        <v>84</v>
      </c>
      <c r="N2098" s="1">
        <v>43266.963194444441</v>
      </c>
      <c r="O2098" t="s">
        <v>19</v>
      </c>
    </row>
    <row r="2099" spans="1:15" x14ac:dyDescent="0.25">
      <c r="A2099" t="s">
        <v>1933</v>
      </c>
      <c r="B2099" t="s">
        <v>15</v>
      </c>
      <c r="C2099" t="s">
        <v>37</v>
      </c>
      <c r="D2099" t="s">
        <v>17</v>
      </c>
      <c r="E2099" t="s">
        <v>18</v>
      </c>
      <c r="F2099" t="s">
        <v>19</v>
      </c>
      <c r="G2099" t="s">
        <v>20</v>
      </c>
      <c r="J2099" t="s">
        <v>17</v>
      </c>
      <c r="K2099" t="str">
        <f>"5620000931491"</f>
        <v>5620000931491</v>
      </c>
      <c r="L2099" t="str">
        <f>"285293149"</f>
        <v>285293149</v>
      </c>
      <c r="M2099" t="s">
        <v>84</v>
      </c>
      <c r="N2099" s="1">
        <v>43335.902777777781</v>
      </c>
      <c r="O2099" t="s">
        <v>19</v>
      </c>
    </row>
    <row r="2100" spans="1:15" x14ac:dyDescent="0.25">
      <c r="A2100" t="s">
        <v>1934</v>
      </c>
      <c r="B2100" t="s">
        <v>15</v>
      </c>
      <c r="C2100" t="s">
        <v>37</v>
      </c>
      <c r="D2100" t="s">
        <v>17</v>
      </c>
      <c r="E2100" t="s">
        <v>18</v>
      </c>
      <c r="F2100" t="s">
        <v>19</v>
      </c>
      <c r="G2100" t="s">
        <v>20</v>
      </c>
      <c r="J2100" t="s">
        <v>17</v>
      </c>
      <c r="K2100" t="str">
        <f>"29HDD25120"</f>
        <v>29HDD25120</v>
      </c>
      <c r="L2100" t="str">
        <f>"29HDD25120"</f>
        <v>29HDD25120</v>
      </c>
      <c r="M2100" t="s">
        <v>21</v>
      </c>
      <c r="N2100" s="1">
        <v>43994.874305555553</v>
      </c>
      <c r="O2100" t="s">
        <v>19</v>
      </c>
    </row>
    <row r="2101" spans="1:15" x14ac:dyDescent="0.25">
      <c r="A2101" t="s">
        <v>1935</v>
      </c>
      <c r="B2101" t="s">
        <v>15</v>
      </c>
      <c r="C2101" t="s">
        <v>37</v>
      </c>
      <c r="D2101" t="s">
        <v>17</v>
      </c>
      <c r="E2101" t="s">
        <v>18</v>
      </c>
      <c r="F2101" t="s">
        <v>19</v>
      </c>
      <c r="G2101" t="s">
        <v>20</v>
      </c>
      <c r="J2101" t="s">
        <v>17</v>
      </c>
      <c r="K2101" t="str">
        <f>"4534568324682"</f>
        <v>4534568324682</v>
      </c>
      <c r="L2101" t="str">
        <f>"29HDD00100"</f>
        <v>29HDD00100</v>
      </c>
      <c r="M2101" t="s">
        <v>21</v>
      </c>
      <c r="N2101" s="1">
        <v>43994.873611111114</v>
      </c>
      <c r="O2101" t="s">
        <v>19</v>
      </c>
    </row>
    <row r="2102" spans="1:15" x14ac:dyDescent="0.25">
      <c r="A2102" t="s">
        <v>1936</v>
      </c>
      <c r="B2102" t="s">
        <v>15</v>
      </c>
      <c r="C2102" t="s">
        <v>64</v>
      </c>
      <c r="D2102" t="s">
        <v>17</v>
      </c>
      <c r="E2102" t="s">
        <v>18</v>
      </c>
      <c r="F2102" t="s">
        <v>19</v>
      </c>
      <c r="G2102" t="s">
        <v>20</v>
      </c>
      <c r="J2102" t="s">
        <v>17</v>
      </c>
      <c r="K2102" t="str">
        <f>"7168229227400"</f>
        <v>7168229227400</v>
      </c>
      <c r="L2102" t="str">
        <f>"29HDDCAS40"</f>
        <v>29HDDCAS40</v>
      </c>
      <c r="M2102" t="s">
        <v>21</v>
      </c>
      <c r="N2102" s="1">
        <v>44265.896527777775</v>
      </c>
      <c r="O2102" t="s">
        <v>19</v>
      </c>
    </row>
    <row r="2103" spans="1:15" x14ac:dyDescent="0.25">
      <c r="A2103" t="s">
        <v>1937</v>
      </c>
      <c r="B2103" t="s">
        <v>15</v>
      </c>
      <c r="C2103" t="s">
        <v>64</v>
      </c>
      <c r="D2103" t="s">
        <v>17</v>
      </c>
      <c r="E2103" t="s">
        <v>18</v>
      </c>
      <c r="F2103" t="s">
        <v>19</v>
      </c>
      <c r="G2103" t="s">
        <v>20</v>
      </c>
      <c r="J2103" t="s">
        <v>17</v>
      </c>
      <c r="K2103" t="str">
        <f>"7268229227803"</f>
        <v>7268229227803</v>
      </c>
      <c r="L2103" t="str">
        <f>"29HDDCAS80"</f>
        <v>29HDDCAS80</v>
      </c>
      <c r="M2103" t="s">
        <v>21</v>
      </c>
      <c r="N2103" s="1">
        <v>44265.897222222222</v>
      </c>
      <c r="O2103" t="s">
        <v>19</v>
      </c>
    </row>
    <row r="2104" spans="1:15" x14ac:dyDescent="0.25">
      <c r="A2104" t="s">
        <v>1938</v>
      </c>
      <c r="B2104" t="s">
        <v>15</v>
      </c>
      <c r="C2104" t="s">
        <v>37</v>
      </c>
      <c r="D2104" t="s">
        <v>17</v>
      </c>
      <c r="E2104" t="s">
        <v>18</v>
      </c>
      <c r="F2104" t="s">
        <v>19</v>
      </c>
      <c r="G2104" t="s">
        <v>20</v>
      </c>
      <c r="J2104" t="s">
        <v>17</v>
      </c>
      <c r="K2104" t="str">
        <f>"10003928"</f>
        <v>10003928</v>
      </c>
      <c r="L2104" t="str">
        <f>"10003928"</f>
        <v>10003928</v>
      </c>
      <c r="M2104" t="s">
        <v>21</v>
      </c>
      <c r="N2104" s="1">
        <v>43610.945138888892</v>
      </c>
      <c r="O2104" t="s">
        <v>19</v>
      </c>
    </row>
    <row r="2105" spans="1:15" x14ac:dyDescent="0.25">
      <c r="A2105" t="s">
        <v>1939</v>
      </c>
      <c r="B2105" t="s">
        <v>15</v>
      </c>
      <c r="C2105" t="s">
        <v>64</v>
      </c>
      <c r="D2105" t="s">
        <v>17</v>
      </c>
      <c r="E2105" t="s">
        <v>18</v>
      </c>
      <c r="F2105" t="s">
        <v>19</v>
      </c>
      <c r="G2105" t="s">
        <v>20</v>
      </c>
      <c r="J2105" t="s">
        <v>17</v>
      </c>
      <c r="K2105" t="str">
        <f>"4260275511489"</f>
        <v>4260275511489</v>
      </c>
      <c r="L2105" t="str">
        <f>"40526027"</f>
        <v>40526027</v>
      </c>
      <c r="M2105" t="s">
        <v>21</v>
      </c>
      <c r="N2105" s="1">
        <v>42872.839583333334</v>
      </c>
      <c r="O2105" t="s">
        <v>19</v>
      </c>
    </row>
    <row r="2106" spans="1:15" x14ac:dyDescent="0.25">
      <c r="A2106" t="s">
        <v>1940</v>
      </c>
      <c r="B2106" t="s">
        <v>15</v>
      </c>
      <c r="C2106" t="s">
        <v>37</v>
      </c>
      <c r="D2106" t="s">
        <v>17</v>
      </c>
      <c r="E2106" t="s">
        <v>18</v>
      </c>
      <c r="F2106" t="s">
        <v>19</v>
      </c>
      <c r="G2106" t="s">
        <v>20</v>
      </c>
      <c r="J2106" t="s">
        <v>17</v>
      </c>
      <c r="K2106" t="str">
        <f>"10015156"</f>
        <v>10015156</v>
      </c>
      <c r="L2106" t="str">
        <f>"10015156"</f>
        <v>10015156</v>
      </c>
      <c r="M2106" t="s">
        <v>75</v>
      </c>
      <c r="N2106" s="1">
        <v>42872.839583333334</v>
      </c>
      <c r="O2106" t="s">
        <v>19</v>
      </c>
    </row>
    <row r="2107" spans="1:15" x14ac:dyDescent="0.25">
      <c r="A2107" t="s">
        <v>1941</v>
      </c>
      <c r="B2107" t="s">
        <v>15</v>
      </c>
      <c r="C2107" t="s">
        <v>23</v>
      </c>
      <c r="D2107" t="s">
        <v>17</v>
      </c>
      <c r="E2107" t="s">
        <v>18</v>
      </c>
      <c r="F2107" t="s">
        <v>19</v>
      </c>
      <c r="G2107" t="s">
        <v>20</v>
      </c>
      <c r="J2107" t="s">
        <v>17</v>
      </c>
      <c r="K2107" t="str">
        <f>"11003470"</f>
        <v>11003470</v>
      </c>
      <c r="L2107" t="str">
        <f>"11003470"</f>
        <v>11003470</v>
      </c>
      <c r="M2107" t="s">
        <v>75</v>
      </c>
      <c r="N2107" s="1">
        <v>42872.839583333334</v>
      </c>
      <c r="O2107" t="s">
        <v>19</v>
      </c>
    </row>
    <row r="2108" spans="1:15" x14ac:dyDescent="0.25">
      <c r="A2108" t="s">
        <v>1942</v>
      </c>
      <c r="B2108" t="s">
        <v>15</v>
      </c>
      <c r="C2108" t="s">
        <v>23</v>
      </c>
      <c r="D2108" t="s">
        <v>17</v>
      </c>
      <c r="E2108" t="s">
        <v>18</v>
      </c>
      <c r="F2108" t="s">
        <v>19</v>
      </c>
      <c r="G2108" t="s">
        <v>20</v>
      </c>
      <c r="J2108" t="s">
        <v>17</v>
      </c>
      <c r="K2108" t="str">
        <f>"11003472"</f>
        <v>11003472</v>
      </c>
      <c r="L2108" t="str">
        <f>"11003472"</f>
        <v>11003472</v>
      </c>
      <c r="M2108" t="s">
        <v>75</v>
      </c>
      <c r="N2108" s="1">
        <v>42872.839583333334</v>
      </c>
      <c r="O2108" t="s">
        <v>19</v>
      </c>
    </row>
    <row r="2109" spans="1:15" x14ac:dyDescent="0.25">
      <c r="A2109" t="s">
        <v>1943</v>
      </c>
      <c r="B2109" t="s">
        <v>15</v>
      </c>
      <c r="C2109" t="s">
        <v>35</v>
      </c>
      <c r="D2109" t="s">
        <v>17</v>
      </c>
      <c r="E2109" t="s">
        <v>18</v>
      </c>
      <c r="F2109" t="s">
        <v>19</v>
      </c>
      <c r="G2109" t="s">
        <v>20</v>
      </c>
      <c r="J2109" t="s">
        <v>17</v>
      </c>
      <c r="K2109" t="str">
        <f>"110103190"</f>
        <v>110103190</v>
      </c>
      <c r="L2109" t="str">
        <f>"110103190"</f>
        <v>110103190</v>
      </c>
      <c r="M2109" t="s">
        <v>75</v>
      </c>
      <c r="N2109" s="1">
        <v>42872.847222222219</v>
      </c>
      <c r="O2109" t="s">
        <v>19</v>
      </c>
    </row>
    <row r="2110" spans="1:15" x14ac:dyDescent="0.25">
      <c r="A2110" t="s">
        <v>1944</v>
      </c>
      <c r="B2110" t="s">
        <v>15</v>
      </c>
      <c r="C2110" t="s">
        <v>987</v>
      </c>
      <c r="D2110" t="s">
        <v>17</v>
      </c>
      <c r="E2110" t="s">
        <v>18</v>
      </c>
      <c r="F2110" t="s">
        <v>19</v>
      </c>
      <c r="G2110" t="s">
        <v>20</v>
      </c>
      <c r="J2110" t="s">
        <v>18</v>
      </c>
      <c r="K2110" t="str">
        <f>"6925871696272"</f>
        <v>6925871696272</v>
      </c>
      <c r="L2110" t="str">
        <f>"22289627"</f>
        <v>22289627</v>
      </c>
      <c r="M2110" t="s">
        <v>21</v>
      </c>
      <c r="N2110" s="1">
        <v>44047.695138888892</v>
      </c>
      <c r="O2110" t="s">
        <v>19</v>
      </c>
    </row>
    <row r="2111" spans="1:15" x14ac:dyDescent="0.25">
      <c r="A2111" t="s">
        <v>1945</v>
      </c>
      <c r="B2111" t="s">
        <v>15</v>
      </c>
      <c r="C2111" t="s">
        <v>217</v>
      </c>
      <c r="D2111" t="s">
        <v>17</v>
      </c>
      <c r="E2111" t="s">
        <v>18</v>
      </c>
      <c r="F2111" t="s">
        <v>19</v>
      </c>
      <c r="G2111" t="s">
        <v>20</v>
      </c>
      <c r="J2111" t="s">
        <v>17</v>
      </c>
      <c r="K2111" t="str">
        <f>"7858816080005"</f>
        <v>7858816080005</v>
      </c>
      <c r="L2111" t="str">
        <f>"87528000"</f>
        <v>87528000</v>
      </c>
      <c r="M2111" t="s">
        <v>21</v>
      </c>
      <c r="N2111" s="1">
        <v>44404.738888888889</v>
      </c>
      <c r="O2111" t="s">
        <v>19</v>
      </c>
    </row>
    <row r="2112" spans="1:15" x14ac:dyDescent="0.25">
      <c r="A2112" t="s">
        <v>1946</v>
      </c>
      <c r="B2112" t="s">
        <v>15</v>
      </c>
      <c r="C2112" t="s">
        <v>35</v>
      </c>
      <c r="D2112" t="s">
        <v>17</v>
      </c>
      <c r="E2112" t="s">
        <v>18</v>
      </c>
      <c r="F2112" t="s">
        <v>19</v>
      </c>
      <c r="G2112" t="s">
        <v>20</v>
      </c>
      <c r="J2112" t="s">
        <v>17</v>
      </c>
      <c r="K2112" t="str">
        <f>"10003294"</f>
        <v>10003294</v>
      </c>
      <c r="L2112" t="str">
        <f>"10003294"</f>
        <v>10003294</v>
      </c>
      <c r="M2112" t="s">
        <v>75</v>
      </c>
      <c r="N2112" s="1">
        <v>42872.839583333334</v>
      </c>
      <c r="O2112" t="s">
        <v>19</v>
      </c>
    </row>
    <row r="2113" spans="1:15" x14ac:dyDescent="0.25">
      <c r="A2113" t="s">
        <v>1947</v>
      </c>
      <c r="B2113" t="s">
        <v>15</v>
      </c>
      <c r="C2113" t="s">
        <v>37</v>
      </c>
      <c r="D2113" t="s">
        <v>17</v>
      </c>
      <c r="E2113" t="s">
        <v>18</v>
      </c>
      <c r="F2113" t="s">
        <v>19</v>
      </c>
      <c r="G2113" t="s">
        <v>20</v>
      </c>
      <c r="J2113" t="s">
        <v>17</v>
      </c>
      <c r="K2113" t="str">
        <f>"6686996002477"</f>
        <v>6686996002477</v>
      </c>
      <c r="L2113" t="str">
        <f>"40522477"</f>
        <v>40522477</v>
      </c>
      <c r="M2113" t="s">
        <v>21</v>
      </c>
      <c r="N2113" s="1">
        <v>44435.663888888892</v>
      </c>
      <c r="O2113" t="s">
        <v>19</v>
      </c>
    </row>
    <row r="2114" spans="1:15" x14ac:dyDescent="0.25">
      <c r="A2114" t="s">
        <v>1948</v>
      </c>
      <c r="B2114" t="s">
        <v>15</v>
      </c>
      <c r="C2114" t="s">
        <v>35</v>
      </c>
      <c r="D2114" t="s">
        <v>17</v>
      </c>
      <c r="E2114" t="s">
        <v>18</v>
      </c>
      <c r="F2114" t="s">
        <v>19</v>
      </c>
      <c r="G2114" t="s">
        <v>20</v>
      </c>
      <c r="J2114" t="s">
        <v>18</v>
      </c>
      <c r="K2114" t="str">
        <f>"7858816035333"</f>
        <v>7858816035333</v>
      </c>
      <c r="L2114" t="str">
        <f>"87023533"</f>
        <v>87023533</v>
      </c>
      <c r="M2114" t="s">
        <v>21</v>
      </c>
      <c r="N2114" s="1">
        <v>44211.771527777775</v>
      </c>
      <c r="O2114" t="s">
        <v>19</v>
      </c>
    </row>
    <row r="2115" spans="1:15" x14ac:dyDescent="0.25">
      <c r="A2115" t="s">
        <v>1949</v>
      </c>
      <c r="B2115" t="s">
        <v>15</v>
      </c>
      <c r="C2115" t="s">
        <v>35</v>
      </c>
      <c r="D2115" t="s">
        <v>17</v>
      </c>
      <c r="E2115" t="s">
        <v>18</v>
      </c>
      <c r="F2115" t="s">
        <v>19</v>
      </c>
      <c r="G2115" t="s">
        <v>20</v>
      </c>
      <c r="J2115" t="s">
        <v>17</v>
      </c>
      <c r="K2115" t="str">
        <f>"766623151993"</f>
        <v>766623151993</v>
      </c>
      <c r="L2115" t="str">
        <f>"56021993"</f>
        <v>56021993</v>
      </c>
      <c r="M2115" t="s">
        <v>21</v>
      </c>
      <c r="N2115" s="1">
        <v>43985.859027777777</v>
      </c>
      <c r="O2115" t="s">
        <v>19</v>
      </c>
    </row>
    <row r="2116" spans="1:15" x14ac:dyDescent="0.25">
      <c r="A2116" t="s">
        <v>1950</v>
      </c>
      <c r="B2116" t="s">
        <v>15</v>
      </c>
      <c r="C2116" t="s">
        <v>35</v>
      </c>
      <c r="D2116" t="s">
        <v>17</v>
      </c>
      <c r="E2116" t="s">
        <v>18</v>
      </c>
      <c r="F2116" t="s">
        <v>19</v>
      </c>
      <c r="G2116" t="s">
        <v>20</v>
      </c>
      <c r="J2116" t="s">
        <v>17</v>
      </c>
      <c r="K2116" t="str">
        <f>"766623151467"</f>
        <v>766623151467</v>
      </c>
      <c r="L2116" t="str">
        <f>"56021467"</f>
        <v>56021467</v>
      </c>
      <c r="M2116" t="s">
        <v>21</v>
      </c>
      <c r="N2116" s="1">
        <v>43985.85833333333</v>
      </c>
      <c r="O2116" t="s">
        <v>19</v>
      </c>
    </row>
    <row r="2117" spans="1:15" x14ac:dyDescent="0.25">
      <c r="A2117" t="s">
        <v>1951</v>
      </c>
      <c r="B2117" t="s">
        <v>15</v>
      </c>
      <c r="C2117" t="s">
        <v>35</v>
      </c>
      <c r="D2117" t="s">
        <v>17</v>
      </c>
      <c r="E2117" t="s">
        <v>18</v>
      </c>
      <c r="F2117" t="s">
        <v>19</v>
      </c>
      <c r="G2117" t="s">
        <v>20</v>
      </c>
      <c r="J2117" t="s">
        <v>17</v>
      </c>
      <c r="K2117" t="str">
        <f>"766623205146"</f>
        <v>766623205146</v>
      </c>
      <c r="L2117" t="str">
        <f>"56085146"</f>
        <v>56085146</v>
      </c>
      <c r="M2117" t="s">
        <v>21</v>
      </c>
      <c r="N2117" s="1">
        <v>43985.834722222222</v>
      </c>
      <c r="O2117" t="s">
        <v>19</v>
      </c>
    </row>
    <row r="2118" spans="1:15" x14ac:dyDescent="0.25">
      <c r="A2118" t="s">
        <v>1952</v>
      </c>
      <c r="B2118" t="s">
        <v>15</v>
      </c>
      <c r="C2118" t="s">
        <v>35</v>
      </c>
      <c r="D2118" t="s">
        <v>17</v>
      </c>
      <c r="E2118" t="s">
        <v>18</v>
      </c>
      <c r="F2118" t="s">
        <v>19</v>
      </c>
      <c r="G2118" t="s">
        <v>20</v>
      </c>
      <c r="J2118" t="s">
        <v>17</v>
      </c>
      <c r="K2118" t="str">
        <f>"8618080210374"</f>
        <v>8618080210374</v>
      </c>
      <c r="L2118" t="str">
        <f>"10001733"</f>
        <v>10001733</v>
      </c>
      <c r="M2118" t="s">
        <v>84</v>
      </c>
      <c r="N2118" s="1">
        <v>43546.638888888891</v>
      </c>
      <c r="O2118" t="s">
        <v>19</v>
      </c>
    </row>
    <row r="2119" spans="1:15" x14ac:dyDescent="0.25">
      <c r="A2119" t="s">
        <v>1953</v>
      </c>
      <c r="B2119" t="s">
        <v>15</v>
      </c>
      <c r="C2119" t="s">
        <v>23</v>
      </c>
      <c r="D2119" t="s">
        <v>17</v>
      </c>
      <c r="E2119" t="s">
        <v>18</v>
      </c>
      <c r="F2119" t="s">
        <v>19</v>
      </c>
      <c r="G2119" t="s">
        <v>20</v>
      </c>
      <c r="J2119" t="s">
        <v>17</v>
      </c>
      <c r="K2119" t="str">
        <f>"10081688"</f>
        <v>10081688</v>
      </c>
      <c r="L2119" t="str">
        <f>"10081688"</f>
        <v>10081688</v>
      </c>
      <c r="M2119" t="s">
        <v>75</v>
      </c>
      <c r="N2119" s="1">
        <v>42924.673611111109</v>
      </c>
      <c r="O2119" t="s">
        <v>19</v>
      </c>
    </row>
    <row r="2120" spans="1:15" x14ac:dyDescent="0.25">
      <c r="A2120" t="s">
        <v>1954</v>
      </c>
      <c r="B2120" t="s">
        <v>15</v>
      </c>
      <c r="C2120" t="s">
        <v>35</v>
      </c>
      <c r="D2120" t="s">
        <v>17</v>
      </c>
      <c r="E2120" t="s">
        <v>18</v>
      </c>
      <c r="F2120" t="s">
        <v>19</v>
      </c>
      <c r="G2120" t="s">
        <v>20</v>
      </c>
      <c r="J2120" t="s">
        <v>17</v>
      </c>
      <c r="K2120" t="str">
        <f>"10001813"</f>
        <v>10001813</v>
      </c>
      <c r="L2120" t="str">
        <f>"10001813"</f>
        <v>10001813</v>
      </c>
      <c r="M2120" t="s">
        <v>84</v>
      </c>
      <c r="N2120" s="1">
        <v>43546.640972222223</v>
      </c>
      <c r="O2120" t="s">
        <v>19</v>
      </c>
    </row>
    <row r="2121" spans="1:15" x14ac:dyDescent="0.25">
      <c r="A2121" t="s">
        <v>1955</v>
      </c>
      <c r="B2121" t="s">
        <v>15</v>
      </c>
      <c r="C2121" t="s">
        <v>35</v>
      </c>
      <c r="D2121" t="s">
        <v>17</v>
      </c>
      <c r="E2121" t="s">
        <v>18</v>
      </c>
      <c r="F2121" t="s">
        <v>19</v>
      </c>
      <c r="G2121" t="s">
        <v>20</v>
      </c>
      <c r="J2121" t="s">
        <v>17</v>
      </c>
      <c r="K2121" t="str">
        <f>"10000355"</f>
        <v>10000355</v>
      </c>
      <c r="L2121" t="str">
        <f>"10000355"</f>
        <v>10000355</v>
      </c>
      <c r="M2121" t="s">
        <v>84</v>
      </c>
      <c r="N2121" s="1">
        <v>43546.63958333333</v>
      </c>
      <c r="O2121" t="s">
        <v>19</v>
      </c>
    </row>
    <row r="2122" spans="1:15" x14ac:dyDescent="0.25">
      <c r="A2122" t="s">
        <v>1956</v>
      </c>
      <c r="B2122" t="s">
        <v>15</v>
      </c>
      <c r="C2122" t="s">
        <v>35</v>
      </c>
      <c r="D2122" t="s">
        <v>17</v>
      </c>
      <c r="E2122" t="s">
        <v>18</v>
      </c>
      <c r="F2122" t="s">
        <v>19</v>
      </c>
      <c r="G2122" t="s">
        <v>20</v>
      </c>
      <c r="J2122" t="s">
        <v>17</v>
      </c>
      <c r="K2122" t="str">
        <f>"2583345646464"</f>
        <v>2583345646464</v>
      </c>
      <c r="L2122" t="str">
        <f>"10001760"</f>
        <v>10001760</v>
      </c>
      <c r="M2122" t="s">
        <v>84</v>
      </c>
      <c r="N2122" s="1">
        <v>43446.945138888892</v>
      </c>
      <c r="O2122" t="s">
        <v>19</v>
      </c>
    </row>
    <row r="2123" spans="1:15" x14ac:dyDescent="0.25">
      <c r="A2123" t="s">
        <v>1957</v>
      </c>
      <c r="B2123" t="s">
        <v>15</v>
      </c>
      <c r="C2123" t="s">
        <v>35</v>
      </c>
      <c r="D2123" t="s">
        <v>17</v>
      </c>
      <c r="E2123" t="s">
        <v>18</v>
      </c>
      <c r="F2123" t="s">
        <v>19</v>
      </c>
      <c r="G2123" t="s">
        <v>20</v>
      </c>
      <c r="J2123" t="s">
        <v>17</v>
      </c>
      <c r="K2123" t="str">
        <f>"9286"</f>
        <v>9286</v>
      </c>
      <c r="L2123" t="str">
        <f>"98029286"</f>
        <v>98029286</v>
      </c>
      <c r="M2123" t="s">
        <v>21</v>
      </c>
      <c r="N2123" s="1">
        <v>42872.839583333334</v>
      </c>
      <c r="O2123" t="s">
        <v>19</v>
      </c>
    </row>
    <row r="2124" spans="1:15" x14ac:dyDescent="0.25">
      <c r="A2124" t="s">
        <v>1958</v>
      </c>
      <c r="B2124" t="s">
        <v>15</v>
      </c>
      <c r="C2124" t="s">
        <v>31</v>
      </c>
      <c r="D2124" t="s">
        <v>17</v>
      </c>
      <c r="E2124" t="s">
        <v>18</v>
      </c>
      <c r="F2124" t="s">
        <v>19</v>
      </c>
      <c r="G2124" t="s">
        <v>20</v>
      </c>
      <c r="J2124" t="s">
        <v>17</v>
      </c>
      <c r="K2124" t="str">
        <f>"10001691"</f>
        <v>10001691</v>
      </c>
      <c r="L2124" t="str">
        <f>"10001691"</f>
        <v>10001691</v>
      </c>
      <c r="M2124" t="s">
        <v>75</v>
      </c>
      <c r="N2124" s="1">
        <v>42872.839583333334</v>
      </c>
      <c r="O2124" t="s">
        <v>19</v>
      </c>
    </row>
    <row r="2125" spans="1:15" x14ac:dyDescent="0.25">
      <c r="A2125" t="s">
        <v>1959</v>
      </c>
      <c r="B2125" t="s">
        <v>15</v>
      </c>
      <c r="C2125" t="s">
        <v>35</v>
      </c>
      <c r="D2125" t="s">
        <v>17</v>
      </c>
      <c r="E2125" t="s">
        <v>18</v>
      </c>
      <c r="F2125" t="s">
        <v>19</v>
      </c>
      <c r="G2125" t="s">
        <v>20</v>
      </c>
      <c r="J2125" t="s">
        <v>17</v>
      </c>
      <c r="K2125" t="str">
        <f>"798302167414"</f>
        <v>798302167414</v>
      </c>
      <c r="L2125" t="str">
        <f>"92030333"</f>
        <v>92030333</v>
      </c>
      <c r="M2125" t="s">
        <v>21</v>
      </c>
      <c r="N2125" s="1">
        <v>43746.882638888892</v>
      </c>
      <c r="O2125" t="s">
        <v>19</v>
      </c>
    </row>
    <row r="2126" spans="1:15" x14ac:dyDescent="0.25">
      <c r="A2126" t="s">
        <v>1960</v>
      </c>
      <c r="B2126" t="s">
        <v>15</v>
      </c>
      <c r="C2126" t="s">
        <v>35</v>
      </c>
      <c r="D2126" t="s">
        <v>17</v>
      </c>
      <c r="E2126" t="s">
        <v>18</v>
      </c>
      <c r="F2126" t="s">
        <v>19</v>
      </c>
      <c r="G2126" t="s">
        <v>20</v>
      </c>
      <c r="J2126" t="s">
        <v>17</v>
      </c>
      <c r="K2126" t="str">
        <f>"10011405"</f>
        <v>10011405</v>
      </c>
      <c r="L2126" t="str">
        <f>"10011405"</f>
        <v>10011405</v>
      </c>
      <c r="M2126" t="s">
        <v>21</v>
      </c>
      <c r="N2126" s="1">
        <v>43647.868055555555</v>
      </c>
      <c r="O2126" t="s">
        <v>19</v>
      </c>
    </row>
    <row r="2127" spans="1:15" x14ac:dyDescent="0.25">
      <c r="A2127" t="s">
        <v>1961</v>
      </c>
      <c r="B2127" t="s">
        <v>15</v>
      </c>
      <c r="C2127" t="s">
        <v>37</v>
      </c>
      <c r="D2127" t="s">
        <v>17</v>
      </c>
      <c r="E2127" t="s">
        <v>18</v>
      </c>
      <c r="F2127" t="s">
        <v>19</v>
      </c>
      <c r="G2127" t="s">
        <v>20</v>
      </c>
      <c r="J2127" t="s">
        <v>17</v>
      </c>
      <c r="K2127" t="str">
        <f>"10000760"</f>
        <v>10000760</v>
      </c>
      <c r="L2127" t="str">
        <f>"10000760"</f>
        <v>10000760</v>
      </c>
      <c r="M2127" t="s">
        <v>75</v>
      </c>
      <c r="N2127" s="1">
        <v>42872.839583333334</v>
      </c>
      <c r="O2127" t="s">
        <v>19</v>
      </c>
    </row>
    <row r="2128" spans="1:15" x14ac:dyDescent="0.25">
      <c r="A2128" t="s">
        <v>1962</v>
      </c>
      <c r="B2128" t="s">
        <v>1963</v>
      </c>
      <c r="C2128" t="s">
        <v>1926</v>
      </c>
      <c r="D2128" t="s">
        <v>17</v>
      </c>
      <c r="E2128" t="s">
        <v>17</v>
      </c>
      <c r="F2128" t="s">
        <v>19</v>
      </c>
      <c r="J2128" t="s">
        <v>17</v>
      </c>
      <c r="K2128" t="str">
        <f>"90015"</f>
        <v>90015</v>
      </c>
      <c r="L2128" t="str">
        <f>"90015"</f>
        <v>90015</v>
      </c>
      <c r="M2128" t="s">
        <v>75</v>
      </c>
      <c r="N2128" s="1">
        <v>42899.834722222222</v>
      </c>
      <c r="O2128" t="s">
        <v>19</v>
      </c>
    </row>
    <row r="2129" spans="1:15" x14ac:dyDescent="0.25">
      <c r="A2129" t="s">
        <v>1962</v>
      </c>
      <c r="B2129" t="s">
        <v>1963</v>
      </c>
      <c r="C2129" t="s">
        <v>1926</v>
      </c>
      <c r="D2129" t="s">
        <v>17</v>
      </c>
      <c r="E2129" t="s">
        <v>17</v>
      </c>
      <c r="F2129" t="s">
        <v>19</v>
      </c>
      <c r="J2129" t="s">
        <v>17</v>
      </c>
      <c r="K2129" t="str">
        <f>"1497384363416"</f>
        <v>1497384363416</v>
      </c>
      <c r="L2129" t="str">
        <f>"1497384363415"</f>
        <v>1497384363415</v>
      </c>
      <c r="M2129" t="s">
        <v>21</v>
      </c>
      <c r="N2129" s="1">
        <v>42899.837500000001</v>
      </c>
      <c r="O2129" t="s">
        <v>33</v>
      </c>
    </row>
    <row r="2130" spans="1:15" x14ac:dyDescent="0.25">
      <c r="A2130" t="s">
        <v>1964</v>
      </c>
      <c r="B2130" t="s">
        <v>15</v>
      </c>
      <c r="C2130" t="s">
        <v>37</v>
      </c>
      <c r="D2130" t="s">
        <v>17</v>
      </c>
      <c r="E2130" t="s">
        <v>18</v>
      </c>
      <c r="F2130" t="s">
        <v>19</v>
      </c>
      <c r="G2130" t="s">
        <v>20</v>
      </c>
      <c r="J2130" t="s">
        <v>17</v>
      </c>
      <c r="K2130" t="str">
        <f>"98529999"</f>
        <v>98529999</v>
      </c>
      <c r="L2130" t="str">
        <f>"98529999"</f>
        <v>98529999</v>
      </c>
      <c r="M2130" t="s">
        <v>21</v>
      </c>
      <c r="N2130" s="1">
        <v>43668.779861111114</v>
      </c>
      <c r="O2130" t="s">
        <v>19</v>
      </c>
    </row>
    <row r="2131" spans="1:15" x14ac:dyDescent="0.25">
      <c r="A2131" t="s">
        <v>1965</v>
      </c>
      <c r="B2131" t="s">
        <v>15</v>
      </c>
      <c r="C2131" t="s">
        <v>23</v>
      </c>
      <c r="D2131" t="s">
        <v>17</v>
      </c>
      <c r="E2131" t="s">
        <v>18</v>
      </c>
      <c r="F2131" t="s">
        <v>33</v>
      </c>
      <c r="G2131" t="s">
        <v>20</v>
      </c>
      <c r="J2131" t="s">
        <v>17</v>
      </c>
      <c r="K2131" t="str">
        <f>"10086721"</f>
        <v>10086721</v>
      </c>
      <c r="L2131" t="str">
        <f>"10086721"</f>
        <v>10086721</v>
      </c>
      <c r="M2131" t="s">
        <v>21</v>
      </c>
      <c r="N2131" s="1">
        <v>43110.768055555556</v>
      </c>
      <c r="O2131" t="s">
        <v>33</v>
      </c>
    </row>
    <row r="2132" spans="1:15" x14ac:dyDescent="0.25">
      <c r="A2132" t="s">
        <v>1155</v>
      </c>
      <c r="B2132" t="s">
        <v>1963</v>
      </c>
      <c r="C2132" t="s">
        <v>23</v>
      </c>
      <c r="D2132" t="s">
        <v>17</v>
      </c>
      <c r="E2132" t="s">
        <v>17</v>
      </c>
      <c r="F2132" t="s">
        <v>33</v>
      </c>
      <c r="G2132" t="s">
        <v>20</v>
      </c>
      <c r="J2132" t="s">
        <v>17</v>
      </c>
      <c r="K2132" t="str">
        <f>"1496945967"</f>
        <v>1496945967</v>
      </c>
      <c r="L2132" t="str">
        <f>"490814000"</f>
        <v>490814000</v>
      </c>
      <c r="M2132" t="s">
        <v>21</v>
      </c>
      <c r="N2132" s="1">
        <v>42894.73541666667</v>
      </c>
      <c r="O2132" t="s">
        <v>33</v>
      </c>
    </row>
    <row r="2133" spans="1:15" x14ac:dyDescent="0.25">
      <c r="A2133" t="s">
        <v>1966</v>
      </c>
      <c r="B2133" t="s">
        <v>15</v>
      </c>
      <c r="C2133" t="s">
        <v>1619</v>
      </c>
      <c r="D2133" t="s">
        <v>17</v>
      </c>
      <c r="E2133" t="s">
        <v>17</v>
      </c>
      <c r="F2133" t="s">
        <v>33</v>
      </c>
      <c r="G2133" t="s">
        <v>20</v>
      </c>
      <c r="J2133" t="s">
        <v>17</v>
      </c>
      <c r="K2133" t="str">
        <f>"86121400"</f>
        <v>86121400</v>
      </c>
      <c r="L2133" t="str">
        <f>"86121400"</f>
        <v>86121400</v>
      </c>
      <c r="M2133" t="s">
        <v>21</v>
      </c>
      <c r="N2133" s="1">
        <v>42936.736805555556</v>
      </c>
      <c r="O2133" t="s">
        <v>33</v>
      </c>
    </row>
    <row r="2134" spans="1:15" x14ac:dyDescent="0.25">
      <c r="A2134" t="s">
        <v>1967</v>
      </c>
      <c r="B2134" t="s">
        <v>15</v>
      </c>
      <c r="C2134" t="s">
        <v>1905</v>
      </c>
      <c r="D2134" t="s">
        <v>17</v>
      </c>
      <c r="E2134" t="s">
        <v>18</v>
      </c>
      <c r="F2134" t="s">
        <v>33</v>
      </c>
      <c r="G2134" t="s">
        <v>20</v>
      </c>
      <c r="J2134" t="s">
        <v>17</v>
      </c>
      <c r="K2134" t="str">
        <f>"30141085"</f>
        <v>30141085</v>
      </c>
      <c r="L2134" t="str">
        <f>"30141085"</f>
        <v>30141085</v>
      </c>
      <c r="M2134" t="s">
        <v>75</v>
      </c>
      <c r="N2134" s="1">
        <v>42872.839583333334</v>
      </c>
      <c r="O2134" t="s">
        <v>33</v>
      </c>
    </row>
    <row r="2135" spans="1:15" x14ac:dyDescent="0.25">
      <c r="A2135" t="s">
        <v>1968</v>
      </c>
      <c r="B2135" t="s">
        <v>15</v>
      </c>
      <c r="C2135" t="s">
        <v>1905</v>
      </c>
      <c r="D2135" t="s">
        <v>17</v>
      </c>
      <c r="E2135" t="s">
        <v>18</v>
      </c>
      <c r="F2135" t="s">
        <v>33</v>
      </c>
      <c r="G2135" t="s">
        <v>20</v>
      </c>
      <c r="J2135" t="s">
        <v>17</v>
      </c>
      <c r="K2135" t="str">
        <f>"30141086"</f>
        <v>30141086</v>
      </c>
      <c r="L2135" t="str">
        <f>"30141086"</f>
        <v>30141086</v>
      </c>
      <c r="M2135" t="s">
        <v>75</v>
      </c>
      <c r="N2135" s="1">
        <v>42872.839583333334</v>
      </c>
      <c r="O2135" t="s">
        <v>33</v>
      </c>
    </row>
    <row r="2136" spans="1:15" x14ac:dyDescent="0.25">
      <c r="A2136" t="s">
        <v>1969</v>
      </c>
      <c r="B2136" t="s">
        <v>15</v>
      </c>
      <c r="C2136" t="s">
        <v>28</v>
      </c>
      <c r="D2136" t="s">
        <v>17</v>
      </c>
      <c r="E2136" t="s">
        <v>18</v>
      </c>
      <c r="F2136" t="s">
        <v>33</v>
      </c>
      <c r="G2136" t="s">
        <v>20</v>
      </c>
      <c r="J2136" t="s">
        <v>17</v>
      </c>
      <c r="K2136" t="str">
        <f>"92130103"</f>
        <v>92130103</v>
      </c>
      <c r="L2136" t="str">
        <f>"92130103"</f>
        <v>92130103</v>
      </c>
      <c r="M2136" t="s">
        <v>75</v>
      </c>
      <c r="N2136" s="1">
        <v>42872.847222222219</v>
      </c>
      <c r="O2136" t="s">
        <v>33</v>
      </c>
    </row>
    <row r="2137" spans="1:15" x14ac:dyDescent="0.25">
      <c r="A2137" t="s">
        <v>1970</v>
      </c>
      <c r="B2137" t="s">
        <v>15</v>
      </c>
      <c r="C2137" t="s">
        <v>28</v>
      </c>
      <c r="D2137" t="s">
        <v>17</v>
      </c>
      <c r="E2137" t="s">
        <v>18</v>
      </c>
      <c r="F2137" t="s">
        <v>33</v>
      </c>
      <c r="G2137" t="s">
        <v>20</v>
      </c>
      <c r="J2137" t="s">
        <v>17</v>
      </c>
      <c r="K2137" t="str">
        <f>"301301103"</f>
        <v>301301103</v>
      </c>
      <c r="L2137" t="str">
        <f>"301301103"</f>
        <v>301301103</v>
      </c>
      <c r="M2137" t="s">
        <v>75</v>
      </c>
      <c r="N2137" s="1">
        <v>42872.849305555559</v>
      </c>
      <c r="O2137" t="s">
        <v>33</v>
      </c>
    </row>
    <row r="2138" spans="1:15" x14ac:dyDescent="0.25">
      <c r="A2138" t="s">
        <v>1970</v>
      </c>
      <c r="B2138" t="s">
        <v>15</v>
      </c>
      <c r="C2138" t="s">
        <v>28</v>
      </c>
      <c r="D2138" t="s">
        <v>17</v>
      </c>
      <c r="E2138" t="s">
        <v>18</v>
      </c>
      <c r="F2138" t="s">
        <v>33</v>
      </c>
      <c r="G2138" t="s">
        <v>20</v>
      </c>
      <c r="J2138" t="s">
        <v>17</v>
      </c>
      <c r="K2138" t="str">
        <f>"451301103"</f>
        <v>451301103</v>
      </c>
      <c r="L2138" t="str">
        <f>"451301103"</f>
        <v>451301103</v>
      </c>
      <c r="M2138" t="s">
        <v>75</v>
      </c>
      <c r="N2138" s="1">
        <v>42872.849305555559</v>
      </c>
      <c r="O2138" t="s">
        <v>33</v>
      </c>
    </row>
    <row r="2139" spans="1:15" x14ac:dyDescent="0.25">
      <c r="A2139" t="s">
        <v>1971</v>
      </c>
      <c r="B2139" t="s">
        <v>15</v>
      </c>
      <c r="C2139" t="s">
        <v>28</v>
      </c>
      <c r="D2139" t="s">
        <v>17</v>
      </c>
      <c r="E2139" t="s">
        <v>18</v>
      </c>
      <c r="F2139" t="s">
        <v>33</v>
      </c>
      <c r="G2139" t="s">
        <v>20</v>
      </c>
      <c r="J2139" t="s">
        <v>17</v>
      </c>
      <c r="K2139" t="str">
        <f>"45130152"</f>
        <v>45130152</v>
      </c>
      <c r="L2139" t="str">
        <f>"45130152"</f>
        <v>45130152</v>
      </c>
      <c r="M2139" t="s">
        <v>75</v>
      </c>
      <c r="N2139" s="1">
        <v>42872.839583333334</v>
      </c>
      <c r="O2139" t="s">
        <v>33</v>
      </c>
    </row>
    <row r="2140" spans="1:15" x14ac:dyDescent="0.25">
      <c r="A2140" t="s">
        <v>1972</v>
      </c>
      <c r="B2140" t="s">
        <v>15</v>
      </c>
      <c r="C2140" t="s">
        <v>28</v>
      </c>
      <c r="D2140" t="s">
        <v>17</v>
      </c>
      <c r="E2140" t="s">
        <v>18</v>
      </c>
      <c r="F2140" t="s">
        <v>33</v>
      </c>
      <c r="G2140" t="s">
        <v>20</v>
      </c>
      <c r="J2140" t="s">
        <v>17</v>
      </c>
      <c r="K2140" t="str">
        <f>"72130111"</f>
        <v>72130111</v>
      </c>
      <c r="L2140" t="str">
        <f>"72130111"</f>
        <v>72130111</v>
      </c>
      <c r="M2140" t="s">
        <v>75</v>
      </c>
      <c r="N2140" s="1">
        <v>42872.847222222219</v>
      </c>
      <c r="O2140" t="s">
        <v>33</v>
      </c>
    </row>
    <row r="2141" spans="1:15" x14ac:dyDescent="0.25">
      <c r="A2141" t="s">
        <v>1973</v>
      </c>
      <c r="B2141" t="s">
        <v>15</v>
      </c>
      <c r="C2141" t="s">
        <v>28</v>
      </c>
      <c r="D2141" t="s">
        <v>17</v>
      </c>
      <c r="E2141" t="s">
        <v>18</v>
      </c>
      <c r="F2141" t="s">
        <v>33</v>
      </c>
      <c r="G2141" t="s">
        <v>20</v>
      </c>
      <c r="J2141" t="s">
        <v>17</v>
      </c>
      <c r="K2141" t="str">
        <f>"424390"</f>
        <v>424390</v>
      </c>
      <c r="L2141" t="str">
        <f>"301301246"</f>
        <v>301301246</v>
      </c>
      <c r="M2141" t="s">
        <v>75</v>
      </c>
      <c r="N2141" s="1">
        <v>43064.622916666667</v>
      </c>
      <c r="O2141" t="s">
        <v>33</v>
      </c>
    </row>
    <row r="2142" spans="1:15" x14ac:dyDescent="0.25">
      <c r="A2142" t="s">
        <v>1974</v>
      </c>
      <c r="B2142" t="s">
        <v>15</v>
      </c>
      <c r="C2142" t="s">
        <v>28</v>
      </c>
      <c r="D2142" t="s">
        <v>17</v>
      </c>
      <c r="E2142" t="s">
        <v>18</v>
      </c>
      <c r="F2142" t="s">
        <v>33</v>
      </c>
      <c r="G2142" t="s">
        <v>20</v>
      </c>
      <c r="J2142" t="s">
        <v>17</v>
      </c>
      <c r="K2142" t="str">
        <f>"62131900"</f>
        <v>62131900</v>
      </c>
      <c r="L2142" t="str">
        <f>"62131900"</f>
        <v>62131900</v>
      </c>
      <c r="M2142" t="s">
        <v>75</v>
      </c>
      <c r="N2142" s="1">
        <v>42872.839583333334</v>
      </c>
      <c r="O2142" t="s">
        <v>33</v>
      </c>
    </row>
    <row r="2143" spans="1:15" x14ac:dyDescent="0.25">
      <c r="A2143" t="s">
        <v>1906</v>
      </c>
      <c r="B2143" t="s">
        <v>15</v>
      </c>
      <c r="C2143" t="s">
        <v>28</v>
      </c>
      <c r="D2143" t="s">
        <v>17</v>
      </c>
      <c r="E2143" t="s">
        <v>18</v>
      </c>
      <c r="F2143" t="s">
        <v>33</v>
      </c>
      <c r="G2143" t="s">
        <v>20</v>
      </c>
      <c r="J2143" t="s">
        <v>17</v>
      </c>
      <c r="K2143" t="str">
        <f>"30130548"</f>
        <v>30130548</v>
      </c>
      <c r="L2143" t="str">
        <f>"30130548"</f>
        <v>30130548</v>
      </c>
      <c r="M2143" t="s">
        <v>75</v>
      </c>
      <c r="N2143" s="1">
        <v>42872.839583333334</v>
      </c>
      <c r="O2143" t="s">
        <v>33</v>
      </c>
    </row>
    <row r="2144" spans="1:15" x14ac:dyDescent="0.25">
      <c r="A2144" t="s">
        <v>1906</v>
      </c>
      <c r="B2144" t="s">
        <v>15</v>
      </c>
      <c r="C2144" t="s">
        <v>28</v>
      </c>
      <c r="D2144" t="s">
        <v>17</v>
      </c>
      <c r="E2144" t="s">
        <v>18</v>
      </c>
      <c r="F2144" t="s">
        <v>33</v>
      </c>
      <c r="G2144" t="s">
        <v>20</v>
      </c>
      <c r="J2144" t="s">
        <v>17</v>
      </c>
      <c r="K2144" t="str">
        <f>"79130548"</f>
        <v>79130548</v>
      </c>
      <c r="L2144" t="str">
        <f>"79130548"</f>
        <v>79130548</v>
      </c>
      <c r="M2144" t="s">
        <v>75</v>
      </c>
      <c r="N2144" s="1">
        <v>42872.847222222219</v>
      </c>
      <c r="O2144" t="s">
        <v>33</v>
      </c>
    </row>
    <row r="2145" spans="1:15" x14ac:dyDescent="0.25">
      <c r="A2145" t="s">
        <v>1975</v>
      </c>
      <c r="B2145" t="s">
        <v>15</v>
      </c>
      <c r="C2145" t="s">
        <v>1905</v>
      </c>
      <c r="D2145" t="s">
        <v>17</v>
      </c>
      <c r="E2145" t="s">
        <v>18</v>
      </c>
      <c r="F2145" t="s">
        <v>33</v>
      </c>
      <c r="G2145" t="s">
        <v>20</v>
      </c>
      <c r="J2145" t="s">
        <v>17</v>
      </c>
      <c r="K2145" t="str">
        <f>"45130520"</f>
        <v>45130520</v>
      </c>
      <c r="L2145" t="str">
        <f>"45130520"</f>
        <v>45130520</v>
      </c>
      <c r="M2145" t="s">
        <v>75</v>
      </c>
      <c r="N2145" s="1">
        <v>42872.839583333334</v>
      </c>
      <c r="O2145" t="s">
        <v>33</v>
      </c>
    </row>
    <row r="2146" spans="1:15" x14ac:dyDescent="0.25">
      <c r="A2146" t="s">
        <v>1975</v>
      </c>
      <c r="B2146" t="s">
        <v>15</v>
      </c>
      <c r="C2146" t="s">
        <v>28</v>
      </c>
      <c r="D2146" t="s">
        <v>17</v>
      </c>
      <c r="E2146" t="s">
        <v>18</v>
      </c>
      <c r="F2146" t="s">
        <v>33</v>
      </c>
      <c r="G2146" t="s">
        <v>20</v>
      </c>
      <c r="J2146" t="s">
        <v>17</v>
      </c>
      <c r="K2146" t="str">
        <f>"451305220"</f>
        <v>451305220</v>
      </c>
      <c r="L2146" t="str">
        <f>"451305220"</f>
        <v>451305220</v>
      </c>
      <c r="M2146" t="s">
        <v>75</v>
      </c>
      <c r="N2146" s="1">
        <v>42872.849305555559</v>
      </c>
      <c r="O2146" t="s">
        <v>33</v>
      </c>
    </row>
    <row r="2147" spans="1:15" x14ac:dyDescent="0.25">
      <c r="A2147" t="s">
        <v>1976</v>
      </c>
      <c r="B2147" t="s">
        <v>15</v>
      </c>
      <c r="C2147" t="s">
        <v>28</v>
      </c>
      <c r="D2147" t="s">
        <v>17</v>
      </c>
      <c r="E2147" t="s">
        <v>18</v>
      </c>
      <c r="F2147" t="s">
        <v>33</v>
      </c>
      <c r="G2147" t="s">
        <v>20</v>
      </c>
      <c r="J2147" t="s">
        <v>17</v>
      </c>
      <c r="K2147" t="str">
        <f>"50433106"</f>
        <v>50433106</v>
      </c>
      <c r="L2147" t="str">
        <f>"50433106"</f>
        <v>50433106</v>
      </c>
      <c r="M2147" t="s">
        <v>75</v>
      </c>
      <c r="N2147" s="1">
        <v>42872.839583333334</v>
      </c>
      <c r="O2147" t="s">
        <v>33</v>
      </c>
    </row>
    <row r="2148" spans="1:15" x14ac:dyDescent="0.25">
      <c r="A2148" t="s">
        <v>1976</v>
      </c>
      <c r="B2148" t="s">
        <v>15</v>
      </c>
      <c r="C2148" t="s">
        <v>28</v>
      </c>
      <c r="D2148" t="s">
        <v>17</v>
      </c>
      <c r="E2148" t="s">
        <v>18</v>
      </c>
      <c r="F2148" t="s">
        <v>33</v>
      </c>
      <c r="G2148" t="s">
        <v>20</v>
      </c>
      <c r="J2148" t="s">
        <v>17</v>
      </c>
      <c r="K2148" t="str">
        <f>"71433106"</f>
        <v>71433106</v>
      </c>
      <c r="L2148" t="str">
        <f>"71433106"</f>
        <v>71433106</v>
      </c>
      <c r="M2148" t="s">
        <v>75</v>
      </c>
      <c r="N2148" s="1">
        <v>42872.847222222219</v>
      </c>
      <c r="O2148" t="s">
        <v>33</v>
      </c>
    </row>
    <row r="2149" spans="1:15" x14ac:dyDescent="0.25">
      <c r="A2149" t="s">
        <v>1977</v>
      </c>
      <c r="B2149" t="s">
        <v>15</v>
      </c>
      <c r="C2149" t="s">
        <v>28</v>
      </c>
      <c r="D2149" t="s">
        <v>17</v>
      </c>
      <c r="E2149" t="s">
        <v>18</v>
      </c>
      <c r="F2149" t="s">
        <v>33</v>
      </c>
      <c r="G2149" t="s">
        <v>20</v>
      </c>
      <c r="J2149" t="s">
        <v>17</v>
      </c>
      <c r="K2149" t="str">
        <f>"831305229"</f>
        <v>831305229</v>
      </c>
      <c r="L2149" t="str">
        <f>"831305229"</f>
        <v>831305229</v>
      </c>
      <c r="M2149" t="s">
        <v>75</v>
      </c>
      <c r="N2149" s="1">
        <v>42872.849305555559</v>
      </c>
      <c r="O2149" t="s">
        <v>33</v>
      </c>
    </row>
    <row r="2150" spans="1:15" x14ac:dyDescent="0.25">
      <c r="A2150" t="s">
        <v>1978</v>
      </c>
      <c r="B2150" t="s">
        <v>15</v>
      </c>
      <c r="C2150" t="s">
        <v>28</v>
      </c>
      <c r="D2150" t="s">
        <v>17</v>
      </c>
      <c r="E2150" t="s">
        <v>18</v>
      </c>
      <c r="F2150" t="s">
        <v>33</v>
      </c>
      <c r="G2150" t="s">
        <v>20</v>
      </c>
      <c r="J2150" t="s">
        <v>17</v>
      </c>
      <c r="K2150" t="str">
        <f>"941305260"</f>
        <v>941305260</v>
      </c>
      <c r="L2150" t="str">
        <f>"941305260"</f>
        <v>941305260</v>
      </c>
      <c r="M2150" t="s">
        <v>75</v>
      </c>
      <c r="N2150" s="1">
        <v>42872.849305555559</v>
      </c>
      <c r="O2150" t="s">
        <v>33</v>
      </c>
    </row>
    <row r="2151" spans="1:15" x14ac:dyDescent="0.25">
      <c r="A2151" t="s">
        <v>1979</v>
      </c>
      <c r="B2151" t="s">
        <v>15</v>
      </c>
      <c r="C2151" t="s">
        <v>28</v>
      </c>
      <c r="D2151" t="s">
        <v>17</v>
      </c>
      <c r="E2151" t="s">
        <v>18</v>
      </c>
      <c r="F2151" t="s">
        <v>33</v>
      </c>
      <c r="G2151" t="s">
        <v>20</v>
      </c>
      <c r="J2151" t="s">
        <v>17</v>
      </c>
      <c r="K2151" t="str">
        <f>"831305260"</f>
        <v>831305260</v>
      </c>
      <c r="L2151" t="str">
        <f>"831305260"</f>
        <v>831305260</v>
      </c>
      <c r="M2151" t="s">
        <v>75</v>
      </c>
      <c r="N2151" s="1">
        <v>42872.849305555559</v>
      </c>
      <c r="O2151" t="s">
        <v>33</v>
      </c>
    </row>
    <row r="2152" spans="1:15" x14ac:dyDescent="0.25">
      <c r="A2152" t="s">
        <v>1980</v>
      </c>
      <c r="B2152" t="s">
        <v>15</v>
      </c>
      <c r="C2152" t="s">
        <v>28</v>
      </c>
      <c r="D2152" t="s">
        <v>17</v>
      </c>
      <c r="E2152" t="s">
        <v>18</v>
      </c>
      <c r="F2152" t="s">
        <v>33</v>
      </c>
      <c r="G2152" t="s">
        <v>20</v>
      </c>
      <c r="J2152" t="s">
        <v>17</v>
      </c>
      <c r="K2152" t="str">
        <f>"71130574"</f>
        <v>71130574</v>
      </c>
      <c r="L2152" t="str">
        <f>"71130574"</f>
        <v>71130574</v>
      </c>
      <c r="M2152" t="s">
        <v>75</v>
      </c>
      <c r="N2152" s="1">
        <v>42872.847222222219</v>
      </c>
      <c r="O2152" t="s">
        <v>33</v>
      </c>
    </row>
    <row r="2153" spans="1:15" x14ac:dyDescent="0.25">
      <c r="A2153" t="s">
        <v>1980</v>
      </c>
      <c r="B2153" t="s">
        <v>15</v>
      </c>
      <c r="C2153" t="s">
        <v>28</v>
      </c>
      <c r="D2153" t="s">
        <v>17</v>
      </c>
      <c r="E2153" t="s">
        <v>18</v>
      </c>
      <c r="F2153" t="s">
        <v>33</v>
      </c>
      <c r="G2153" t="s">
        <v>20</v>
      </c>
      <c r="J2153" t="s">
        <v>17</v>
      </c>
      <c r="K2153" t="str">
        <f>"74130574"</f>
        <v>74130574</v>
      </c>
      <c r="L2153" t="str">
        <f>"74130574"</f>
        <v>74130574</v>
      </c>
      <c r="M2153" t="s">
        <v>75</v>
      </c>
      <c r="N2153" s="1">
        <v>42872.847222222219</v>
      </c>
      <c r="O2153" t="s">
        <v>33</v>
      </c>
    </row>
    <row r="2154" spans="1:15" x14ac:dyDescent="0.25">
      <c r="A2154" t="s">
        <v>1981</v>
      </c>
      <c r="B2154" t="s">
        <v>15</v>
      </c>
      <c r="C2154" t="s">
        <v>28</v>
      </c>
      <c r="D2154" t="s">
        <v>17</v>
      </c>
      <c r="E2154" t="s">
        <v>18</v>
      </c>
      <c r="F2154" t="s">
        <v>33</v>
      </c>
      <c r="G2154" t="s">
        <v>20</v>
      </c>
      <c r="J2154" t="s">
        <v>17</v>
      </c>
      <c r="K2154" t="str">
        <f>"301305118"</f>
        <v>301305118</v>
      </c>
      <c r="L2154" t="str">
        <f>"301305118"</f>
        <v>301305118</v>
      </c>
      <c r="M2154" t="s">
        <v>75</v>
      </c>
      <c r="N2154" s="1">
        <v>42872.849305555559</v>
      </c>
      <c r="O2154" t="s">
        <v>33</v>
      </c>
    </row>
    <row r="2155" spans="1:15" x14ac:dyDescent="0.25">
      <c r="A2155" t="s">
        <v>1982</v>
      </c>
      <c r="B2155" t="s">
        <v>15</v>
      </c>
      <c r="C2155" t="s">
        <v>28</v>
      </c>
      <c r="D2155" t="s">
        <v>17</v>
      </c>
      <c r="E2155" t="s">
        <v>18</v>
      </c>
      <c r="F2155" t="s">
        <v>33</v>
      </c>
      <c r="G2155" t="s">
        <v>20</v>
      </c>
      <c r="J2155" t="s">
        <v>17</v>
      </c>
      <c r="K2155" t="str">
        <f>"0400005915888"</f>
        <v>0400005915888</v>
      </c>
      <c r="L2155" t="str">
        <f>"721305216"</f>
        <v>721305216</v>
      </c>
      <c r="M2155" t="s">
        <v>75</v>
      </c>
      <c r="N2155" s="1">
        <v>42976.806944444441</v>
      </c>
      <c r="O2155" t="s">
        <v>33</v>
      </c>
    </row>
    <row r="2156" spans="1:15" x14ac:dyDescent="0.25">
      <c r="A2156" t="s">
        <v>1983</v>
      </c>
      <c r="B2156" t="s">
        <v>15</v>
      </c>
      <c r="C2156" t="s">
        <v>28</v>
      </c>
      <c r="D2156" t="s">
        <v>17</v>
      </c>
      <c r="E2156" t="s">
        <v>18</v>
      </c>
      <c r="F2156" t="s">
        <v>33</v>
      </c>
      <c r="G2156" t="s">
        <v>20</v>
      </c>
      <c r="J2156" t="s">
        <v>17</v>
      </c>
      <c r="K2156" t="str">
        <f>"71130560"</f>
        <v>71130560</v>
      </c>
      <c r="L2156" t="str">
        <f>"71130560"</f>
        <v>71130560</v>
      </c>
      <c r="M2156" t="s">
        <v>75</v>
      </c>
      <c r="N2156" s="1">
        <v>42872.847222222219</v>
      </c>
      <c r="O2156" t="s">
        <v>33</v>
      </c>
    </row>
    <row r="2157" spans="1:15" x14ac:dyDescent="0.25">
      <c r="A2157" t="s">
        <v>1983</v>
      </c>
      <c r="B2157" t="s">
        <v>15</v>
      </c>
      <c r="C2157" t="s">
        <v>28</v>
      </c>
      <c r="D2157" t="s">
        <v>17</v>
      </c>
      <c r="E2157" t="s">
        <v>18</v>
      </c>
      <c r="F2157" t="s">
        <v>33</v>
      </c>
      <c r="G2157" t="s">
        <v>20</v>
      </c>
      <c r="J2157" t="s">
        <v>17</v>
      </c>
      <c r="K2157" t="str">
        <f>"71133106"</f>
        <v>71133106</v>
      </c>
      <c r="L2157" t="str">
        <f>"71133106"</f>
        <v>71133106</v>
      </c>
      <c r="M2157" t="s">
        <v>75</v>
      </c>
      <c r="N2157" s="1">
        <v>42872.847222222219</v>
      </c>
      <c r="O2157" t="s">
        <v>33</v>
      </c>
    </row>
    <row r="2158" spans="1:15" x14ac:dyDescent="0.25">
      <c r="A2158" t="s">
        <v>1984</v>
      </c>
      <c r="B2158" t="s">
        <v>15</v>
      </c>
      <c r="C2158" t="s">
        <v>28</v>
      </c>
      <c r="D2158" t="s">
        <v>17</v>
      </c>
      <c r="E2158" t="s">
        <v>18</v>
      </c>
      <c r="F2158" t="s">
        <v>33</v>
      </c>
      <c r="G2158" t="s">
        <v>20</v>
      </c>
      <c r="J2158" t="s">
        <v>17</v>
      </c>
      <c r="K2158" t="str">
        <f>"9013072001"</f>
        <v>9013072001</v>
      </c>
      <c r="L2158" t="str">
        <f>"9013072001"</f>
        <v>9013072001</v>
      </c>
      <c r="M2158" t="s">
        <v>75</v>
      </c>
      <c r="N2158" s="1">
        <v>42872.849305555559</v>
      </c>
      <c r="O2158" t="s">
        <v>33</v>
      </c>
    </row>
    <row r="2159" spans="1:15" x14ac:dyDescent="0.25">
      <c r="A2159" t="s">
        <v>1985</v>
      </c>
      <c r="B2159" t="s">
        <v>15</v>
      </c>
      <c r="C2159" t="s">
        <v>28</v>
      </c>
      <c r="D2159" t="s">
        <v>17</v>
      </c>
      <c r="E2159" t="s">
        <v>18</v>
      </c>
      <c r="F2159" t="s">
        <v>33</v>
      </c>
      <c r="G2159" t="s">
        <v>20</v>
      </c>
      <c r="J2159" t="s">
        <v>17</v>
      </c>
      <c r="K2159" t="str">
        <f>"9013071501"</f>
        <v>9013071501</v>
      </c>
      <c r="L2159" t="str">
        <f>"9013071501"</f>
        <v>9013071501</v>
      </c>
      <c r="M2159" t="s">
        <v>75</v>
      </c>
      <c r="N2159" s="1">
        <v>42872.849305555559</v>
      </c>
      <c r="O2159" t="s">
        <v>33</v>
      </c>
    </row>
    <row r="2160" spans="1:15" x14ac:dyDescent="0.25">
      <c r="A2160" t="s">
        <v>1986</v>
      </c>
      <c r="B2160" t="s">
        <v>15</v>
      </c>
      <c r="C2160" t="s">
        <v>28</v>
      </c>
      <c r="D2160" t="s">
        <v>17</v>
      </c>
      <c r="E2160" t="s">
        <v>18</v>
      </c>
      <c r="F2160" t="s">
        <v>33</v>
      </c>
      <c r="G2160" t="s">
        <v>20</v>
      </c>
      <c r="J2160" t="s">
        <v>17</v>
      </c>
      <c r="K2160" t="str">
        <f>"301309221"</f>
        <v>301309221</v>
      </c>
      <c r="L2160" t="str">
        <f>"301309221"</f>
        <v>301309221</v>
      </c>
      <c r="M2160" t="s">
        <v>75</v>
      </c>
      <c r="N2160" s="1">
        <v>42872.849305555559</v>
      </c>
      <c r="O2160" t="s">
        <v>33</v>
      </c>
    </row>
    <row r="2161" spans="1:15" x14ac:dyDescent="0.25">
      <c r="A2161" t="s">
        <v>1987</v>
      </c>
      <c r="B2161" t="s">
        <v>15</v>
      </c>
      <c r="C2161" t="s">
        <v>28</v>
      </c>
      <c r="D2161" t="s">
        <v>17</v>
      </c>
      <c r="E2161" t="s">
        <v>18</v>
      </c>
      <c r="F2161" t="s">
        <v>33</v>
      </c>
      <c r="G2161" t="s">
        <v>20</v>
      </c>
      <c r="J2161" t="s">
        <v>17</v>
      </c>
      <c r="K2161" t="str">
        <f>"8806087022285"</f>
        <v>8806087022285</v>
      </c>
      <c r="L2161" t="str">
        <f>"831309291"</f>
        <v>831309291</v>
      </c>
      <c r="M2161" t="s">
        <v>75</v>
      </c>
      <c r="N2161" s="1">
        <v>43019.767361111109</v>
      </c>
      <c r="O2161" t="s">
        <v>33</v>
      </c>
    </row>
    <row r="2162" spans="1:15" x14ac:dyDescent="0.25">
      <c r="A2162" t="s">
        <v>1988</v>
      </c>
      <c r="B2162" t="s">
        <v>15</v>
      </c>
      <c r="C2162" t="s">
        <v>28</v>
      </c>
      <c r="D2162" t="s">
        <v>17</v>
      </c>
      <c r="E2162" t="s">
        <v>18</v>
      </c>
      <c r="F2162" t="s">
        <v>33</v>
      </c>
      <c r="G2162" t="s">
        <v>20</v>
      </c>
      <c r="J2162" t="s">
        <v>17</v>
      </c>
      <c r="K2162" t="str">
        <f>"45130976"</f>
        <v>45130976</v>
      </c>
      <c r="L2162" t="str">
        <f>"45130976"</f>
        <v>45130976</v>
      </c>
      <c r="M2162" t="s">
        <v>75</v>
      </c>
      <c r="N2162" s="1">
        <v>42872.839583333334</v>
      </c>
      <c r="O2162" t="s">
        <v>33</v>
      </c>
    </row>
    <row r="2163" spans="1:15" x14ac:dyDescent="0.25">
      <c r="A2163" t="s">
        <v>1989</v>
      </c>
      <c r="B2163" t="s">
        <v>15</v>
      </c>
      <c r="C2163" t="s">
        <v>28</v>
      </c>
      <c r="D2163" t="s">
        <v>17</v>
      </c>
      <c r="E2163" t="s">
        <v>18</v>
      </c>
      <c r="F2163" t="s">
        <v>33</v>
      </c>
      <c r="G2163" t="s">
        <v>20</v>
      </c>
      <c r="J2163" t="s">
        <v>17</v>
      </c>
      <c r="K2163" t="str">
        <f>"45130900"</f>
        <v>45130900</v>
      </c>
      <c r="L2163" t="str">
        <f>"45130900"</f>
        <v>45130900</v>
      </c>
      <c r="M2163" t="s">
        <v>75</v>
      </c>
      <c r="N2163" s="1">
        <v>42872.839583333334</v>
      </c>
      <c r="O2163" t="s">
        <v>33</v>
      </c>
    </row>
    <row r="2164" spans="1:15" x14ac:dyDescent="0.25">
      <c r="A2164" t="s">
        <v>1990</v>
      </c>
      <c r="B2164" t="s">
        <v>15</v>
      </c>
      <c r="C2164" t="s">
        <v>28</v>
      </c>
      <c r="D2164" t="s">
        <v>17</v>
      </c>
      <c r="E2164" t="s">
        <v>18</v>
      </c>
      <c r="F2164" t="s">
        <v>33</v>
      </c>
      <c r="G2164" t="s">
        <v>20</v>
      </c>
      <c r="J2164" t="s">
        <v>17</v>
      </c>
      <c r="K2164" t="str">
        <f>"70131002"</f>
        <v>70131002</v>
      </c>
      <c r="L2164" t="str">
        <f>"70131002"</f>
        <v>70131002</v>
      </c>
      <c r="M2164" t="s">
        <v>75</v>
      </c>
      <c r="N2164" s="1">
        <v>42872.847222222219</v>
      </c>
      <c r="O2164" t="s">
        <v>33</v>
      </c>
    </row>
    <row r="2165" spans="1:15" x14ac:dyDescent="0.25">
      <c r="A2165" t="s">
        <v>1991</v>
      </c>
      <c r="B2165" t="s">
        <v>15</v>
      </c>
      <c r="C2165" t="s">
        <v>28</v>
      </c>
      <c r="D2165" t="s">
        <v>17</v>
      </c>
      <c r="E2165" t="s">
        <v>18</v>
      </c>
      <c r="F2165" t="s">
        <v>33</v>
      </c>
      <c r="G2165" t="s">
        <v>20</v>
      </c>
      <c r="J2165" t="s">
        <v>17</v>
      </c>
      <c r="K2165" t="str">
        <f>"50526389"</f>
        <v>50526389</v>
      </c>
      <c r="L2165" t="str">
        <f>"50526389"</f>
        <v>50526389</v>
      </c>
      <c r="M2165" t="s">
        <v>75</v>
      </c>
      <c r="N2165" s="1">
        <v>42872.839583333334</v>
      </c>
      <c r="O2165" t="s">
        <v>33</v>
      </c>
    </row>
    <row r="2166" spans="1:15" x14ac:dyDescent="0.25">
      <c r="A2166" t="s">
        <v>1992</v>
      </c>
      <c r="B2166" t="s">
        <v>15</v>
      </c>
      <c r="C2166" t="s">
        <v>28</v>
      </c>
      <c r="D2166" t="s">
        <v>17</v>
      </c>
      <c r="E2166" t="s">
        <v>18</v>
      </c>
      <c r="F2166" t="s">
        <v>33</v>
      </c>
      <c r="G2166" t="s">
        <v>20</v>
      </c>
      <c r="J2166" t="s">
        <v>17</v>
      </c>
      <c r="K2166" t="str">
        <f>"731310151"</f>
        <v>731310151</v>
      </c>
      <c r="L2166" t="str">
        <f>"731310151"</f>
        <v>731310151</v>
      </c>
      <c r="M2166" t="s">
        <v>75</v>
      </c>
      <c r="N2166" s="1">
        <v>42872.849305555559</v>
      </c>
      <c r="O2166" t="s">
        <v>33</v>
      </c>
    </row>
    <row r="2167" spans="1:15" x14ac:dyDescent="0.25">
      <c r="A2167" t="s">
        <v>1993</v>
      </c>
      <c r="B2167" t="s">
        <v>15</v>
      </c>
      <c r="C2167" t="s">
        <v>28</v>
      </c>
      <c r="D2167" t="s">
        <v>17</v>
      </c>
      <c r="E2167" t="s">
        <v>18</v>
      </c>
      <c r="F2167" t="s">
        <v>33</v>
      </c>
      <c r="G2167" t="s">
        <v>20</v>
      </c>
      <c r="J2167" t="s">
        <v>17</v>
      </c>
      <c r="K2167" t="str">
        <f>"62131003"</f>
        <v>62131003</v>
      </c>
      <c r="L2167" t="str">
        <f>"62131003"</f>
        <v>62131003</v>
      </c>
      <c r="M2167" t="s">
        <v>75</v>
      </c>
      <c r="N2167" s="1">
        <v>42872.839583333334</v>
      </c>
      <c r="O2167" t="s">
        <v>33</v>
      </c>
    </row>
    <row r="2168" spans="1:15" x14ac:dyDescent="0.25">
      <c r="A2168" t="s">
        <v>1994</v>
      </c>
      <c r="B2168" t="s">
        <v>15</v>
      </c>
      <c r="C2168" t="s">
        <v>28</v>
      </c>
      <c r="D2168" t="s">
        <v>17</v>
      </c>
      <c r="E2168" t="s">
        <v>18</v>
      </c>
      <c r="F2168" t="s">
        <v>33</v>
      </c>
      <c r="G2168" t="s">
        <v>20</v>
      </c>
      <c r="J2168" t="s">
        <v>17</v>
      </c>
      <c r="K2168" t="str">
        <f>"62131032"</f>
        <v>62131032</v>
      </c>
      <c r="L2168" t="str">
        <f>"62131032"</f>
        <v>62131032</v>
      </c>
      <c r="M2168" t="s">
        <v>75</v>
      </c>
      <c r="N2168" s="1">
        <v>42872.839583333334</v>
      </c>
      <c r="O2168" t="s">
        <v>33</v>
      </c>
    </row>
    <row r="2169" spans="1:15" x14ac:dyDescent="0.25">
      <c r="A2169" t="s">
        <v>1995</v>
      </c>
      <c r="B2169" t="s">
        <v>15</v>
      </c>
      <c r="C2169" t="s">
        <v>28</v>
      </c>
      <c r="D2169" t="s">
        <v>17</v>
      </c>
      <c r="E2169" t="s">
        <v>18</v>
      </c>
      <c r="F2169" t="s">
        <v>33</v>
      </c>
      <c r="G2169" t="s">
        <v>20</v>
      </c>
      <c r="J2169" t="s">
        <v>17</v>
      </c>
      <c r="K2169" t="str">
        <f>"62131062"</f>
        <v>62131062</v>
      </c>
      <c r="L2169" t="str">
        <f>"62131062"</f>
        <v>62131062</v>
      </c>
      <c r="M2169" t="s">
        <v>75</v>
      </c>
      <c r="N2169" s="1">
        <v>42872.839583333334</v>
      </c>
      <c r="O2169" t="s">
        <v>33</v>
      </c>
    </row>
    <row r="2170" spans="1:15" x14ac:dyDescent="0.25">
      <c r="A2170" t="s">
        <v>1996</v>
      </c>
      <c r="B2170" t="s">
        <v>15</v>
      </c>
      <c r="C2170" t="s">
        <v>28</v>
      </c>
      <c r="D2170" t="s">
        <v>17</v>
      </c>
      <c r="E2170" t="s">
        <v>18</v>
      </c>
      <c r="F2170" t="s">
        <v>33</v>
      </c>
      <c r="G2170" t="s">
        <v>20</v>
      </c>
      <c r="J2170" t="s">
        <v>17</v>
      </c>
      <c r="K2170" t="str">
        <f>"79131064"</f>
        <v>79131064</v>
      </c>
      <c r="L2170" t="str">
        <f>"79131064"</f>
        <v>79131064</v>
      </c>
      <c r="M2170" t="s">
        <v>75</v>
      </c>
      <c r="N2170" s="1">
        <v>42872.847222222219</v>
      </c>
      <c r="O2170" t="s">
        <v>33</v>
      </c>
    </row>
    <row r="2171" spans="1:15" x14ac:dyDescent="0.25">
      <c r="A2171" t="s">
        <v>1997</v>
      </c>
      <c r="B2171" t="s">
        <v>15</v>
      </c>
      <c r="C2171" t="s">
        <v>28</v>
      </c>
      <c r="D2171" t="s">
        <v>17</v>
      </c>
      <c r="E2171" t="s">
        <v>18</v>
      </c>
      <c r="F2171" t="s">
        <v>33</v>
      </c>
      <c r="G2171" t="s">
        <v>20</v>
      </c>
      <c r="J2171" t="s">
        <v>17</v>
      </c>
      <c r="K2171" t="str">
        <f>"94131064"</f>
        <v>94131064</v>
      </c>
      <c r="L2171" t="str">
        <f>"94131064"</f>
        <v>94131064</v>
      </c>
      <c r="M2171" t="s">
        <v>75</v>
      </c>
      <c r="N2171" s="1">
        <v>42872.847222222219</v>
      </c>
      <c r="O2171" t="s">
        <v>33</v>
      </c>
    </row>
    <row r="2172" spans="1:15" x14ac:dyDescent="0.25">
      <c r="A2172" t="s">
        <v>1998</v>
      </c>
      <c r="B2172" t="s">
        <v>15</v>
      </c>
      <c r="C2172" t="s">
        <v>1905</v>
      </c>
      <c r="D2172" t="s">
        <v>17</v>
      </c>
      <c r="E2172" t="s">
        <v>18</v>
      </c>
      <c r="F2172" t="s">
        <v>33</v>
      </c>
      <c r="G2172" t="s">
        <v>20</v>
      </c>
      <c r="J2172" t="s">
        <v>17</v>
      </c>
      <c r="K2172" t="str">
        <f>"40141000"</f>
        <v>40141000</v>
      </c>
      <c r="L2172" t="str">
        <f>"40141000"</f>
        <v>40141000</v>
      </c>
      <c r="M2172" t="s">
        <v>75</v>
      </c>
      <c r="N2172" s="1">
        <v>43067.820833333331</v>
      </c>
      <c r="O2172" t="s">
        <v>33</v>
      </c>
    </row>
    <row r="2173" spans="1:15" x14ac:dyDescent="0.25">
      <c r="A2173" t="s">
        <v>1999</v>
      </c>
      <c r="B2173" t="s">
        <v>15</v>
      </c>
      <c r="C2173" t="s">
        <v>28</v>
      </c>
      <c r="D2173" t="s">
        <v>17</v>
      </c>
      <c r="E2173" t="s">
        <v>18</v>
      </c>
      <c r="F2173" t="s">
        <v>33</v>
      </c>
      <c r="G2173" t="s">
        <v>20</v>
      </c>
      <c r="J2173" t="s">
        <v>17</v>
      </c>
      <c r="K2173" t="str">
        <f>"6947681533516"</f>
        <v>6947681533516</v>
      </c>
      <c r="L2173" t="str">
        <f>"721310268"</f>
        <v>721310268</v>
      </c>
      <c r="M2173" t="s">
        <v>75</v>
      </c>
      <c r="N2173" s="1">
        <v>42976.80972222222</v>
      </c>
      <c r="O2173" t="s">
        <v>33</v>
      </c>
    </row>
    <row r="2174" spans="1:15" x14ac:dyDescent="0.25">
      <c r="A2174" t="s">
        <v>2000</v>
      </c>
      <c r="B2174" t="s">
        <v>15</v>
      </c>
      <c r="C2174" t="s">
        <v>28</v>
      </c>
      <c r="D2174" t="s">
        <v>17</v>
      </c>
      <c r="E2174" t="s">
        <v>18</v>
      </c>
      <c r="F2174" t="s">
        <v>33</v>
      </c>
      <c r="G2174" t="s">
        <v>20</v>
      </c>
      <c r="J2174" t="s">
        <v>17</v>
      </c>
      <c r="K2174" t="str">
        <f>"301310121"</f>
        <v>301310121</v>
      </c>
      <c r="L2174" t="str">
        <f>"301310121"</f>
        <v>301310121</v>
      </c>
      <c r="M2174" t="s">
        <v>75</v>
      </c>
      <c r="N2174" s="1">
        <v>42872.849305555559</v>
      </c>
      <c r="O2174" t="s">
        <v>33</v>
      </c>
    </row>
    <row r="2175" spans="1:15" x14ac:dyDescent="0.25">
      <c r="A2175" t="s">
        <v>2001</v>
      </c>
      <c r="B2175" t="s">
        <v>15</v>
      </c>
      <c r="C2175" t="s">
        <v>28</v>
      </c>
      <c r="D2175" t="s">
        <v>17</v>
      </c>
      <c r="E2175" t="s">
        <v>18</v>
      </c>
      <c r="F2175" t="s">
        <v>33</v>
      </c>
      <c r="G2175" t="s">
        <v>20</v>
      </c>
      <c r="J2175" t="s">
        <v>17</v>
      </c>
      <c r="K2175" t="str">
        <f>"83131062"</f>
        <v>83131062</v>
      </c>
      <c r="L2175" t="str">
        <f>"83131062"</f>
        <v>83131062</v>
      </c>
      <c r="M2175" t="s">
        <v>75</v>
      </c>
      <c r="N2175" s="1">
        <v>42872.847222222219</v>
      </c>
      <c r="O2175" t="s">
        <v>33</v>
      </c>
    </row>
    <row r="2176" spans="1:15" x14ac:dyDescent="0.25">
      <c r="A2176" t="s">
        <v>2002</v>
      </c>
      <c r="B2176" t="s">
        <v>15</v>
      </c>
      <c r="C2176" t="s">
        <v>28</v>
      </c>
      <c r="D2176" t="s">
        <v>17</v>
      </c>
      <c r="E2176" t="s">
        <v>18</v>
      </c>
      <c r="F2176" t="s">
        <v>33</v>
      </c>
      <c r="G2176" t="s">
        <v>20</v>
      </c>
      <c r="J2176" t="s">
        <v>17</v>
      </c>
      <c r="K2176" t="str">
        <f>"45131000"</f>
        <v>45131000</v>
      </c>
      <c r="L2176" t="str">
        <f>"45131000"</f>
        <v>45131000</v>
      </c>
      <c r="M2176" t="s">
        <v>75</v>
      </c>
      <c r="N2176" s="1">
        <v>42872.839583333334</v>
      </c>
      <c r="O2176" t="s">
        <v>33</v>
      </c>
    </row>
    <row r="2177" spans="1:15" x14ac:dyDescent="0.25">
      <c r="A2177" t="s">
        <v>2003</v>
      </c>
      <c r="B2177" t="s">
        <v>15</v>
      </c>
      <c r="C2177" t="s">
        <v>28</v>
      </c>
      <c r="D2177" t="s">
        <v>17</v>
      </c>
      <c r="E2177" t="s">
        <v>18</v>
      </c>
      <c r="F2177" t="s">
        <v>33</v>
      </c>
      <c r="G2177" t="s">
        <v>20</v>
      </c>
      <c r="J2177" t="s">
        <v>17</v>
      </c>
      <c r="K2177" t="str">
        <f>"451313106"</f>
        <v>451313106</v>
      </c>
      <c r="L2177" t="str">
        <f>"451313106"</f>
        <v>451313106</v>
      </c>
      <c r="M2177" t="s">
        <v>75</v>
      </c>
      <c r="N2177" s="1">
        <v>42872.849305555559</v>
      </c>
      <c r="O2177" t="s">
        <v>33</v>
      </c>
    </row>
    <row r="2178" spans="1:15" x14ac:dyDescent="0.25">
      <c r="A2178" t="s">
        <v>2004</v>
      </c>
      <c r="B2178" t="s">
        <v>15</v>
      </c>
      <c r="C2178" t="s">
        <v>28</v>
      </c>
      <c r="D2178" t="s">
        <v>17</v>
      </c>
      <c r="E2178" t="s">
        <v>18</v>
      </c>
      <c r="F2178" t="s">
        <v>33</v>
      </c>
      <c r="G2178" t="s">
        <v>20</v>
      </c>
      <c r="J2178" t="s">
        <v>17</v>
      </c>
      <c r="K2178" t="str">
        <f>"7809596509538"</f>
        <v>7809596509538</v>
      </c>
      <c r="L2178" t="str">
        <f>"30131009"</f>
        <v>30131009</v>
      </c>
      <c r="M2178" t="s">
        <v>75</v>
      </c>
      <c r="N2178" s="1">
        <v>42969.607638888891</v>
      </c>
      <c r="O2178" t="s">
        <v>33</v>
      </c>
    </row>
    <row r="2179" spans="1:15" x14ac:dyDescent="0.25">
      <c r="A2179" t="s">
        <v>2005</v>
      </c>
      <c r="B2179" t="s">
        <v>15</v>
      </c>
      <c r="C2179" t="s">
        <v>28</v>
      </c>
      <c r="D2179" t="s">
        <v>17</v>
      </c>
      <c r="E2179" t="s">
        <v>18</v>
      </c>
      <c r="F2179" t="s">
        <v>33</v>
      </c>
      <c r="G2179" t="s">
        <v>20</v>
      </c>
      <c r="J2179" t="s">
        <v>17</v>
      </c>
      <c r="K2179" t="str">
        <f>"451324168"</f>
        <v>451324168</v>
      </c>
      <c r="L2179" t="str">
        <f>"451324168"</f>
        <v>451324168</v>
      </c>
      <c r="M2179" t="s">
        <v>75</v>
      </c>
      <c r="N2179" s="1">
        <v>42872.849305555559</v>
      </c>
      <c r="O2179" t="s">
        <v>33</v>
      </c>
    </row>
    <row r="2180" spans="1:15" x14ac:dyDescent="0.25">
      <c r="A2180" t="s">
        <v>2006</v>
      </c>
      <c r="B2180" t="s">
        <v>15</v>
      </c>
      <c r="C2180" t="s">
        <v>28</v>
      </c>
      <c r="D2180" t="s">
        <v>17</v>
      </c>
      <c r="E2180" t="s">
        <v>18</v>
      </c>
      <c r="F2180" t="s">
        <v>33</v>
      </c>
      <c r="G2180" t="s">
        <v>20</v>
      </c>
      <c r="J2180" t="s">
        <v>17</v>
      </c>
      <c r="K2180" t="str">
        <f>"74131455"</f>
        <v>74131455</v>
      </c>
      <c r="L2180" t="str">
        <f>"74131455"</f>
        <v>74131455</v>
      </c>
      <c r="M2180" t="s">
        <v>75</v>
      </c>
      <c r="N2180" s="1">
        <v>42872.847222222219</v>
      </c>
      <c r="O2180" t="s">
        <v>33</v>
      </c>
    </row>
    <row r="2181" spans="1:15" x14ac:dyDescent="0.25">
      <c r="A2181" t="s">
        <v>2007</v>
      </c>
      <c r="B2181" t="s">
        <v>15</v>
      </c>
      <c r="C2181" t="s">
        <v>28</v>
      </c>
      <c r="D2181" t="s">
        <v>17</v>
      </c>
      <c r="E2181" t="s">
        <v>18</v>
      </c>
      <c r="F2181" t="s">
        <v>33</v>
      </c>
      <c r="G2181" t="s">
        <v>20</v>
      </c>
      <c r="J2181" t="s">
        <v>17</v>
      </c>
      <c r="K2181" t="str">
        <f>"72131455"</f>
        <v>72131455</v>
      </c>
      <c r="L2181" t="str">
        <f>"72131455"</f>
        <v>72131455</v>
      </c>
      <c r="M2181" t="s">
        <v>75</v>
      </c>
      <c r="N2181" s="1">
        <v>42872.847222222219</v>
      </c>
      <c r="O2181" t="s">
        <v>33</v>
      </c>
    </row>
    <row r="2182" spans="1:15" x14ac:dyDescent="0.25">
      <c r="A2182" t="s">
        <v>2008</v>
      </c>
      <c r="B2182" t="s">
        <v>15</v>
      </c>
      <c r="C2182" t="s">
        <v>28</v>
      </c>
      <c r="D2182" t="s">
        <v>17</v>
      </c>
      <c r="E2182" t="s">
        <v>18</v>
      </c>
      <c r="F2182" t="s">
        <v>33</v>
      </c>
      <c r="G2182" t="s">
        <v>20</v>
      </c>
      <c r="J2182" t="s">
        <v>17</v>
      </c>
      <c r="K2182" t="str">
        <f>"50581110"</f>
        <v>50581110</v>
      </c>
      <c r="L2182" t="str">
        <f>"50581110"</f>
        <v>50581110</v>
      </c>
      <c r="M2182" t="s">
        <v>75</v>
      </c>
      <c r="N2182" s="1">
        <v>42872.839583333334</v>
      </c>
      <c r="O2182" t="s">
        <v>33</v>
      </c>
    </row>
    <row r="2183" spans="1:15" x14ac:dyDescent="0.25">
      <c r="A2183" t="s">
        <v>2009</v>
      </c>
      <c r="B2183" t="s">
        <v>15</v>
      </c>
      <c r="C2183" t="s">
        <v>28</v>
      </c>
      <c r="D2183" t="s">
        <v>17</v>
      </c>
      <c r="E2183" t="s">
        <v>18</v>
      </c>
      <c r="F2183" t="s">
        <v>33</v>
      </c>
      <c r="G2183" t="s">
        <v>20</v>
      </c>
      <c r="J2183" t="s">
        <v>17</v>
      </c>
      <c r="K2183" t="str">
        <f>"50131460"</f>
        <v>50131460</v>
      </c>
      <c r="L2183" t="str">
        <f>"50131460"</f>
        <v>50131460</v>
      </c>
      <c r="M2183" t="s">
        <v>75</v>
      </c>
      <c r="N2183" s="1">
        <v>42872.839583333334</v>
      </c>
      <c r="O2183" t="s">
        <v>33</v>
      </c>
    </row>
    <row r="2184" spans="1:15" x14ac:dyDescent="0.25">
      <c r="A2184" t="s">
        <v>2009</v>
      </c>
      <c r="B2184" t="s">
        <v>15</v>
      </c>
      <c r="C2184" t="s">
        <v>28</v>
      </c>
      <c r="D2184" t="s">
        <v>17</v>
      </c>
      <c r="E2184" t="s">
        <v>18</v>
      </c>
      <c r="F2184" t="s">
        <v>33</v>
      </c>
      <c r="G2184" t="s">
        <v>20</v>
      </c>
      <c r="J2184" t="s">
        <v>17</v>
      </c>
      <c r="K2184" t="str">
        <f>"72131460"</f>
        <v>72131460</v>
      </c>
      <c r="L2184" t="str">
        <f>"72131460"</f>
        <v>72131460</v>
      </c>
      <c r="M2184" t="s">
        <v>75</v>
      </c>
      <c r="N2184" s="1">
        <v>42872.847222222219</v>
      </c>
      <c r="O2184" t="s">
        <v>33</v>
      </c>
    </row>
    <row r="2185" spans="1:15" x14ac:dyDescent="0.25">
      <c r="A2185" t="s">
        <v>2009</v>
      </c>
      <c r="B2185" t="s">
        <v>15</v>
      </c>
      <c r="C2185" t="s">
        <v>28</v>
      </c>
      <c r="D2185" t="s">
        <v>17</v>
      </c>
      <c r="E2185" t="s">
        <v>18</v>
      </c>
      <c r="F2185" t="s">
        <v>33</v>
      </c>
      <c r="G2185" t="s">
        <v>20</v>
      </c>
      <c r="J2185" t="s">
        <v>17</v>
      </c>
      <c r="K2185" t="str">
        <f>"74131460"</f>
        <v>74131460</v>
      </c>
      <c r="L2185" t="str">
        <f>"74131460"</f>
        <v>74131460</v>
      </c>
      <c r="M2185" t="s">
        <v>75</v>
      </c>
      <c r="N2185" s="1">
        <v>42872.847222222219</v>
      </c>
      <c r="O2185" t="s">
        <v>33</v>
      </c>
    </row>
    <row r="2186" spans="1:15" x14ac:dyDescent="0.25">
      <c r="A2186" t="s">
        <v>2010</v>
      </c>
      <c r="B2186" t="s">
        <v>15</v>
      </c>
      <c r="C2186" t="s">
        <v>28</v>
      </c>
      <c r="D2186" t="s">
        <v>17</v>
      </c>
      <c r="E2186" t="s">
        <v>18</v>
      </c>
      <c r="F2186" t="s">
        <v>33</v>
      </c>
      <c r="G2186" t="s">
        <v>20</v>
      </c>
      <c r="J2186" t="s">
        <v>17</v>
      </c>
      <c r="K2186" t="str">
        <f>"72131430"</f>
        <v>72131430</v>
      </c>
      <c r="L2186" t="str">
        <f>"72131430"</f>
        <v>72131430</v>
      </c>
      <c r="M2186" t="s">
        <v>75</v>
      </c>
      <c r="N2186" s="1">
        <v>42872.847222222219</v>
      </c>
      <c r="O2186" t="s">
        <v>33</v>
      </c>
    </row>
    <row r="2187" spans="1:15" x14ac:dyDescent="0.25">
      <c r="A2187" t="s">
        <v>2011</v>
      </c>
      <c r="B2187" t="s">
        <v>15</v>
      </c>
      <c r="C2187" t="s">
        <v>28</v>
      </c>
      <c r="D2187" t="s">
        <v>17</v>
      </c>
      <c r="E2187" t="s">
        <v>18</v>
      </c>
      <c r="F2187" t="s">
        <v>33</v>
      </c>
      <c r="G2187" t="s">
        <v>20</v>
      </c>
      <c r="J2187" t="s">
        <v>17</v>
      </c>
      <c r="K2187" t="str">
        <f>"72131429"</f>
        <v>72131429</v>
      </c>
      <c r="L2187" t="str">
        <f>"72131429"</f>
        <v>72131429</v>
      </c>
      <c r="M2187" t="s">
        <v>75</v>
      </c>
      <c r="N2187" s="1">
        <v>42872.847222222219</v>
      </c>
      <c r="O2187" t="s">
        <v>33</v>
      </c>
    </row>
    <row r="2188" spans="1:15" x14ac:dyDescent="0.25">
      <c r="A2188" t="s">
        <v>2012</v>
      </c>
      <c r="B2188" t="s">
        <v>15</v>
      </c>
      <c r="C2188" t="s">
        <v>28</v>
      </c>
      <c r="D2188" t="s">
        <v>17</v>
      </c>
      <c r="E2188" t="s">
        <v>18</v>
      </c>
      <c r="F2188" t="s">
        <v>33</v>
      </c>
      <c r="G2188" t="s">
        <v>20</v>
      </c>
      <c r="J2188" t="s">
        <v>17</v>
      </c>
      <c r="K2188" t="str">
        <f>"79131430"</f>
        <v>79131430</v>
      </c>
      <c r="L2188" t="str">
        <f>"79131430"</f>
        <v>79131430</v>
      </c>
      <c r="M2188" t="s">
        <v>75</v>
      </c>
      <c r="N2188" s="1">
        <v>42872.847222222219</v>
      </c>
      <c r="O2188" t="s">
        <v>33</v>
      </c>
    </row>
    <row r="2189" spans="1:15" x14ac:dyDescent="0.25">
      <c r="A2189" t="s">
        <v>2013</v>
      </c>
      <c r="B2189" t="s">
        <v>15</v>
      </c>
      <c r="C2189" t="s">
        <v>28</v>
      </c>
      <c r="D2189" t="s">
        <v>17</v>
      </c>
      <c r="E2189" t="s">
        <v>18</v>
      </c>
      <c r="F2189" t="s">
        <v>33</v>
      </c>
      <c r="G2189" t="s">
        <v>20</v>
      </c>
      <c r="J2189" t="s">
        <v>17</v>
      </c>
      <c r="K2189" t="str">
        <f>"50131430"</f>
        <v>50131430</v>
      </c>
      <c r="L2189" t="str">
        <f>"50131430"</f>
        <v>50131430</v>
      </c>
      <c r="M2189" t="s">
        <v>75</v>
      </c>
      <c r="N2189" s="1">
        <v>42872.839583333334</v>
      </c>
      <c r="O2189" t="s">
        <v>33</v>
      </c>
    </row>
    <row r="2190" spans="1:15" x14ac:dyDescent="0.25">
      <c r="A2190" t="s">
        <v>2014</v>
      </c>
      <c r="B2190" t="s">
        <v>15</v>
      </c>
      <c r="C2190" t="s">
        <v>28</v>
      </c>
      <c r="D2190" t="s">
        <v>17</v>
      </c>
      <c r="E2190" t="s">
        <v>18</v>
      </c>
      <c r="F2190" t="s">
        <v>33</v>
      </c>
      <c r="G2190" t="s">
        <v>20</v>
      </c>
      <c r="J2190" t="s">
        <v>17</v>
      </c>
      <c r="K2190" t="str">
        <f>"73131443"</f>
        <v>73131443</v>
      </c>
      <c r="L2190" t="str">
        <f>"73131443"</f>
        <v>73131443</v>
      </c>
      <c r="M2190" t="s">
        <v>75</v>
      </c>
      <c r="N2190" s="1">
        <v>42872.847222222219</v>
      </c>
      <c r="O2190" t="s">
        <v>33</v>
      </c>
    </row>
    <row r="2191" spans="1:15" x14ac:dyDescent="0.25">
      <c r="A2191" t="s">
        <v>2015</v>
      </c>
      <c r="B2191" t="s">
        <v>15</v>
      </c>
      <c r="C2191" t="s">
        <v>28</v>
      </c>
      <c r="D2191" t="s">
        <v>17</v>
      </c>
      <c r="E2191" t="s">
        <v>18</v>
      </c>
      <c r="F2191" t="s">
        <v>33</v>
      </c>
      <c r="G2191" t="s">
        <v>20</v>
      </c>
      <c r="J2191" t="s">
        <v>17</v>
      </c>
      <c r="K2191" t="str">
        <f>"7809596420963"</f>
        <v>7809596420963</v>
      </c>
      <c r="L2191" t="str">
        <f>"831314108"</f>
        <v>831314108</v>
      </c>
      <c r="M2191" t="s">
        <v>75</v>
      </c>
      <c r="N2191" s="1">
        <v>43069.68472222222</v>
      </c>
      <c r="O2191" t="s">
        <v>33</v>
      </c>
    </row>
    <row r="2192" spans="1:15" x14ac:dyDescent="0.25">
      <c r="A2192" t="s">
        <v>2016</v>
      </c>
      <c r="B2192" t="s">
        <v>15</v>
      </c>
      <c r="C2192" t="s">
        <v>1619</v>
      </c>
      <c r="D2192" t="s">
        <v>17</v>
      </c>
      <c r="E2192" t="s">
        <v>18</v>
      </c>
      <c r="F2192" t="s">
        <v>33</v>
      </c>
      <c r="G2192" t="s">
        <v>20</v>
      </c>
      <c r="J2192" t="s">
        <v>17</v>
      </c>
      <c r="K2192" t="str">
        <f>"831314125"</f>
        <v>831314125</v>
      </c>
      <c r="L2192" t="str">
        <f>"831314125"</f>
        <v>831314125</v>
      </c>
      <c r="M2192" t="s">
        <v>75</v>
      </c>
      <c r="N2192" s="1">
        <v>42872.849305555559</v>
      </c>
      <c r="O2192" t="s">
        <v>33</v>
      </c>
    </row>
    <row r="2193" spans="1:15" x14ac:dyDescent="0.25">
      <c r="A2193" t="s">
        <v>2017</v>
      </c>
      <c r="B2193" t="s">
        <v>15</v>
      </c>
      <c r="C2193" t="s">
        <v>28</v>
      </c>
      <c r="D2193" t="s">
        <v>17</v>
      </c>
      <c r="E2193" t="s">
        <v>18</v>
      </c>
      <c r="F2193" t="s">
        <v>33</v>
      </c>
      <c r="G2193" t="s">
        <v>20</v>
      </c>
      <c r="J2193" t="s">
        <v>17</v>
      </c>
      <c r="K2193" t="str">
        <f>"791314433"</f>
        <v>791314433</v>
      </c>
      <c r="L2193" t="str">
        <f>"791314433"</f>
        <v>791314433</v>
      </c>
      <c r="M2193" t="s">
        <v>75</v>
      </c>
      <c r="N2193" s="1">
        <v>42872.849305555559</v>
      </c>
      <c r="O2193" t="s">
        <v>33</v>
      </c>
    </row>
    <row r="2194" spans="1:15" x14ac:dyDescent="0.25">
      <c r="A2194" t="s">
        <v>2018</v>
      </c>
      <c r="B2194" t="s">
        <v>15</v>
      </c>
      <c r="C2194" t="s">
        <v>28</v>
      </c>
      <c r="D2194" t="s">
        <v>17</v>
      </c>
      <c r="E2194" t="s">
        <v>18</v>
      </c>
      <c r="F2194" t="s">
        <v>33</v>
      </c>
      <c r="G2194" t="s">
        <v>20</v>
      </c>
      <c r="J2194" t="s">
        <v>17</v>
      </c>
      <c r="K2194" t="str">
        <f>"71131443"</f>
        <v>71131443</v>
      </c>
      <c r="L2194" t="str">
        <f>"71131443"</f>
        <v>71131443</v>
      </c>
      <c r="M2194" t="s">
        <v>75</v>
      </c>
      <c r="N2194" s="1">
        <v>42872.847222222219</v>
      </c>
      <c r="O2194" t="s">
        <v>33</v>
      </c>
    </row>
    <row r="2195" spans="1:15" x14ac:dyDescent="0.25">
      <c r="A2195" t="s">
        <v>1913</v>
      </c>
      <c r="B2195" t="s">
        <v>15</v>
      </c>
      <c r="C2195" t="s">
        <v>28</v>
      </c>
      <c r="D2195" t="s">
        <v>17</v>
      </c>
      <c r="E2195" t="s">
        <v>18</v>
      </c>
      <c r="F2195" t="s">
        <v>33</v>
      </c>
      <c r="G2195" t="s">
        <v>20</v>
      </c>
      <c r="J2195" t="s">
        <v>17</v>
      </c>
      <c r="K2195" t="str">
        <f>"941314266"</f>
        <v>941314266</v>
      </c>
      <c r="L2195" t="str">
        <f>"941314266"</f>
        <v>941314266</v>
      </c>
      <c r="M2195" t="s">
        <v>75</v>
      </c>
      <c r="N2195" s="1">
        <v>42872.849305555559</v>
      </c>
      <c r="O2195" t="s">
        <v>33</v>
      </c>
    </row>
    <row r="2196" spans="1:15" x14ac:dyDescent="0.25">
      <c r="A2196" t="s">
        <v>1913</v>
      </c>
      <c r="B2196" t="s">
        <v>15</v>
      </c>
      <c r="C2196" t="s">
        <v>28</v>
      </c>
      <c r="D2196" t="s">
        <v>17</v>
      </c>
      <c r="E2196" t="s">
        <v>18</v>
      </c>
      <c r="F2196" t="s">
        <v>33</v>
      </c>
      <c r="G2196" t="s">
        <v>20</v>
      </c>
      <c r="J2196" t="s">
        <v>17</v>
      </c>
      <c r="K2196" t="str">
        <f>"8806088576114"</f>
        <v>8806088576114</v>
      </c>
      <c r="L2196" t="str">
        <f>"721314266"</f>
        <v>721314266</v>
      </c>
      <c r="M2196" t="s">
        <v>75</v>
      </c>
      <c r="N2196" s="1">
        <v>42976.84652777778</v>
      </c>
      <c r="O2196" t="s">
        <v>33</v>
      </c>
    </row>
    <row r="2197" spans="1:15" x14ac:dyDescent="0.25">
      <c r="A2197" t="s">
        <v>2019</v>
      </c>
      <c r="B2197" t="s">
        <v>15</v>
      </c>
      <c r="C2197" t="s">
        <v>28</v>
      </c>
      <c r="D2197" t="s">
        <v>17</v>
      </c>
      <c r="E2197" t="s">
        <v>18</v>
      </c>
      <c r="F2197" t="s">
        <v>33</v>
      </c>
      <c r="G2197" t="s">
        <v>20</v>
      </c>
      <c r="J2197" t="s">
        <v>17</v>
      </c>
      <c r="K2197" t="str">
        <f>"8806088358321"</f>
        <v>8806088358321</v>
      </c>
      <c r="L2197" t="str">
        <f>"721314127"</f>
        <v>721314127</v>
      </c>
      <c r="M2197" t="s">
        <v>75</v>
      </c>
      <c r="N2197" s="1">
        <v>42972.919444444444</v>
      </c>
      <c r="O2197" t="s">
        <v>33</v>
      </c>
    </row>
    <row r="2198" spans="1:15" x14ac:dyDescent="0.25">
      <c r="A2198" t="s">
        <v>2020</v>
      </c>
      <c r="B2198" t="s">
        <v>15</v>
      </c>
      <c r="C2198" t="s">
        <v>28</v>
      </c>
      <c r="D2198" t="s">
        <v>17</v>
      </c>
      <c r="E2198" t="s">
        <v>18</v>
      </c>
      <c r="F2198" t="s">
        <v>33</v>
      </c>
      <c r="G2198" t="s">
        <v>20</v>
      </c>
      <c r="J2198" t="s">
        <v>17</v>
      </c>
      <c r="K2198" t="str">
        <f>"71131460"</f>
        <v>71131460</v>
      </c>
      <c r="L2198" t="str">
        <f>"71131460"</f>
        <v>71131460</v>
      </c>
      <c r="M2198" t="s">
        <v>75</v>
      </c>
      <c r="N2198" s="1">
        <v>42872.847222222219</v>
      </c>
      <c r="O2198" t="s">
        <v>33</v>
      </c>
    </row>
    <row r="2199" spans="1:15" x14ac:dyDescent="0.25">
      <c r="A2199" t="s">
        <v>2021</v>
      </c>
      <c r="B2199" t="s">
        <v>15</v>
      </c>
      <c r="C2199" t="s">
        <v>28</v>
      </c>
      <c r="D2199" t="s">
        <v>17</v>
      </c>
      <c r="E2199" t="s">
        <v>18</v>
      </c>
      <c r="F2199" t="s">
        <v>33</v>
      </c>
      <c r="G2199" t="s">
        <v>20</v>
      </c>
      <c r="J2199" t="s">
        <v>17</v>
      </c>
      <c r="K2199" t="str">
        <f>"89131484"</f>
        <v>89131484</v>
      </c>
      <c r="L2199" t="str">
        <f>"89131484"</f>
        <v>89131484</v>
      </c>
      <c r="M2199" t="s">
        <v>75</v>
      </c>
      <c r="N2199" s="1">
        <v>42872.847222222219</v>
      </c>
      <c r="O2199" t="s">
        <v>33</v>
      </c>
    </row>
    <row r="2200" spans="1:15" x14ac:dyDescent="0.25">
      <c r="A2200" t="s">
        <v>2022</v>
      </c>
      <c r="B2200" t="s">
        <v>15</v>
      </c>
      <c r="C2200" t="s">
        <v>28</v>
      </c>
      <c r="D2200" t="s">
        <v>17</v>
      </c>
      <c r="E2200" t="s">
        <v>18</v>
      </c>
      <c r="F2200" t="s">
        <v>33</v>
      </c>
      <c r="G2200" t="s">
        <v>20</v>
      </c>
      <c r="J2200" t="s">
        <v>17</v>
      </c>
      <c r="K2200" t="str">
        <f>"9013148401"</f>
        <v>9013148401</v>
      </c>
      <c r="L2200" t="str">
        <f>"9013148401"</f>
        <v>9013148401</v>
      </c>
      <c r="M2200" t="s">
        <v>75</v>
      </c>
      <c r="N2200" s="1">
        <v>42872.849305555559</v>
      </c>
      <c r="O2200" t="s">
        <v>33</v>
      </c>
    </row>
    <row r="2201" spans="1:15" x14ac:dyDescent="0.25">
      <c r="A2201" t="s">
        <v>2023</v>
      </c>
      <c r="B2201" t="s">
        <v>15</v>
      </c>
      <c r="C2201" t="s">
        <v>28</v>
      </c>
      <c r="D2201" t="s">
        <v>17</v>
      </c>
      <c r="E2201" t="s">
        <v>18</v>
      </c>
      <c r="F2201" t="s">
        <v>33</v>
      </c>
      <c r="G2201" t="s">
        <v>20</v>
      </c>
      <c r="J2201" t="s">
        <v>17</v>
      </c>
      <c r="K2201" t="str">
        <f>"9013148402"</f>
        <v>9013148402</v>
      </c>
      <c r="L2201" t="str">
        <f>"9013148402"</f>
        <v>9013148402</v>
      </c>
      <c r="M2201" t="s">
        <v>75</v>
      </c>
      <c r="N2201" s="1">
        <v>42872.849305555559</v>
      </c>
      <c r="O2201" t="s">
        <v>33</v>
      </c>
    </row>
    <row r="2202" spans="1:15" x14ac:dyDescent="0.25">
      <c r="A2202" t="s">
        <v>2024</v>
      </c>
      <c r="B2202" t="s">
        <v>15</v>
      </c>
      <c r="C2202" t="s">
        <v>28</v>
      </c>
      <c r="D2202" t="s">
        <v>17</v>
      </c>
      <c r="E2202" t="s">
        <v>18</v>
      </c>
      <c r="F2202" t="s">
        <v>33</v>
      </c>
      <c r="G2202" t="s">
        <v>20</v>
      </c>
      <c r="J2202" t="s">
        <v>17</v>
      </c>
      <c r="K2202" t="str">
        <f>"791314136"</f>
        <v>791314136</v>
      </c>
      <c r="L2202" t="str">
        <f>"791314136"</f>
        <v>791314136</v>
      </c>
      <c r="M2202" t="s">
        <v>75</v>
      </c>
      <c r="N2202" s="1">
        <v>42872.849305555559</v>
      </c>
      <c r="O2202" t="s">
        <v>33</v>
      </c>
    </row>
    <row r="2203" spans="1:15" x14ac:dyDescent="0.25">
      <c r="A2203" t="s">
        <v>2025</v>
      </c>
      <c r="B2203" t="s">
        <v>15</v>
      </c>
      <c r="C2203" t="s">
        <v>28</v>
      </c>
      <c r="D2203" t="s">
        <v>17</v>
      </c>
      <c r="E2203" t="s">
        <v>18</v>
      </c>
      <c r="F2203" t="s">
        <v>33</v>
      </c>
      <c r="G2203" t="s">
        <v>20</v>
      </c>
      <c r="J2203" t="s">
        <v>17</v>
      </c>
      <c r="K2203" t="str">
        <f>"45131413"</f>
        <v>45131413</v>
      </c>
      <c r="L2203" t="str">
        <f>"45131413"</f>
        <v>45131413</v>
      </c>
      <c r="M2203" t="s">
        <v>75</v>
      </c>
      <c r="N2203" s="1">
        <v>42872.839583333334</v>
      </c>
      <c r="O2203" t="s">
        <v>33</v>
      </c>
    </row>
    <row r="2204" spans="1:15" x14ac:dyDescent="0.25">
      <c r="A2204" t="s">
        <v>2026</v>
      </c>
      <c r="B2204" t="s">
        <v>15</v>
      </c>
      <c r="C2204" t="s">
        <v>28</v>
      </c>
      <c r="D2204" t="s">
        <v>17</v>
      </c>
      <c r="E2204" t="s">
        <v>18</v>
      </c>
      <c r="F2204" t="s">
        <v>33</v>
      </c>
      <c r="G2204" t="s">
        <v>20</v>
      </c>
      <c r="J2204" t="s">
        <v>17</v>
      </c>
      <c r="K2204" t="str">
        <f>"62131450"</f>
        <v>62131450</v>
      </c>
      <c r="L2204" t="str">
        <f>"62131450"</f>
        <v>62131450</v>
      </c>
      <c r="M2204" t="s">
        <v>75</v>
      </c>
      <c r="N2204" s="1">
        <v>42872.839583333334</v>
      </c>
      <c r="O2204" t="s">
        <v>33</v>
      </c>
    </row>
    <row r="2205" spans="1:15" x14ac:dyDescent="0.25">
      <c r="A2205" t="s">
        <v>2027</v>
      </c>
      <c r="B2205" t="s">
        <v>15</v>
      </c>
      <c r="C2205" t="s">
        <v>28</v>
      </c>
      <c r="D2205" t="s">
        <v>17</v>
      </c>
      <c r="E2205" t="s">
        <v>18</v>
      </c>
      <c r="F2205" t="s">
        <v>33</v>
      </c>
      <c r="G2205" t="s">
        <v>20</v>
      </c>
      <c r="J2205" t="s">
        <v>17</v>
      </c>
      <c r="K2205" t="str">
        <f>"451314500"</f>
        <v>451314500</v>
      </c>
      <c r="L2205" t="str">
        <f>"451314500"</f>
        <v>451314500</v>
      </c>
      <c r="M2205" t="s">
        <v>75</v>
      </c>
      <c r="N2205" s="1">
        <v>42872.849305555559</v>
      </c>
      <c r="O2205" t="s">
        <v>33</v>
      </c>
    </row>
    <row r="2206" spans="1:15" x14ac:dyDescent="0.25">
      <c r="A2206" t="s">
        <v>2028</v>
      </c>
      <c r="B2206" t="s">
        <v>15</v>
      </c>
      <c r="C2206" t="s">
        <v>28</v>
      </c>
      <c r="D2206" t="s">
        <v>17</v>
      </c>
      <c r="E2206" t="s">
        <v>18</v>
      </c>
      <c r="F2206" t="s">
        <v>33</v>
      </c>
      <c r="G2206" t="s">
        <v>20</v>
      </c>
      <c r="J2206" t="s">
        <v>17</v>
      </c>
      <c r="K2206" t="str">
        <f>"921314125"</f>
        <v>921314125</v>
      </c>
      <c r="L2206" t="str">
        <f>"921314125"</f>
        <v>921314125</v>
      </c>
      <c r="M2206" t="s">
        <v>75</v>
      </c>
      <c r="N2206" s="1">
        <v>42872.849305555559</v>
      </c>
      <c r="O2206" t="s">
        <v>33</v>
      </c>
    </row>
    <row r="2207" spans="1:15" x14ac:dyDescent="0.25">
      <c r="A2207" t="s">
        <v>2029</v>
      </c>
      <c r="B2207" t="s">
        <v>15</v>
      </c>
      <c r="C2207" t="s">
        <v>28</v>
      </c>
      <c r="D2207" t="s">
        <v>17</v>
      </c>
      <c r="E2207" t="s">
        <v>18</v>
      </c>
      <c r="F2207" t="s">
        <v>33</v>
      </c>
      <c r="G2207" t="s">
        <v>20</v>
      </c>
      <c r="J2207" t="s">
        <v>17</v>
      </c>
      <c r="K2207" t="str">
        <f>"941314270"</f>
        <v>941314270</v>
      </c>
      <c r="L2207" t="str">
        <f>"941314270"</f>
        <v>941314270</v>
      </c>
      <c r="M2207" t="s">
        <v>75</v>
      </c>
      <c r="N2207" s="1">
        <v>42872.849305555559</v>
      </c>
      <c r="O2207" t="s">
        <v>33</v>
      </c>
    </row>
    <row r="2208" spans="1:15" x14ac:dyDescent="0.25">
      <c r="A2208" t="s">
        <v>2030</v>
      </c>
      <c r="B2208" t="s">
        <v>15</v>
      </c>
      <c r="C2208" t="s">
        <v>28</v>
      </c>
      <c r="D2208" t="s">
        <v>17</v>
      </c>
      <c r="E2208" t="s">
        <v>18</v>
      </c>
      <c r="F2208" t="s">
        <v>33</v>
      </c>
      <c r="G2208" t="s">
        <v>20</v>
      </c>
      <c r="J2208" t="s">
        <v>17</v>
      </c>
      <c r="K2208" t="str">
        <f>"9013148501"</f>
        <v>9013148501</v>
      </c>
      <c r="L2208" t="str">
        <f>"9013148501"</f>
        <v>9013148501</v>
      </c>
      <c r="M2208" t="s">
        <v>75</v>
      </c>
      <c r="N2208" s="1">
        <v>42872.849305555559</v>
      </c>
      <c r="O2208" t="s">
        <v>33</v>
      </c>
    </row>
    <row r="2209" spans="1:15" x14ac:dyDescent="0.25">
      <c r="A2209" t="s">
        <v>2031</v>
      </c>
      <c r="B2209" t="s">
        <v>15</v>
      </c>
      <c r="C2209" t="s">
        <v>28</v>
      </c>
      <c r="D2209" t="s">
        <v>17</v>
      </c>
      <c r="E2209" t="s">
        <v>18</v>
      </c>
      <c r="F2209" t="s">
        <v>33</v>
      </c>
      <c r="G2209" t="s">
        <v>20</v>
      </c>
      <c r="J2209" t="s">
        <v>17</v>
      </c>
      <c r="K2209" t="str">
        <f>"9013148502"</f>
        <v>9013148502</v>
      </c>
      <c r="L2209" t="str">
        <f>"9013148502"</f>
        <v>9013148502</v>
      </c>
      <c r="M2209" t="s">
        <v>75</v>
      </c>
      <c r="N2209" s="1">
        <v>42872.849305555559</v>
      </c>
      <c r="O2209" t="s">
        <v>33</v>
      </c>
    </row>
    <row r="2210" spans="1:15" x14ac:dyDescent="0.25">
      <c r="A2210" t="s">
        <v>2032</v>
      </c>
      <c r="B2210" t="s">
        <v>15</v>
      </c>
      <c r="C2210" t="s">
        <v>28</v>
      </c>
      <c r="D2210" t="s">
        <v>17</v>
      </c>
      <c r="E2210" t="s">
        <v>18</v>
      </c>
      <c r="F2210" t="s">
        <v>33</v>
      </c>
      <c r="G2210" t="s">
        <v>20</v>
      </c>
      <c r="J2210" t="s">
        <v>17</v>
      </c>
      <c r="K2210" t="str">
        <f>"34130000"</f>
        <v>34130000</v>
      </c>
      <c r="L2210" t="str">
        <f>"34130000"</f>
        <v>34130000</v>
      </c>
      <c r="M2210" t="s">
        <v>75</v>
      </c>
      <c r="N2210" s="1">
        <v>42872.839583333334</v>
      </c>
      <c r="O2210" t="s">
        <v>33</v>
      </c>
    </row>
    <row r="2211" spans="1:15" x14ac:dyDescent="0.25">
      <c r="A2211" t="s">
        <v>2033</v>
      </c>
      <c r="B2211" t="s">
        <v>15</v>
      </c>
      <c r="C2211" t="s">
        <v>28</v>
      </c>
      <c r="D2211" t="s">
        <v>17</v>
      </c>
      <c r="E2211" t="s">
        <v>18</v>
      </c>
      <c r="F2211" t="s">
        <v>33</v>
      </c>
      <c r="G2211" t="s">
        <v>20</v>
      </c>
      <c r="J2211" t="s">
        <v>17</v>
      </c>
      <c r="K2211" t="str">
        <f>"62131802"</f>
        <v>62131802</v>
      </c>
      <c r="L2211" t="str">
        <f>"62131802"</f>
        <v>62131802</v>
      </c>
      <c r="M2211" t="s">
        <v>75</v>
      </c>
      <c r="N2211" s="1">
        <v>42872.839583333334</v>
      </c>
      <c r="O2211" t="s">
        <v>33</v>
      </c>
    </row>
    <row r="2212" spans="1:15" x14ac:dyDescent="0.25">
      <c r="A2212" t="s">
        <v>2034</v>
      </c>
      <c r="B2212" t="s">
        <v>15</v>
      </c>
      <c r="C2212" t="s">
        <v>28</v>
      </c>
      <c r="D2212" t="s">
        <v>17</v>
      </c>
      <c r="E2212" t="s">
        <v>18</v>
      </c>
      <c r="F2212" t="s">
        <v>33</v>
      </c>
      <c r="G2212" t="s">
        <v>20</v>
      </c>
      <c r="J2212" t="s">
        <v>17</v>
      </c>
      <c r="K2212" t="str">
        <f>"451318149"</f>
        <v>451318149</v>
      </c>
      <c r="L2212" t="str">
        <f>"451318149"</f>
        <v>451318149</v>
      </c>
      <c r="M2212" t="s">
        <v>75</v>
      </c>
      <c r="N2212" s="1">
        <v>42872.849305555559</v>
      </c>
      <c r="O2212" t="s">
        <v>33</v>
      </c>
    </row>
    <row r="2213" spans="1:15" x14ac:dyDescent="0.25">
      <c r="A2213" t="s">
        <v>2035</v>
      </c>
      <c r="B2213" t="s">
        <v>15</v>
      </c>
      <c r="C2213" t="s">
        <v>28</v>
      </c>
      <c r="D2213" t="s">
        <v>17</v>
      </c>
      <c r="E2213" t="s">
        <v>18</v>
      </c>
      <c r="F2213" t="s">
        <v>33</v>
      </c>
      <c r="G2213" t="s">
        <v>20</v>
      </c>
      <c r="J2213" t="s">
        <v>17</v>
      </c>
      <c r="K2213" t="str">
        <f>"621318793"</f>
        <v>621318793</v>
      </c>
      <c r="L2213" t="str">
        <f>"621318793"</f>
        <v>621318793</v>
      </c>
      <c r="M2213" t="s">
        <v>75</v>
      </c>
      <c r="N2213" s="1">
        <v>42872.849305555559</v>
      </c>
      <c r="O2213" t="s">
        <v>33</v>
      </c>
    </row>
    <row r="2214" spans="1:15" x14ac:dyDescent="0.25">
      <c r="A2214" t="s">
        <v>2036</v>
      </c>
      <c r="B2214" t="s">
        <v>15</v>
      </c>
      <c r="C2214" t="s">
        <v>23</v>
      </c>
      <c r="D2214" t="s">
        <v>17</v>
      </c>
      <c r="E2214" t="s">
        <v>18</v>
      </c>
      <c r="F2214" t="s">
        <v>19</v>
      </c>
      <c r="G2214" t="s">
        <v>20</v>
      </c>
      <c r="J2214" t="s">
        <v>17</v>
      </c>
      <c r="K2214" t="str">
        <f>"87000506"</f>
        <v>87000506</v>
      </c>
      <c r="L2214" t="str">
        <f>"87000506"</f>
        <v>87000506</v>
      </c>
      <c r="M2214" t="s">
        <v>75</v>
      </c>
      <c r="N2214" s="1">
        <v>42872.847222222219</v>
      </c>
      <c r="O2214" t="s">
        <v>19</v>
      </c>
    </row>
    <row r="2215" spans="1:15" x14ac:dyDescent="0.25">
      <c r="A2215" t="s">
        <v>2037</v>
      </c>
      <c r="B2215" t="s">
        <v>15</v>
      </c>
      <c r="C2215" t="s">
        <v>23</v>
      </c>
      <c r="D2215" t="s">
        <v>17</v>
      </c>
      <c r="E2215" t="s">
        <v>18</v>
      </c>
      <c r="F2215" t="s">
        <v>19</v>
      </c>
      <c r="G2215" t="s">
        <v>20</v>
      </c>
      <c r="J2215" t="s">
        <v>17</v>
      </c>
      <c r="K2215" t="str">
        <f>"87000508"</f>
        <v>87000508</v>
      </c>
      <c r="L2215" t="str">
        <f>"87000508"</f>
        <v>87000508</v>
      </c>
      <c r="M2215" t="s">
        <v>75</v>
      </c>
      <c r="N2215" s="1">
        <v>42872.847222222219</v>
      </c>
      <c r="O2215" t="s">
        <v>19</v>
      </c>
    </row>
    <row r="2216" spans="1:15" x14ac:dyDescent="0.25">
      <c r="A2216" t="s">
        <v>2038</v>
      </c>
      <c r="B2216" t="s">
        <v>15</v>
      </c>
      <c r="C2216" t="s">
        <v>23</v>
      </c>
      <c r="D2216" t="s">
        <v>17</v>
      </c>
      <c r="E2216" t="s">
        <v>18</v>
      </c>
      <c r="F2216" t="s">
        <v>19</v>
      </c>
      <c r="G2216" t="s">
        <v>20</v>
      </c>
      <c r="J2216" t="s">
        <v>17</v>
      </c>
      <c r="K2216" t="str">
        <f>"86090716"</f>
        <v>86090716</v>
      </c>
      <c r="L2216" t="str">
        <f>"86090716"</f>
        <v>86090716</v>
      </c>
      <c r="M2216" t="s">
        <v>75</v>
      </c>
      <c r="N2216" s="1">
        <v>42872.847222222219</v>
      </c>
      <c r="O2216" t="s">
        <v>19</v>
      </c>
    </row>
    <row r="2217" spans="1:15" x14ac:dyDescent="0.25">
      <c r="A2217" t="s">
        <v>2039</v>
      </c>
      <c r="B2217" t="s">
        <v>15</v>
      </c>
      <c r="C2217" t="s">
        <v>23</v>
      </c>
      <c r="D2217" t="s">
        <v>17</v>
      </c>
      <c r="E2217" t="s">
        <v>18</v>
      </c>
      <c r="F2217" t="s">
        <v>19</v>
      </c>
      <c r="G2217" t="s">
        <v>20</v>
      </c>
      <c r="J2217" t="s">
        <v>17</v>
      </c>
      <c r="K2217" t="str">
        <f>"76170715"</f>
        <v>76170715</v>
      </c>
      <c r="L2217" t="str">
        <f>"76170715"</f>
        <v>76170715</v>
      </c>
      <c r="M2217" t="s">
        <v>75</v>
      </c>
      <c r="N2217" s="1">
        <v>42872.847222222219</v>
      </c>
      <c r="O2217" t="s">
        <v>19</v>
      </c>
    </row>
    <row r="2218" spans="1:15" x14ac:dyDescent="0.25">
      <c r="A2218" t="s">
        <v>2040</v>
      </c>
      <c r="B2218" t="s">
        <v>15</v>
      </c>
      <c r="C2218" t="s">
        <v>23</v>
      </c>
      <c r="D2218" t="s">
        <v>17</v>
      </c>
      <c r="E2218" t="s">
        <v>18</v>
      </c>
      <c r="F2218" t="s">
        <v>19</v>
      </c>
      <c r="G2218" t="s">
        <v>20</v>
      </c>
      <c r="J2218" t="s">
        <v>17</v>
      </c>
      <c r="K2218" t="str">
        <f>"87001226"</f>
        <v>87001226</v>
      </c>
      <c r="L2218" t="str">
        <f>"87001226"</f>
        <v>87001226</v>
      </c>
      <c r="M2218" t="s">
        <v>75</v>
      </c>
      <c r="N2218" s="1">
        <v>42872.847222222219</v>
      </c>
      <c r="O2218" t="s">
        <v>19</v>
      </c>
    </row>
    <row r="2219" spans="1:15" x14ac:dyDescent="0.25">
      <c r="A2219" t="s">
        <v>2041</v>
      </c>
      <c r="B2219" t="s">
        <v>15</v>
      </c>
      <c r="C2219" t="s">
        <v>164</v>
      </c>
      <c r="D2219" t="s">
        <v>17</v>
      </c>
      <c r="E2219" t="s">
        <v>18</v>
      </c>
      <c r="F2219" t="s">
        <v>19</v>
      </c>
      <c r="G2219" t="s">
        <v>20</v>
      </c>
      <c r="J2219" t="s">
        <v>17</v>
      </c>
      <c r="K2219" t="str">
        <f>"7805300052062"</f>
        <v>7805300052062</v>
      </c>
      <c r="L2219" t="str">
        <f>"47886544"</f>
        <v>47886544</v>
      </c>
      <c r="M2219" t="s">
        <v>21</v>
      </c>
      <c r="N2219" s="1">
        <v>44042.65</v>
      </c>
      <c r="O2219" t="s">
        <v>19</v>
      </c>
    </row>
    <row r="2220" spans="1:15" x14ac:dyDescent="0.25">
      <c r="A2220" t="s">
        <v>2042</v>
      </c>
      <c r="B2220" t="s">
        <v>15</v>
      </c>
      <c r="C2220" t="s">
        <v>164</v>
      </c>
      <c r="D2220" t="s">
        <v>17</v>
      </c>
      <c r="E2220" t="s">
        <v>18</v>
      </c>
      <c r="F2220" t="s">
        <v>19</v>
      </c>
      <c r="G2220" t="s">
        <v>20</v>
      </c>
      <c r="J2220" t="s">
        <v>17</v>
      </c>
      <c r="K2220" t="str">
        <f>"7805040001016"</f>
        <v>7805040001016</v>
      </c>
      <c r="L2220" t="str">
        <f>"47881016"</f>
        <v>47881016</v>
      </c>
      <c r="M2220" t="s">
        <v>21</v>
      </c>
      <c r="N2220" s="1">
        <v>44285.73541666667</v>
      </c>
      <c r="O2220" t="s">
        <v>19</v>
      </c>
    </row>
    <row r="2221" spans="1:15" x14ac:dyDescent="0.25">
      <c r="A2221" t="s">
        <v>2043</v>
      </c>
      <c r="B2221" t="s">
        <v>15</v>
      </c>
      <c r="C2221" t="s">
        <v>164</v>
      </c>
      <c r="D2221" t="s">
        <v>17</v>
      </c>
      <c r="E2221" t="s">
        <v>18</v>
      </c>
      <c r="F2221" t="s">
        <v>19</v>
      </c>
      <c r="G2221" t="s">
        <v>20</v>
      </c>
      <c r="J2221" t="s">
        <v>17</v>
      </c>
      <c r="K2221" t="str">
        <f>"7805050583533"</f>
        <v>7805050583533</v>
      </c>
      <c r="L2221" t="str">
        <f>"47881111"</f>
        <v>47881111</v>
      </c>
      <c r="M2221" t="s">
        <v>21</v>
      </c>
      <c r="N2221" s="1">
        <v>44320.881944444445</v>
      </c>
      <c r="O2221" t="s">
        <v>19</v>
      </c>
    </row>
    <row r="2222" spans="1:15" x14ac:dyDescent="0.25">
      <c r="A2222" t="s">
        <v>2044</v>
      </c>
      <c r="B2222" t="s">
        <v>15</v>
      </c>
      <c r="C2222" t="s">
        <v>37</v>
      </c>
      <c r="D2222" t="s">
        <v>17</v>
      </c>
      <c r="E2222" t="s">
        <v>18</v>
      </c>
      <c r="F2222" t="s">
        <v>19</v>
      </c>
      <c r="G2222" t="s">
        <v>20</v>
      </c>
      <c r="J2222" t="s">
        <v>17</v>
      </c>
      <c r="K2222" t="str">
        <f>"10013671"</f>
        <v>10013671</v>
      </c>
      <c r="L2222" t="str">
        <f>"10013671"</f>
        <v>10013671</v>
      </c>
      <c r="M2222" t="s">
        <v>21</v>
      </c>
      <c r="N2222" s="1">
        <v>43666.881249999999</v>
      </c>
      <c r="O2222" t="s">
        <v>19</v>
      </c>
    </row>
    <row r="2223" spans="1:15" x14ac:dyDescent="0.25">
      <c r="A2223" t="s">
        <v>2045</v>
      </c>
      <c r="B2223" t="s">
        <v>15</v>
      </c>
      <c r="C2223" t="s">
        <v>37</v>
      </c>
      <c r="D2223" t="s">
        <v>17</v>
      </c>
      <c r="E2223" t="s">
        <v>18</v>
      </c>
      <c r="F2223" t="s">
        <v>19</v>
      </c>
      <c r="G2223" t="s">
        <v>20</v>
      </c>
      <c r="J2223" t="s">
        <v>17</v>
      </c>
      <c r="K2223" t="str">
        <f>"6302201602118"</f>
        <v>6302201602118</v>
      </c>
      <c r="L2223" t="str">
        <f>"10004607"</f>
        <v>10004607</v>
      </c>
      <c r="M2223" t="s">
        <v>21</v>
      </c>
      <c r="N2223" s="1">
        <v>43820.84375</v>
      </c>
      <c r="O2223" t="s">
        <v>19</v>
      </c>
    </row>
    <row r="2224" spans="1:15" x14ac:dyDescent="0.25">
      <c r="A2224" t="s">
        <v>2046</v>
      </c>
      <c r="B2224" t="s">
        <v>15</v>
      </c>
      <c r="C2224" t="s">
        <v>37</v>
      </c>
      <c r="D2224" t="s">
        <v>17</v>
      </c>
      <c r="E2224" t="s">
        <v>18</v>
      </c>
      <c r="F2224" t="s">
        <v>19</v>
      </c>
      <c r="G2224" t="s">
        <v>20</v>
      </c>
      <c r="J2224" t="s">
        <v>17</v>
      </c>
      <c r="K2224" t="str">
        <f>"10003827"</f>
        <v>10003827</v>
      </c>
      <c r="L2224" t="str">
        <f>"10003827"</f>
        <v>10003827</v>
      </c>
      <c r="M2224" t="s">
        <v>21</v>
      </c>
      <c r="N2224" s="1">
        <v>43893.667361111111</v>
      </c>
      <c r="O2224" t="s">
        <v>19</v>
      </c>
    </row>
    <row r="2225" spans="1:15" x14ac:dyDescent="0.25">
      <c r="A2225" t="s">
        <v>2047</v>
      </c>
      <c r="B2225" t="s">
        <v>15</v>
      </c>
      <c r="C2225" t="s">
        <v>37</v>
      </c>
      <c r="D2225" t="s">
        <v>17</v>
      </c>
      <c r="E2225" t="s">
        <v>18</v>
      </c>
      <c r="F2225" t="s">
        <v>19</v>
      </c>
      <c r="G2225" t="s">
        <v>20</v>
      </c>
      <c r="J2225" t="s">
        <v>17</v>
      </c>
      <c r="K2225" t="str">
        <f>"63520002"</f>
        <v>63520002</v>
      </c>
      <c r="L2225" t="str">
        <f>"63520002"</f>
        <v>63520002</v>
      </c>
      <c r="M2225" t="s">
        <v>21</v>
      </c>
      <c r="N2225" s="1">
        <v>43742.685416666667</v>
      </c>
      <c r="O2225" t="s">
        <v>19</v>
      </c>
    </row>
    <row r="2226" spans="1:15" x14ac:dyDescent="0.25">
      <c r="A2226" t="s">
        <v>2048</v>
      </c>
      <c r="B2226" t="s">
        <v>15</v>
      </c>
      <c r="C2226" t="s">
        <v>37</v>
      </c>
      <c r="D2226" t="s">
        <v>17</v>
      </c>
      <c r="E2226" t="s">
        <v>18</v>
      </c>
      <c r="F2226" t="s">
        <v>19</v>
      </c>
      <c r="G2226" t="s">
        <v>20</v>
      </c>
      <c r="J2226" t="s">
        <v>17</v>
      </c>
      <c r="K2226" t="str">
        <f>"7858816062650"</f>
        <v>7858816062650</v>
      </c>
      <c r="L2226" t="str">
        <f>"87526265"</f>
        <v>87526265</v>
      </c>
      <c r="M2226" t="s">
        <v>21</v>
      </c>
      <c r="N2226" s="1">
        <v>44211.861805555556</v>
      </c>
      <c r="O2226" t="s">
        <v>19</v>
      </c>
    </row>
    <row r="2227" spans="1:15" x14ac:dyDescent="0.25">
      <c r="A2227" t="s">
        <v>2049</v>
      </c>
      <c r="B2227" t="s">
        <v>15</v>
      </c>
      <c r="C2227" t="s">
        <v>1619</v>
      </c>
      <c r="D2227" t="s">
        <v>17</v>
      </c>
      <c r="E2227" t="s">
        <v>18</v>
      </c>
      <c r="F2227" t="s">
        <v>19</v>
      </c>
      <c r="G2227" t="s">
        <v>20</v>
      </c>
      <c r="J2227" t="s">
        <v>17</v>
      </c>
      <c r="K2227" t="str">
        <f>"67121402"</f>
        <v>67121402</v>
      </c>
      <c r="L2227" t="str">
        <f>"67121402"</f>
        <v>67121402</v>
      </c>
      <c r="M2227" t="s">
        <v>75</v>
      </c>
      <c r="N2227" s="1">
        <v>42872.847222222219</v>
      </c>
      <c r="O2227" t="s">
        <v>19</v>
      </c>
    </row>
    <row r="2228" spans="1:15" x14ac:dyDescent="0.25">
      <c r="A2228" t="s">
        <v>2050</v>
      </c>
      <c r="B2228" t="s">
        <v>15</v>
      </c>
      <c r="C2228" t="s">
        <v>23</v>
      </c>
      <c r="D2228" t="s">
        <v>17</v>
      </c>
      <c r="E2228" t="s">
        <v>18</v>
      </c>
      <c r="F2228" t="s">
        <v>19</v>
      </c>
      <c r="G2228" t="s">
        <v>20</v>
      </c>
      <c r="J2228" t="s">
        <v>17</v>
      </c>
      <c r="K2228" t="str">
        <f>"10014221"</f>
        <v>10014221</v>
      </c>
      <c r="L2228" t="str">
        <f>"10014221"</f>
        <v>10014221</v>
      </c>
      <c r="M2228" t="s">
        <v>21</v>
      </c>
      <c r="N2228" s="1">
        <v>43708.709027777775</v>
      </c>
      <c r="O2228" t="s">
        <v>19</v>
      </c>
    </row>
    <row r="2229" spans="1:15" x14ac:dyDescent="0.25">
      <c r="A2229" t="s">
        <v>2051</v>
      </c>
      <c r="B2229" t="s">
        <v>15</v>
      </c>
      <c r="C2229" t="s">
        <v>23</v>
      </c>
      <c r="D2229" t="s">
        <v>17</v>
      </c>
      <c r="E2229" t="s">
        <v>18</v>
      </c>
      <c r="F2229" t="s">
        <v>19</v>
      </c>
      <c r="G2229" t="s">
        <v>20</v>
      </c>
      <c r="J2229" t="s">
        <v>17</v>
      </c>
      <c r="K2229" t="str">
        <f>"10013011"</f>
        <v>10013011</v>
      </c>
      <c r="L2229" t="str">
        <f>"10013011"</f>
        <v>10013011</v>
      </c>
      <c r="M2229" t="s">
        <v>21</v>
      </c>
      <c r="N2229" s="1">
        <v>43708.709722222222</v>
      </c>
      <c r="O2229" t="s">
        <v>19</v>
      </c>
    </row>
    <row r="2230" spans="1:15" x14ac:dyDescent="0.25">
      <c r="A2230" t="s">
        <v>2052</v>
      </c>
      <c r="B2230" t="s">
        <v>15</v>
      </c>
      <c r="C2230" t="s">
        <v>23</v>
      </c>
      <c r="D2230" t="s">
        <v>17</v>
      </c>
      <c r="E2230" t="s">
        <v>18</v>
      </c>
      <c r="F2230" t="s">
        <v>19</v>
      </c>
      <c r="G2230" t="s">
        <v>20</v>
      </c>
      <c r="J2230" t="s">
        <v>17</v>
      </c>
      <c r="K2230" t="str">
        <f>"10012967"</f>
        <v>10012967</v>
      </c>
      <c r="L2230" t="str">
        <f>"10012967"</f>
        <v>10012967</v>
      </c>
      <c r="M2230" t="s">
        <v>21</v>
      </c>
      <c r="N2230" s="1">
        <v>43612.621527777781</v>
      </c>
      <c r="O2230" t="s">
        <v>19</v>
      </c>
    </row>
    <row r="2231" spans="1:15" x14ac:dyDescent="0.25">
      <c r="A2231" t="s">
        <v>2053</v>
      </c>
      <c r="B2231" t="s">
        <v>15</v>
      </c>
      <c r="C2231" t="s">
        <v>1619</v>
      </c>
      <c r="D2231" t="s">
        <v>17</v>
      </c>
      <c r="E2231" t="s">
        <v>18</v>
      </c>
      <c r="F2231" t="s">
        <v>19</v>
      </c>
      <c r="G2231" t="s">
        <v>20</v>
      </c>
      <c r="J2231" t="s">
        <v>17</v>
      </c>
      <c r="K2231" t="str">
        <f>"67121403"</f>
        <v>67121403</v>
      </c>
      <c r="L2231" t="str">
        <f>"67121403"</f>
        <v>67121403</v>
      </c>
      <c r="M2231" t="s">
        <v>75</v>
      </c>
      <c r="N2231" s="1">
        <v>42872.847222222219</v>
      </c>
      <c r="O2231" t="s">
        <v>19</v>
      </c>
    </row>
    <row r="2232" spans="1:15" x14ac:dyDescent="0.25">
      <c r="A2232" t="s">
        <v>2054</v>
      </c>
      <c r="B2232" t="s">
        <v>15</v>
      </c>
      <c r="C2232" t="s">
        <v>37</v>
      </c>
      <c r="D2232" t="s">
        <v>17</v>
      </c>
      <c r="E2232" t="s">
        <v>18</v>
      </c>
      <c r="F2232" t="s">
        <v>19</v>
      </c>
      <c r="G2232" t="s">
        <v>20</v>
      </c>
      <c r="J2232" t="s">
        <v>17</v>
      </c>
      <c r="K2232" t="str">
        <f>"79790700"</f>
        <v>79790700</v>
      </c>
      <c r="L2232" t="str">
        <f>"79790700"</f>
        <v>79790700</v>
      </c>
      <c r="M2232" t="s">
        <v>75</v>
      </c>
      <c r="N2232" s="1">
        <v>42958.686111111114</v>
      </c>
      <c r="O2232" t="s">
        <v>19</v>
      </c>
    </row>
    <row r="2233" spans="1:15" x14ac:dyDescent="0.25">
      <c r="A2233" t="s">
        <v>2055</v>
      </c>
      <c r="B2233" t="s">
        <v>15</v>
      </c>
      <c r="C2233" t="s">
        <v>37</v>
      </c>
      <c r="D2233" t="s">
        <v>17</v>
      </c>
      <c r="E2233" t="s">
        <v>18</v>
      </c>
      <c r="F2233" t="s">
        <v>19</v>
      </c>
      <c r="G2233" t="s">
        <v>20</v>
      </c>
      <c r="J2233" t="s">
        <v>17</v>
      </c>
      <c r="K2233" t="str">
        <f>"8669885020095"</f>
        <v>8669885020095</v>
      </c>
      <c r="L2233" t="str">
        <f>"66522009"</f>
        <v>66522009</v>
      </c>
      <c r="M2233" t="s">
        <v>75</v>
      </c>
      <c r="N2233" s="1">
        <v>43096.902777777781</v>
      </c>
      <c r="O2233" t="s">
        <v>19</v>
      </c>
    </row>
    <row r="2234" spans="1:15" x14ac:dyDescent="0.25">
      <c r="A2234" t="s">
        <v>2056</v>
      </c>
      <c r="B2234" t="s">
        <v>15</v>
      </c>
      <c r="C2234" t="s">
        <v>37</v>
      </c>
      <c r="D2234" t="s">
        <v>17</v>
      </c>
      <c r="E2234" t="s">
        <v>18</v>
      </c>
      <c r="F2234" t="s">
        <v>19</v>
      </c>
      <c r="G2234" t="s">
        <v>20</v>
      </c>
      <c r="J2234" t="s">
        <v>17</v>
      </c>
      <c r="K2234" t="str">
        <f>"7858816014055"</f>
        <v>7858816014055</v>
      </c>
      <c r="L2234" t="str">
        <f>"87521405"</f>
        <v>87521405</v>
      </c>
      <c r="M2234" t="s">
        <v>75</v>
      </c>
      <c r="N2234" s="1">
        <v>42907.938888888886</v>
      </c>
      <c r="O2234" t="s">
        <v>19</v>
      </c>
    </row>
    <row r="2235" spans="1:15" x14ac:dyDescent="0.25">
      <c r="A2235" t="s">
        <v>2057</v>
      </c>
      <c r="B2235" t="s">
        <v>15</v>
      </c>
      <c r="C2235" t="s">
        <v>37</v>
      </c>
      <c r="D2235" t="s">
        <v>17</v>
      </c>
      <c r="E2235" t="s">
        <v>18</v>
      </c>
      <c r="F2235" t="s">
        <v>19</v>
      </c>
      <c r="G2235" t="s">
        <v>20</v>
      </c>
      <c r="J2235" t="s">
        <v>17</v>
      </c>
      <c r="K2235" t="str">
        <f>"023942979012"</f>
        <v>023942979012</v>
      </c>
      <c r="L2235" t="str">
        <f>"98520010"</f>
        <v>98520010</v>
      </c>
      <c r="M2235" t="s">
        <v>21</v>
      </c>
      <c r="N2235" s="1">
        <v>43642.931944444441</v>
      </c>
      <c r="O2235" t="s">
        <v>19</v>
      </c>
    </row>
    <row r="2236" spans="1:15" x14ac:dyDescent="0.25">
      <c r="A2236" t="s">
        <v>2058</v>
      </c>
      <c r="B2236" t="s">
        <v>15</v>
      </c>
      <c r="C2236" t="s">
        <v>171</v>
      </c>
      <c r="D2236" t="s">
        <v>17</v>
      </c>
      <c r="E2236" t="s">
        <v>18</v>
      </c>
      <c r="F2236" t="s">
        <v>19</v>
      </c>
      <c r="G2236" t="s">
        <v>20</v>
      </c>
      <c r="J2236" t="s">
        <v>17</v>
      </c>
      <c r="K2236" t="str">
        <f>"10001339"</f>
        <v>10001339</v>
      </c>
      <c r="L2236" t="str">
        <f>"10001339"</f>
        <v>10001339</v>
      </c>
      <c r="M2236" t="s">
        <v>21</v>
      </c>
      <c r="N2236" s="1">
        <v>43666.876388888886</v>
      </c>
      <c r="O2236" t="s">
        <v>19</v>
      </c>
    </row>
    <row r="2237" spans="1:15" x14ac:dyDescent="0.25">
      <c r="A2237" t="s">
        <v>2059</v>
      </c>
      <c r="B2237" t="s">
        <v>15</v>
      </c>
      <c r="C2237" t="s">
        <v>37</v>
      </c>
      <c r="D2237" t="s">
        <v>17</v>
      </c>
      <c r="E2237" t="s">
        <v>18</v>
      </c>
      <c r="F2237" t="s">
        <v>19</v>
      </c>
      <c r="G2237" t="s">
        <v>20</v>
      </c>
      <c r="J2237" t="s">
        <v>17</v>
      </c>
      <c r="K2237" t="str">
        <f>"7298219785280"</f>
        <v>7298219785280</v>
      </c>
      <c r="L2237" t="str">
        <f>"10001505"</f>
        <v>10001505</v>
      </c>
      <c r="M2237" t="s">
        <v>21</v>
      </c>
      <c r="N2237" s="1">
        <v>43596.638888888891</v>
      </c>
      <c r="O2237" t="s">
        <v>19</v>
      </c>
    </row>
    <row r="2238" spans="1:15" x14ac:dyDescent="0.25">
      <c r="A2238" t="s">
        <v>2060</v>
      </c>
      <c r="B2238" t="s">
        <v>15</v>
      </c>
      <c r="C2238" t="s">
        <v>37</v>
      </c>
      <c r="D2238" t="s">
        <v>17</v>
      </c>
      <c r="E2238" t="s">
        <v>18</v>
      </c>
      <c r="F2238" t="s">
        <v>19</v>
      </c>
      <c r="G2238" t="s">
        <v>20</v>
      </c>
      <c r="J2238" t="s">
        <v>17</v>
      </c>
      <c r="K2238" t="str">
        <f>"66000714"</f>
        <v>66000714</v>
      </c>
      <c r="L2238" t="str">
        <f>"66000714"</f>
        <v>66000714</v>
      </c>
      <c r="M2238" t="s">
        <v>75</v>
      </c>
      <c r="N2238" s="1">
        <v>42872.839583333334</v>
      </c>
      <c r="O2238" t="s">
        <v>19</v>
      </c>
    </row>
    <row r="2239" spans="1:15" x14ac:dyDescent="0.25">
      <c r="A2239" t="s">
        <v>2061</v>
      </c>
      <c r="B2239" t="s">
        <v>15</v>
      </c>
      <c r="C2239" t="s">
        <v>37</v>
      </c>
      <c r="D2239" t="s">
        <v>17</v>
      </c>
      <c r="E2239" t="s">
        <v>18</v>
      </c>
      <c r="F2239" t="s">
        <v>19</v>
      </c>
      <c r="G2239" t="s">
        <v>20</v>
      </c>
      <c r="J2239" t="s">
        <v>17</v>
      </c>
      <c r="K2239" t="str">
        <f>"6985081029888"</f>
        <v>6985081029888</v>
      </c>
      <c r="L2239" t="str">
        <f>"10113200"</f>
        <v>10113200</v>
      </c>
      <c r="M2239" t="s">
        <v>21</v>
      </c>
      <c r="N2239" s="1">
        <v>43126.656944444447</v>
      </c>
      <c r="O2239" t="s">
        <v>19</v>
      </c>
    </row>
    <row r="2240" spans="1:15" x14ac:dyDescent="0.25">
      <c r="A2240" t="s">
        <v>2062</v>
      </c>
      <c r="B2240" t="s">
        <v>15</v>
      </c>
      <c r="C2240" t="s">
        <v>37</v>
      </c>
      <c r="D2240" t="s">
        <v>17</v>
      </c>
      <c r="E2240" t="s">
        <v>18</v>
      </c>
      <c r="F2240" t="s">
        <v>19</v>
      </c>
      <c r="G2240" t="s">
        <v>20</v>
      </c>
      <c r="J2240" t="s">
        <v>17</v>
      </c>
      <c r="K2240" t="str">
        <f>"7858816075643"</f>
        <v>7858816075643</v>
      </c>
      <c r="L2240" t="str">
        <f>"87527564"</f>
        <v>87527564</v>
      </c>
      <c r="M2240" t="s">
        <v>21</v>
      </c>
      <c r="N2240" s="1">
        <v>42872.847222222219</v>
      </c>
      <c r="O2240" t="s">
        <v>19</v>
      </c>
    </row>
    <row r="2241" spans="1:15" x14ac:dyDescent="0.25">
      <c r="A2241" t="s">
        <v>2063</v>
      </c>
      <c r="B2241" t="s">
        <v>15</v>
      </c>
      <c r="C2241" t="s">
        <v>37</v>
      </c>
      <c r="D2241" t="s">
        <v>17</v>
      </c>
      <c r="E2241" t="s">
        <v>18</v>
      </c>
      <c r="F2241" t="s">
        <v>19</v>
      </c>
      <c r="G2241" t="s">
        <v>20</v>
      </c>
      <c r="J2241" t="s">
        <v>17</v>
      </c>
      <c r="K2241" t="str">
        <f>"7858816080289"</f>
        <v>7858816080289</v>
      </c>
      <c r="L2241" t="str">
        <f>"87528028"</f>
        <v>87528028</v>
      </c>
      <c r="M2241" t="s">
        <v>21</v>
      </c>
      <c r="N2241" s="1">
        <v>44211.85</v>
      </c>
      <c r="O2241" t="s">
        <v>19</v>
      </c>
    </row>
    <row r="2242" spans="1:15" x14ac:dyDescent="0.25">
      <c r="A2242" t="s">
        <v>2064</v>
      </c>
      <c r="B2242" t="s">
        <v>15</v>
      </c>
      <c r="C2242" t="s">
        <v>37</v>
      </c>
      <c r="D2242" t="s">
        <v>17</v>
      </c>
      <c r="E2242" t="s">
        <v>18</v>
      </c>
      <c r="F2242" t="s">
        <v>19</v>
      </c>
      <c r="G2242" t="s">
        <v>20</v>
      </c>
      <c r="J2242" t="s">
        <v>17</v>
      </c>
      <c r="K2242" t="str">
        <f>"7858816080852"</f>
        <v>7858816080852</v>
      </c>
      <c r="L2242" t="str">
        <f>"87528085"</f>
        <v>87528085</v>
      </c>
      <c r="M2242" t="s">
        <v>21</v>
      </c>
      <c r="N2242" s="1">
        <v>44357.704861111109</v>
      </c>
      <c r="O2242" t="s">
        <v>19</v>
      </c>
    </row>
    <row r="2243" spans="1:15" x14ac:dyDescent="0.25">
      <c r="A2243" t="s">
        <v>2065</v>
      </c>
      <c r="B2243" t="s">
        <v>15</v>
      </c>
      <c r="C2243" t="s">
        <v>37</v>
      </c>
      <c r="D2243" t="s">
        <v>17</v>
      </c>
      <c r="E2243" t="s">
        <v>18</v>
      </c>
      <c r="F2243" t="s">
        <v>19</v>
      </c>
      <c r="G2243" t="s">
        <v>20</v>
      </c>
      <c r="J2243" t="s">
        <v>17</v>
      </c>
      <c r="K2243" t="str">
        <f>"10119250"</f>
        <v>10119250</v>
      </c>
      <c r="L2243" t="str">
        <f>"10119250"</f>
        <v>10119250</v>
      </c>
      <c r="M2243" t="s">
        <v>21</v>
      </c>
      <c r="N2243" s="1">
        <v>44254.8125</v>
      </c>
      <c r="O2243" t="s">
        <v>19</v>
      </c>
    </row>
    <row r="2244" spans="1:15" x14ac:dyDescent="0.25">
      <c r="A2244" t="s">
        <v>2066</v>
      </c>
      <c r="B2244" t="s">
        <v>15</v>
      </c>
      <c r="C2244" t="s">
        <v>171</v>
      </c>
      <c r="D2244" t="s">
        <v>17</v>
      </c>
      <c r="E2244" t="s">
        <v>18</v>
      </c>
      <c r="F2244" t="s">
        <v>19</v>
      </c>
      <c r="G2244" t="s">
        <v>20</v>
      </c>
      <c r="J2244" t="s">
        <v>17</v>
      </c>
      <c r="K2244" t="str">
        <f>"10000255"</f>
        <v>10000255</v>
      </c>
      <c r="L2244" t="str">
        <f>"10000255"</f>
        <v>10000255</v>
      </c>
      <c r="M2244" t="s">
        <v>21</v>
      </c>
      <c r="N2244" s="1">
        <v>43612.628472222219</v>
      </c>
      <c r="O2244" t="s">
        <v>19</v>
      </c>
    </row>
    <row r="2245" spans="1:15" x14ac:dyDescent="0.25">
      <c r="A2245" t="s">
        <v>2067</v>
      </c>
      <c r="B2245" t="s">
        <v>15</v>
      </c>
      <c r="C2245" t="s">
        <v>171</v>
      </c>
      <c r="D2245" t="s">
        <v>17</v>
      </c>
      <c r="E2245" t="s">
        <v>18</v>
      </c>
      <c r="F2245" t="s">
        <v>19</v>
      </c>
      <c r="G2245" t="s">
        <v>20</v>
      </c>
      <c r="J2245" t="s">
        <v>17</v>
      </c>
      <c r="K2245" t="str">
        <f>"10003374"</f>
        <v>10003374</v>
      </c>
      <c r="L2245" t="str">
        <f>"10003374"</f>
        <v>10003374</v>
      </c>
      <c r="M2245" t="s">
        <v>84</v>
      </c>
      <c r="N2245" s="1">
        <v>43404.89166666667</v>
      </c>
      <c r="O2245" t="s">
        <v>19</v>
      </c>
    </row>
    <row r="2246" spans="1:15" x14ac:dyDescent="0.25">
      <c r="A2246" t="s">
        <v>2068</v>
      </c>
      <c r="B2246" t="s">
        <v>15</v>
      </c>
      <c r="C2246" t="s">
        <v>171</v>
      </c>
      <c r="D2246" t="s">
        <v>17</v>
      </c>
      <c r="E2246" t="s">
        <v>18</v>
      </c>
      <c r="F2246" t="s">
        <v>19</v>
      </c>
      <c r="G2246" t="s">
        <v>20</v>
      </c>
      <c r="J2246" t="s">
        <v>17</v>
      </c>
      <c r="K2246" t="str">
        <f>"1930371639457"</f>
        <v>1930371639457</v>
      </c>
      <c r="L2246" t="str">
        <f>"96063945"</f>
        <v>96063945</v>
      </c>
      <c r="M2246" t="s">
        <v>21</v>
      </c>
      <c r="N2246" s="1">
        <v>43854.824999999997</v>
      </c>
      <c r="O2246" t="s">
        <v>19</v>
      </c>
    </row>
    <row r="2247" spans="1:15" x14ac:dyDescent="0.25">
      <c r="A2247" t="s">
        <v>2069</v>
      </c>
      <c r="B2247" t="s">
        <v>15</v>
      </c>
      <c r="C2247" t="s">
        <v>171</v>
      </c>
      <c r="D2247" t="s">
        <v>17</v>
      </c>
      <c r="E2247" t="s">
        <v>18</v>
      </c>
      <c r="F2247" t="s">
        <v>19</v>
      </c>
      <c r="G2247" t="s">
        <v>20</v>
      </c>
      <c r="J2247" t="s">
        <v>17</v>
      </c>
      <c r="K2247" t="str">
        <f>"1930371639464"</f>
        <v>1930371639464</v>
      </c>
      <c r="L2247" t="str">
        <f>"96063946"</f>
        <v>96063946</v>
      </c>
      <c r="M2247" t="s">
        <v>21</v>
      </c>
      <c r="N2247" s="1">
        <v>43854.825694444444</v>
      </c>
      <c r="O2247" t="s">
        <v>19</v>
      </c>
    </row>
    <row r="2248" spans="1:15" x14ac:dyDescent="0.25">
      <c r="A2248" t="s">
        <v>2070</v>
      </c>
      <c r="B2248" t="s">
        <v>15</v>
      </c>
      <c r="C2248" t="s">
        <v>171</v>
      </c>
      <c r="D2248" t="s">
        <v>17</v>
      </c>
      <c r="E2248" t="s">
        <v>18</v>
      </c>
      <c r="F2248" t="s">
        <v>19</v>
      </c>
      <c r="G2248" t="s">
        <v>20</v>
      </c>
      <c r="J2248" t="s">
        <v>17</v>
      </c>
      <c r="K2248" t="str">
        <f>"10000549"</f>
        <v>10000549</v>
      </c>
      <c r="L2248" t="str">
        <f>"10000549"</f>
        <v>10000549</v>
      </c>
      <c r="M2248" t="s">
        <v>84</v>
      </c>
      <c r="N2248" s="1">
        <v>43447.62777777778</v>
      </c>
      <c r="O2248" t="s">
        <v>19</v>
      </c>
    </row>
    <row r="2249" spans="1:15" x14ac:dyDescent="0.25">
      <c r="A2249" t="s">
        <v>2071</v>
      </c>
      <c r="B2249" t="s">
        <v>15</v>
      </c>
      <c r="C2249" t="s">
        <v>37</v>
      </c>
      <c r="D2249" t="s">
        <v>17</v>
      </c>
      <c r="E2249" t="s">
        <v>18</v>
      </c>
      <c r="F2249" t="s">
        <v>19</v>
      </c>
      <c r="G2249" t="s">
        <v>20</v>
      </c>
      <c r="J2249" t="s">
        <v>17</v>
      </c>
      <c r="K2249" t="str">
        <f>"10001407"</f>
        <v>10001407</v>
      </c>
      <c r="L2249" t="str">
        <f>"10001407"</f>
        <v>10001407</v>
      </c>
      <c r="M2249" t="s">
        <v>84</v>
      </c>
      <c r="N2249" s="1">
        <v>43377.719444444447</v>
      </c>
      <c r="O2249" t="s">
        <v>19</v>
      </c>
    </row>
    <row r="2250" spans="1:15" x14ac:dyDescent="0.25">
      <c r="A2250" t="s">
        <v>2072</v>
      </c>
      <c r="B2250" t="s">
        <v>15</v>
      </c>
      <c r="C2250" t="s">
        <v>901</v>
      </c>
      <c r="D2250" t="s">
        <v>17</v>
      </c>
      <c r="E2250" t="s">
        <v>18</v>
      </c>
      <c r="F2250" t="s">
        <v>19</v>
      </c>
      <c r="G2250" t="s">
        <v>20</v>
      </c>
      <c r="J2250" t="s">
        <v>17</v>
      </c>
      <c r="K2250" t="str">
        <f>"8620130322906"</f>
        <v>8620130322906</v>
      </c>
      <c r="L2250" t="str">
        <f>"171900128"</f>
        <v>171900128</v>
      </c>
      <c r="M2250" t="s">
        <v>75</v>
      </c>
      <c r="N2250" s="1">
        <v>42872.847222222219</v>
      </c>
      <c r="O2250" t="s">
        <v>19</v>
      </c>
    </row>
    <row r="2251" spans="1:15" x14ac:dyDescent="0.25">
      <c r="A2251" t="s">
        <v>2073</v>
      </c>
      <c r="B2251" t="s">
        <v>15</v>
      </c>
      <c r="C2251" t="s">
        <v>2074</v>
      </c>
      <c r="D2251" t="s">
        <v>17</v>
      </c>
      <c r="E2251" t="s">
        <v>18</v>
      </c>
      <c r="F2251" t="s">
        <v>19</v>
      </c>
      <c r="G2251" t="s">
        <v>20</v>
      </c>
      <c r="J2251" t="s">
        <v>17</v>
      </c>
      <c r="K2251" t="str">
        <f>"10110395"</f>
        <v>10110395</v>
      </c>
      <c r="L2251" t="str">
        <f>"10110395"</f>
        <v>10110395</v>
      </c>
      <c r="M2251" t="s">
        <v>75</v>
      </c>
      <c r="N2251" s="1">
        <v>42872.839583333334</v>
      </c>
      <c r="O2251" t="s">
        <v>19</v>
      </c>
    </row>
    <row r="2252" spans="1:15" x14ac:dyDescent="0.25">
      <c r="A2252" t="s">
        <v>2075</v>
      </c>
      <c r="B2252" t="s">
        <v>15</v>
      </c>
      <c r="C2252" t="s">
        <v>2074</v>
      </c>
      <c r="D2252" t="s">
        <v>17</v>
      </c>
      <c r="E2252" t="s">
        <v>18</v>
      </c>
      <c r="F2252" t="s">
        <v>19</v>
      </c>
      <c r="G2252" t="s">
        <v>20</v>
      </c>
      <c r="J2252" t="s">
        <v>17</v>
      </c>
      <c r="K2252" t="str">
        <f>"10110406"</f>
        <v>10110406</v>
      </c>
      <c r="L2252" t="str">
        <f>"10110406"</f>
        <v>10110406</v>
      </c>
      <c r="M2252" t="s">
        <v>75</v>
      </c>
      <c r="N2252" s="1">
        <v>42872.839583333334</v>
      </c>
      <c r="O2252" t="s">
        <v>19</v>
      </c>
    </row>
    <row r="2253" spans="1:15" x14ac:dyDescent="0.25">
      <c r="A2253" t="s">
        <v>2076</v>
      </c>
      <c r="B2253" t="s">
        <v>15</v>
      </c>
      <c r="C2253" t="s">
        <v>2074</v>
      </c>
      <c r="D2253" t="s">
        <v>17</v>
      </c>
      <c r="E2253" t="s">
        <v>18</v>
      </c>
      <c r="F2253" t="s">
        <v>19</v>
      </c>
      <c r="G2253" t="s">
        <v>20</v>
      </c>
      <c r="J2253" t="s">
        <v>17</v>
      </c>
      <c r="K2253" t="str">
        <f>"10110496"</f>
        <v>10110496</v>
      </c>
      <c r="L2253" t="str">
        <f>"10110496"</f>
        <v>10110496</v>
      </c>
      <c r="M2253" t="s">
        <v>75</v>
      </c>
      <c r="N2253" s="1">
        <v>42872.839583333334</v>
      </c>
      <c r="O2253" t="s">
        <v>19</v>
      </c>
    </row>
    <row r="2254" spans="1:15" x14ac:dyDescent="0.25">
      <c r="A2254" t="s">
        <v>2077</v>
      </c>
      <c r="B2254" t="s">
        <v>15</v>
      </c>
      <c r="C2254" t="s">
        <v>2074</v>
      </c>
      <c r="D2254" t="s">
        <v>17</v>
      </c>
      <c r="E2254" t="s">
        <v>18</v>
      </c>
      <c r="F2254" t="s">
        <v>19</v>
      </c>
      <c r="G2254" t="s">
        <v>20</v>
      </c>
      <c r="J2254" t="s">
        <v>17</v>
      </c>
      <c r="K2254" t="str">
        <f>"8435350767976"</f>
        <v>8435350767976</v>
      </c>
      <c r="L2254" t="str">
        <f>"30195057"</f>
        <v>30195057</v>
      </c>
      <c r="M2254" t="s">
        <v>75</v>
      </c>
      <c r="N2254" s="1">
        <v>43201.64166666667</v>
      </c>
      <c r="O2254" t="s">
        <v>19</v>
      </c>
    </row>
    <row r="2255" spans="1:15" x14ac:dyDescent="0.25">
      <c r="A2255" t="s">
        <v>2078</v>
      </c>
      <c r="B2255" t="s">
        <v>15</v>
      </c>
      <c r="C2255" t="s">
        <v>901</v>
      </c>
      <c r="D2255" t="s">
        <v>17</v>
      </c>
      <c r="E2255" t="s">
        <v>18</v>
      </c>
      <c r="F2255" t="s">
        <v>19</v>
      </c>
      <c r="G2255" t="s">
        <v>20</v>
      </c>
      <c r="J2255" t="s">
        <v>17</v>
      </c>
      <c r="K2255" t="str">
        <f>"34190010"</f>
        <v>34190010</v>
      </c>
      <c r="L2255" t="str">
        <f>"34190010"</f>
        <v>34190010</v>
      </c>
      <c r="M2255" t="s">
        <v>75</v>
      </c>
      <c r="N2255" s="1">
        <v>43006.836111111108</v>
      </c>
      <c r="O2255" t="s">
        <v>19</v>
      </c>
    </row>
    <row r="2256" spans="1:15" x14ac:dyDescent="0.25">
      <c r="A2256" t="s">
        <v>2079</v>
      </c>
      <c r="B2256" t="s">
        <v>15</v>
      </c>
      <c r="C2256" t="s">
        <v>901</v>
      </c>
      <c r="D2256" t="s">
        <v>17</v>
      </c>
      <c r="E2256" t="s">
        <v>18</v>
      </c>
      <c r="F2256" t="s">
        <v>19</v>
      </c>
      <c r="G2256" t="s">
        <v>20</v>
      </c>
      <c r="J2256" t="s">
        <v>17</v>
      </c>
      <c r="K2256" t="str">
        <f>"34190011"</f>
        <v>34190011</v>
      </c>
      <c r="L2256" t="str">
        <f>"34190011"</f>
        <v>34190011</v>
      </c>
      <c r="M2256" t="s">
        <v>75</v>
      </c>
      <c r="N2256" s="1">
        <v>43006.838194444441</v>
      </c>
      <c r="O2256" t="s">
        <v>19</v>
      </c>
    </row>
    <row r="2257" spans="1:15" x14ac:dyDescent="0.25">
      <c r="A2257" t="s">
        <v>2080</v>
      </c>
      <c r="B2257" t="s">
        <v>15</v>
      </c>
      <c r="C2257" t="s">
        <v>901</v>
      </c>
      <c r="D2257" t="s">
        <v>17</v>
      </c>
      <c r="E2257" t="s">
        <v>18</v>
      </c>
      <c r="F2257" t="s">
        <v>19</v>
      </c>
      <c r="G2257" t="s">
        <v>20</v>
      </c>
      <c r="J2257" t="s">
        <v>17</v>
      </c>
      <c r="K2257" t="str">
        <f>"34190012"</f>
        <v>34190012</v>
      </c>
      <c r="L2257" t="str">
        <f>"34190012"</f>
        <v>34190012</v>
      </c>
      <c r="M2257" t="s">
        <v>75</v>
      </c>
      <c r="N2257" s="1">
        <v>43006.838888888888</v>
      </c>
      <c r="O2257" t="s">
        <v>19</v>
      </c>
    </row>
    <row r="2258" spans="1:15" x14ac:dyDescent="0.25">
      <c r="A2258" t="s">
        <v>2081</v>
      </c>
      <c r="B2258" t="s">
        <v>15</v>
      </c>
      <c r="C2258" t="s">
        <v>2074</v>
      </c>
      <c r="D2258" t="s">
        <v>17</v>
      </c>
      <c r="E2258" t="s">
        <v>18</v>
      </c>
      <c r="F2258" t="s">
        <v>19</v>
      </c>
      <c r="G2258" t="s">
        <v>20</v>
      </c>
      <c r="J2258" t="s">
        <v>17</v>
      </c>
      <c r="K2258" t="str">
        <f>"17190092"</f>
        <v>17190092</v>
      </c>
      <c r="L2258" t="str">
        <f>"17190092"</f>
        <v>17190092</v>
      </c>
      <c r="M2258" t="s">
        <v>75</v>
      </c>
      <c r="N2258" s="1">
        <v>42872.839583333334</v>
      </c>
      <c r="O2258" t="s">
        <v>19</v>
      </c>
    </row>
    <row r="2259" spans="1:15" x14ac:dyDescent="0.25">
      <c r="A2259" t="s">
        <v>2082</v>
      </c>
      <c r="B2259" t="s">
        <v>15</v>
      </c>
      <c r="C2259" t="s">
        <v>2074</v>
      </c>
      <c r="D2259" t="s">
        <v>17</v>
      </c>
      <c r="E2259" t="s">
        <v>18</v>
      </c>
      <c r="F2259" t="s">
        <v>19</v>
      </c>
      <c r="G2259" t="s">
        <v>20</v>
      </c>
      <c r="J2259" t="s">
        <v>17</v>
      </c>
      <c r="K2259" t="str">
        <f>"41007604"</f>
        <v>41007604</v>
      </c>
      <c r="L2259" t="str">
        <f>"41007604"</f>
        <v>41007604</v>
      </c>
      <c r="M2259" t="s">
        <v>75</v>
      </c>
      <c r="N2259" s="1">
        <v>42872.839583333334</v>
      </c>
      <c r="O2259" t="s">
        <v>19</v>
      </c>
    </row>
    <row r="2260" spans="1:15" x14ac:dyDescent="0.25">
      <c r="A2260" t="s">
        <v>2083</v>
      </c>
      <c r="B2260" t="s">
        <v>15</v>
      </c>
      <c r="C2260" t="s">
        <v>2074</v>
      </c>
      <c r="D2260" t="s">
        <v>17</v>
      </c>
      <c r="E2260" t="s">
        <v>18</v>
      </c>
      <c r="F2260" t="s">
        <v>19</v>
      </c>
      <c r="G2260" t="s">
        <v>20</v>
      </c>
      <c r="J2260" t="s">
        <v>17</v>
      </c>
      <c r="K2260" t="str">
        <f>"41007904"</f>
        <v>41007904</v>
      </c>
      <c r="L2260" t="str">
        <f>"41007904"</f>
        <v>41007904</v>
      </c>
      <c r="M2260" t="s">
        <v>75</v>
      </c>
      <c r="N2260" s="1">
        <v>42872.839583333334</v>
      </c>
      <c r="O2260" t="s">
        <v>19</v>
      </c>
    </row>
    <row r="2261" spans="1:15" x14ac:dyDescent="0.25">
      <c r="A2261" t="s">
        <v>2084</v>
      </c>
      <c r="B2261" t="s">
        <v>15</v>
      </c>
      <c r="C2261" t="s">
        <v>2074</v>
      </c>
      <c r="D2261" t="s">
        <v>17</v>
      </c>
      <c r="E2261" t="s">
        <v>18</v>
      </c>
      <c r="F2261" t="s">
        <v>19</v>
      </c>
      <c r="G2261" t="s">
        <v>20</v>
      </c>
      <c r="J2261" t="s">
        <v>17</v>
      </c>
      <c r="K2261" t="str">
        <f>"41007704"</f>
        <v>41007704</v>
      </c>
      <c r="L2261" t="str">
        <f>"41007704"</f>
        <v>41007704</v>
      </c>
      <c r="M2261" t="s">
        <v>75</v>
      </c>
      <c r="N2261" s="1">
        <v>42872.839583333334</v>
      </c>
      <c r="O2261" t="s">
        <v>19</v>
      </c>
    </row>
    <row r="2262" spans="1:15" x14ac:dyDescent="0.25">
      <c r="A2262" t="s">
        <v>2085</v>
      </c>
      <c r="B2262" t="s">
        <v>15</v>
      </c>
      <c r="C2262" t="s">
        <v>2074</v>
      </c>
      <c r="D2262" t="s">
        <v>17</v>
      </c>
      <c r="E2262" t="s">
        <v>18</v>
      </c>
      <c r="F2262" t="s">
        <v>19</v>
      </c>
      <c r="G2262" t="s">
        <v>20</v>
      </c>
      <c r="J2262" t="s">
        <v>17</v>
      </c>
      <c r="K2262" t="str">
        <f>"17190094"</f>
        <v>17190094</v>
      </c>
      <c r="L2262" t="str">
        <f>"17190094"</f>
        <v>17190094</v>
      </c>
      <c r="M2262" t="s">
        <v>75</v>
      </c>
      <c r="N2262" s="1">
        <v>42872.839583333334</v>
      </c>
      <c r="O2262" t="s">
        <v>19</v>
      </c>
    </row>
    <row r="2263" spans="1:15" x14ac:dyDescent="0.25">
      <c r="A2263" t="s">
        <v>2085</v>
      </c>
      <c r="B2263" t="s">
        <v>15</v>
      </c>
      <c r="C2263" t="s">
        <v>2074</v>
      </c>
      <c r="D2263" t="s">
        <v>17</v>
      </c>
      <c r="E2263" t="s">
        <v>18</v>
      </c>
      <c r="F2263" t="s">
        <v>19</v>
      </c>
      <c r="G2263" t="s">
        <v>20</v>
      </c>
      <c r="J2263" t="s">
        <v>17</v>
      </c>
      <c r="K2263" t="str">
        <f>"34190094"</f>
        <v>34190094</v>
      </c>
      <c r="L2263" t="str">
        <f>"34190094"</f>
        <v>34190094</v>
      </c>
      <c r="M2263" t="s">
        <v>75</v>
      </c>
      <c r="N2263" s="1">
        <v>42872.839583333334</v>
      </c>
      <c r="O2263" t="s">
        <v>19</v>
      </c>
    </row>
    <row r="2264" spans="1:15" x14ac:dyDescent="0.25">
      <c r="A2264" t="s">
        <v>2086</v>
      </c>
      <c r="B2264" t="s">
        <v>15</v>
      </c>
      <c r="C2264" t="s">
        <v>2074</v>
      </c>
      <c r="D2264" t="s">
        <v>17</v>
      </c>
      <c r="E2264" t="s">
        <v>18</v>
      </c>
      <c r="F2264" t="s">
        <v>19</v>
      </c>
      <c r="G2264" t="s">
        <v>20</v>
      </c>
      <c r="J2264" t="s">
        <v>17</v>
      </c>
      <c r="K2264" t="str">
        <f>"17190093"</f>
        <v>17190093</v>
      </c>
      <c r="L2264" t="str">
        <f>"17190093"</f>
        <v>17190093</v>
      </c>
      <c r="M2264" t="s">
        <v>75</v>
      </c>
      <c r="N2264" s="1">
        <v>42872.839583333334</v>
      </c>
      <c r="O2264" t="s">
        <v>19</v>
      </c>
    </row>
    <row r="2265" spans="1:15" x14ac:dyDescent="0.25">
      <c r="A2265" t="s">
        <v>2087</v>
      </c>
      <c r="B2265" t="s">
        <v>15</v>
      </c>
      <c r="C2265" t="s">
        <v>2074</v>
      </c>
      <c r="D2265" t="s">
        <v>17</v>
      </c>
      <c r="E2265" t="s">
        <v>18</v>
      </c>
      <c r="F2265" t="s">
        <v>19</v>
      </c>
      <c r="G2265" t="s">
        <v>20</v>
      </c>
      <c r="J2265" t="s">
        <v>17</v>
      </c>
      <c r="K2265" t="str">
        <f>"41001504"</f>
        <v>41001504</v>
      </c>
      <c r="L2265" t="str">
        <f>"41001504"</f>
        <v>41001504</v>
      </c>
      <c r="M2265" t="s">
        <v>75</v>
      </c>
      <c r="N2265" s="1">
        <v>42872.839583333334</v>
      </c>
      <c r="O2265" t="s">
        <v>19</v>
      </c>
    </row>
    <row r="2266" spans="1:15" x14ac:dyDescent="0.25">
      <c r="A2266" t="s">
        <v>2088</v>
      </c>
      <c r="B2266" t="s">
        <v>15</v>
      </c>
      <c r="C2266" t="s">
        <v>2074</v>
      </c>
      <c r="D2266" t="s">
        <v>17</v>
      </c>
      <c r="E2266" t="s">
        <v>18</v>
      </c>
      <c r="F2266" t="s">
        <v>19</v>
      </c>
      <c r="G2266" t="s">
        <v>20</v>
      </c>
      <c r="J2266" t="s">
        <v>17</v>
      </c>
      <c r="K2266" t="str">
        <f>"41007804"</f>
        <v>41007804</v>
      </c>
      <c r="L2266" t="str">
        <f>"41007804"</f>
        <v>41007804</v>
      </c>
      <c r="M2266" t="s">
        <v>75</v>
      </c>
      <c r="N2266" s="1">
        <v>42872.839583333334</v>
      </c>
      <c r="O2266" t="s">
        <v>19</v>
      </c>
    </row>
    <row r="2267" spans="1:15" x14ac:dyDescent="0.25">
      <c r="A2267" t="s">
        <v>2089</v>
      </c>
      <c r="B2267" t="s">
        <v>15</v>
      </c>
      <c r="C2267" t="s">
        <v>2074</v>
      </c>
      <c r="D2267" t="s">
        <v>17</v>
      </c>
      <c r="E2267" t="s">
        <v>18</v>
      </c>
      <c r="F2267" t="s">
        <v>19</v>
      </c>
      <c r="G2267" t="s">
        <v>20</v>
      </c>
      <c r="J2267" t="s">
        <v>17</v>
      </c>
      <c r="K2267" t="str">
        <f>"87000750"</f>
        <v>87000750</v>
      </c>
      <c r="L2267" t="str">
        <f>"87000750"</f>
        <v>87000750</v>
      </c>
      <c r="M2267" t="s">
        <v>75</v>
      </c>
      <c r="N2267" s="1">
        <v>42872.847222222219</v>
      </c>
      <c r="O2267" t="s">
        <v>19</v>
      </c>
    </row>
    <row r="2268" spans="1:15" x14ac:dyDescent="0.25">
      <c r="A2268" t="s">
        <v>2090</v>
      </c>
      <c r="B2268" t="s">
        <v>15</v>
      </c>
      <c r="C2268" t="s">
        <v>2074</v>
      </c>
      <c r="D2268" t="s">
        <v>17</v>
      </c>
      <c r="E2268" t="s">
        <v>18</v>
      </c>
      <c r="F2268" t="s">
        <v>19</v>
      </c>
      <c r="G2268" t="s">
        <v>20</v>
      </c>
      <c r="J2268" t="s">
        <v>17</v>
      </c>
      <c r="K2268" t="str">
        <f>"10001028"</f>
        <v>10001028</v>
      </c>
      <c r="L2268" t="str">
        <f>"10001028"</f>
        <v>10001028</v>
      </c>
      <c r="M2268" t="s">
        <v>75</v>
      </c>
      <c r="N2268" s="1">
        <v>42872.839583333334</v>
      </c>
      <c r="O2268" t="s">
        <v>19</v>
      </c>
    </row>
    <row r="2269" spans="1:15" x14ac:dyDescent="0.25">
      <c r="A2269" t="s">
        <v>2091</v>
      </c>
      <c r="B2269" t="s">
        <v>15</v>
      </c>
      <c r="C2269" t="s">
        <v>2074</v>
      </c>
      <c r="D2269" t="s">
        <v>17</v>
      </c>
      <c r="E2269" t="s">
        <v>18</v>
      </c>
      <c r="F2269" t="s">
        <v>19</v>
      </c>
      <c r="G2269" t="s">
        <v>20</v>
      </c>
      <c r="J2269" t="s">
        <v>17</v>
      </c>
      <c r="K2269" t="str">
        <f>"87000136"</f>
        <v>87000136</v>
      </c>
      <c r="L2269" t="str">
        <f>"87000136"</f>
        <v>87000136</v>
      </c>
      <c r="M2269" t="s">
        <v>75</v>
      </c>
      <c r="N2269" s="1">
        <v>42872.847222222219</v>
      </c>
      <c r="O2269" t="s">
        <v>19</v>
      </c>
    </row>
    <row r="2270" spans="1:15" x14ac:dyDescent="0.25">
      <c r="A2270" t="s">
        <v>2092</v>
      </c>
      <c r="B2270" t="s">
        <v>15</v>
      </c>
      <c r="C2270" t="s">
        <v>2074</v>
      </c>
      <c r="D2270" t="s">
        <v>17</v>
      </c>
      <c r="E2270" t="s">
        <v>18</v>
      </c>
      <c r="F2270" t="s">
        <v>19</v>
      </c>
      <c r="G2270" t="s">
        <v>20</v>
      </c>
      <c r="J2270" t="s">
        <v>17</v>
      </c>
      <c r="K2270" t="str">
        <f>"762022138"</f>
        <v>762022138</v>
      </c>
      <c r="L2270" t="str">
        <f>"762022138"</f>
        <v>762022138</v>
      </c>
      <c r="M2270" t="s">
        <v>75</v>
      </c>
      <c r="N2270" s="1">
        <v>42872.849305555559</v>
      </c>
      <c r="O2270" t="s">
        <v>19</v>
      </c>
    </row>
    <row r="2271" spans="1:15" x14ac:dyDescent="0.25">
      <c r="A2271" t="s">
        <v>2093</v>
      </c>
      <c r="B2271" t="s">
        <v>15</v>
      </c>
      <c r="C2271" t="s">
        <v>2074</v>
      </c>
      <c r="D2271" t="s">
        <v>17</v>
      </c>
      <c r="E2271" t="s">
        <v>18</v>
      </c>
      <c r="F2271" t="s">
        <v>19</v>
      </c>
      <c r="G2271" t="s">
        <v>20</v>
      </c>
      <c r="J2271" t="s">
        <v>17</v>
      </c>
      <c r="K2271" t="str">
        <f>"17200000"</f>
        <v>17200000</v>
      </c>
      <c r="L2271" t="str">
        <f>"17200000"</f>
        <v>17200000</v>
      </c>
      <c r="M2271" t="s">
        <v>75</v>
      </c>
      <c r="N2271" s="1">
        <v>43096.714583333334</v>
      </c>
      <c r="O2271" t="s">
        <v>19</v>
      </c>
    </row>
    <row r="2272" spans="1:15" x14ac:dyDescent="0.25">
      <c r="A2272" t="s">
        <v>2094</v>
      </c>
      <c r="B2272" t="s">
        <v>15</v>
      </c>
      <c r="C2272" t="s">
        <v>2074</v>
      </c>
      <c r="D2272" t="s">
        <v>17</v>
      </c>
      <c r="E2272" t="s">
        <v>18</v>
      </c>
      <c r="F2272" t="s">
        <v>19</v>
      </c>
      <c r="G2272" t="s">
        <v>20</v>
      </c>
      <c r="J2272" t="s">
        <v>17</v>
      </c>
      <c r="K2272" t="str">
        <f>"33190001"</f>
        <v>33190001</v>
      </c>
      <c r="L2272" t="str">
        <f>"33190001"</f>
        <v>33190001</v>
      </c>
      <c r="M2272" t="s">
        <v>84</v>
      </c>
      <c r="N2272" s="1">
        <v>43546.956944444442</v>
      </c>
      <c r="O2272" t="s">
        <v>19</v>
      </c>
    </row>
    <row r="2273" spans="1:15" x14ac:dyDescent="0.25">
      <c r="A2273" t="s">
        <v>2095</v>
      </c>
      <c r="B2273" t="s">
        <v>15</v>
      </c>
      <c r="C2273" t="s">
        <v>2074</v>
      </c>
      <c r="D2273" t="s">
        <v>17</v>
      </c>
      <c r="E2273" t="s">
        <v>18</v>
      </c>
      <c r="F2273" t="s">
        <v>19</v>
      </c>
      <c r="G2273" t="s">
        <v>20</v>
      </c>
      <c r="J2273" t="s">
        <v>17</v>
      </c>
      <c r="K2273" t="str">
        <f>"11073443"</f>
        <v>11073443</v>
      </c>
      <c r="L2273" t="str">
        <f>"11073443"</f>
        <v>11073443</v>
      </c>
      <c r="M2273" t="s">
        <v>75</v>
      </c>
      <c r="N2273" s="1">
        <v>42872.839583333334</v>
      </c>
      <c r="O2273" t="s">
        <v>19</v>
      </c>
    </row>
    <row r="2274" spans="1:15" x14ac:dyDescent="0.25">
      <c r="A2274" t="s">
        <v>2096</v>
      </c>
      <c r="B2274" t="s">
        <v>15</v>
      </c>
      <c r="C2274" t="s">
        <v>2074</v>
      </c>
      <c r="D2274" t="s">
        <v>17</v>
      </c>
      <c r="E2274" t="s">
        <v>18</v>
      </c>
      <c r="F2274" t="s">
        <v>19</v>
      </c>
      <c r="G2274" t="s">
        <v>20</v>
      </c>
      <c r="J2274" t="s">
        <v>17</v>
      </c>
      <c r="K2274" t="str">
        <f>"341900127"</f>
        <v>341900127</v>
      </c>
      <c r="L2274" t="str">
        <f>"341900127"</f>
        <v>341900127</v>
      </c>
      <c r="M2274" t="s">
        <v>75</v>
      </c>
      <c r="N2274" s="1">
        <v>42872.849305555559</v>
      </c>
      <c r="O2274" t="s">
        <v>19</v>
      </c>
    </row>
    <row r="2275" spans="1:15" x14ac:dyDescent="0.25">
      <c r="A2275" t="s">
        <v>2097</v>
      </c>
      <c r="B2275" t="s">
        <v>15</v>
      </c>
      <c r="C2275" t="s">
        <v>2074</v>
      </c>
      <c r="D2275" t="s">
        <v>17</v>
      </c>
      <c r="E2275" t="s">
        <v>18</v>
      </c>
      <c r="F2275" t="s">
        <v>19</v>
      </c>
      <c r="G2275" t="s">
        <v>20</v>
      </c>
      <c r="J2275" t="s">
        <v>17</v>
      </c>
      <c r="K2275" t="str">
        <f>"67200012"</f>
        <v>67200012</v>
      </c>
      <c r="L2275" t="str">
        <f>"67200012"</f>
        <v>67200012</v>
      </c>
      <c r="M2275" t="s">
        <v>75</v>
      </c>
      <c r="N2275" s="1">
        <v>42872.847222222219</v>
      </c>
      <c r="O2275" t="s">
        <v>19</v>
      </c>
    </row>
    <row r="2276" spans="1:15" x14ac:dyDescent="0.25">
      <c r="A2276" t="s">
        <v>2098</v>
      </c>
      <c r="B2276" t="s">
        <v>15</v>
      </c>
      <c r="C2276" t="s">
        <v>2074</v>
      </c>
      <c r="D2276" t="s">
        <v>17</v>
      </c>
      <c r="E2276" t="s">
        <v>18</v>
      </c>
      <c r="F2276" t="s">
        <v>19</v>
      </c>
      <c r="G2276" t="s">
        <v>20</v>
      </c>
      <c r="J2276" t="s">
        <v>17</v>
      </c>
      <c r="K2276" t="str">
        <f>"110340147"</f>
        <v>110340147</v>
      </c>
      <c r="L2276" t="str">
        <f>"110340147"</f>
        <v>110340147</v>
      </c>
      <c r="M2276" t="s">
        <v>75</v>
      </c>
      <c r="N2276" s="1">
        <v>42872.847222222219</v>
      </c>
      <c r="O2276" t="s">
        <v>19</v>
      </c>
    </row>
    <row r="2277" spans="1:15" x14ac:dyDescent="0.25">
      <c r="A2277" t="s">
        <v>2099</v>
      </c>
      <c r="B2277" t="s">
        <v>15</v>
      </c>
      <c r="C2277" t="s">
        <v>2074</v>
      </c>
      <c r="D2277" t="s">
        <v>17</v>
      </c>
      <c r="E2277" t="s">
        <v>18</v>
      </c>
      <c r="F2277" t="s">
        <v>19</v>
      </c>
      <c r="G2277" t="s">
        <v>20</v>
      </c>
      <c r="J2277" t="s">
        <v>17</v>
      </c>
      <c r="K2277" t="str">
        <f>"11003443"</f>
        <v>11003443</v>
      </c>
      <c r="L2277" t="str">
        <f>"11003443"</f>
        <v>11003443</v>
      </c>
      <c r="M2277" t="s">
        <v>75</v>
      </c>
      <c r="N2277" s="1">
        <v>42872.839583333334</v>
      </c>
      <c r="O2277" t="s">
        <v>19</v>
      </c>
    </row>
    <row r="2278" spans="1:15" x14ac:dyDescent="0.25">
      <c r="A2278" t="s">
        <v>2100</v>
      </c>
      <c r="B2278" t="s">
        <v>15</v>
      </c>
      <c r="C2278" t="s">
        <v>2074</v>
      </c>
      <c r="D2278" t="s">
        <v>17</v>
      </c>
      <c r="E2278" t="s">
        <v>18</v>
      </c>
      <c r="F2278" t="s">
        <v>19</v>
      </c>
      <c r="G2278" t="s">
        <v>20</v>
      </c>
      <c r="J2278" t="s">
        <v>17</v>
      </c>
      <c r="K2278" t="str">
        <f>"17200010"</f>
        <v>17200010</v>
      </c>
      <c r="L2278" t="str">
        <f>"17200010"</f>
        <v>17200010</v>
      </c>
      <c r="M2278" t="s">
        <v>75</v>
      </c>
      <c r="N2278" s="1">
        <v>42872.847222222219</v>
      </c>
      <c r="O2278" t="s">
        <v>19</v>
      </c>
    </row>
    <row r="2279" spans="1:15" x14ac:dyDescent="0.25">
      <c r="A2279" t="s">
        <v>2101</v>
      </c>
      <c r="B2279" t="s">
        <v>15</v>
      </c>
      <c r="C2279" t="s">
        <v>2074</v>
      </c>
      <c r="D2279" t="s">
        <v>17</v>
      </c>
      <c r="E2279" t="s">
        <v>18</v>
      </c>
      <c r="F2279" t="s">
        <v>19</v>
      </c>
      <c r="G2279" t="s">
        <v>20</v>
      </c>
      <c r="J2279" t="s">
        <v>17</v>
      </c>
      <c r="K2279" t="str">
        <f>"11003434"</f>
        <v>11003434</v>
      </c>
      <c r="L2279" t="str">
        <f>"11003434"</f>
        <v>11003434</v>
      </c>
      <c r="M2279" t="s">
        <v>75</v>
      </c>
      <c r="N2279" s="1">
        <v>42872.839583333334</v>
      </c>
      <c r="O2279" t="s">
        <v>19</v>
      </c>
    </row>
    <row r="2280" spans="1:15" x14ac:dyDescent="0.25">
      <c r="A2280" t="s">
        <v>2102</v>
      </c>
      <c r="B2280" t="s">
        <v>15</v>
      </c>
      <c r="C2280" t="s">
        <v>2074</v>
      </c>
      <c r="D2280" t="s">
        <v>17</v>
      </c>
      <c r="E2280" t="s">
        <v>18</v>
      </c>
      <c r="F2280" t="s">
        <v>19</v>
      </c>
      <c r="G2280" t="s">
        <v>20</v>
      </c>
      <c r="J2280" t="s">
        <v>17</v>
      </c>
      <c r="K2280" t="str">
        <f>"11200112"</f>
        <v>11200112</v>
      </c>
      <c r="L2280" t="str">
        <f>"11200112"</f>
        <v>11200112</v>
      </c>
      <c r="M2280" t="s">
        <v>75</v>
      </c>
      <c r="N2280" s="1">
        <v>42872.847222222219</v>
      </c>
      <c r="O2280" t="s">
        <v>19</v>
      </c>
    </row>
    <row r="2281" spans="1:15" x14ac:dyDescent="0.25">
      <c r="A2281" t="s">
        <v>2103</v>
      </c>
      <c r="B2281" t="s">
        <v>15</v>
      </c>
      <c r="C2281" t="s">
        <v>2074</v>
      </c>
      <c r="D2281" t="s">
        <v>17</v>
      </c>
      <c r="E2281" t="s">
        <v>18</v>
      </c>
      <c r="F2281" t="s">
        <v>19</v>
      </c>
      <c r="G2281" t="s">
        <v>20</v>
      </c>
      <c r="J2281" t="s">
        <v>17</v>
      </c>
      <c r="K2281" t="str">
        <f>"76202200"</f>
        <v>76202200</v>
      </c>
      <c r="L2281" t="str">
        <f>"76202200"</f>
        <v>76202200</v>
      </c>
      <c r="M2281" t="s">
        <v>75</v>
      </c>
      <c r="N2281" s="1">
        <v>42872.847222222219</v>
      </c>
      <c r="O2281" t="s">
        <v>19</v>
      </c>
    </row>
    <row r="2282" spans="1:15" x14ac:dyDescent="0.25">
      <c r="A2282" t="s">
        <v>2104</v>
      </c>
      <c r="B2282" t="s">
        <v>15</v>
      </c>
      <c r="C2282" t="s">
        <v>2074</v>
      </c>
      <c r="D2282" t="s">
        <v>17</v>
      </c>
      <c r="E2282" t="s">
        <v>18</v>
      </c>
      <c r="F2282" t="s">
        <v>19</v>
      </c>
      <c r="G2282" t="s">
        <v>20</v>
      </c>
      <c r="J2282" t="s">
        <v>17</v>
      </c>
      <c r="K2282" t="str">
        <f>"86190008"</f>
        <v>86190008</v>
      </c>
      <c r="L2282" t="str">
        <f>"86190008"</f>
        <v>86190008</v>
      </c>
      <c r="M2282" t="s">
        <v>75</v>
      </c>
      <c r="N2282" s="1">
        <v>43136.654861111114</v>
      </c>
      <c r="O2282" t="s">
        <v>19</v>
      </c>
    </row>
    <row r="2283" spans="1:15" x14ac:dyDescent="0.25">
      <c r="A2283" t="s">
        <v>2105</v>
      </c>
      <c r="B2283" t="s">
        <v>15</v>
      </c>
      <c r="C2283" t="s">
        <v>2074</v>
      </c>
      <c r="D2283" t="s">
        <v>17</v>
      </c>
      <c r="E2283" t="s">
        <v>18</v>
      </c>
      <c r="F2283" t="s">
        <v>19</v>
      </c>
      <c r="G2283" t="s">
        <v>20</v>
      </c>
      <c r="J2283" t="s">
        <v>17</v>
      </c>
      <c r="K2283" t="str">
        <f>"3551278"</f>
        <v>3551278</v>
      </c>
      <c r="L2283" t="str">
        <f>"3551278"</f>
        <v>3551278</v>
      </c>
      <c r="M2283" t="s">
        <v>75</v>
      </c>
      <c r="N2283" s="1">
        <v>42872.839583333334</v>
      </c>
      <c r="O2283" t="s">
        <v>19</v>
      </c>
    </row>
    <row r="2284" spans="1:15" x14ac:dyDescent="0.25">
      <c r="A2284" t="s">
        <v>2105</v>
      </c>
      <c r="B2284" t="s">
        <v>15</v>
      </c>
      <c r="C2284" t="s">
        <v>2074</v>
      </c>
      <c r="D2284" t="s">
        <v>17</v>
      </c>
      <c r="E2284" t="s">
        <v>18</v>
      </c>
      <c r="F2284" t="s">
        <v>19</v>
      </c>
      <c r="G2284" t="s">
        <v>20</v>
      </c>
      <c r="J2284" t="s">
        <v>17</v>
      </c>
      <c r="K2284" t="str">
        <f>"110172440"</f>
        <v>110172440</v>
      </c>
      <c r="L2284" t="str">
        <f>"110172440"</f>
        <v>110172440</v>
      </c>
      <c r="M2284" t="s">
        <v>75</v>
      </c>
      <c r="N2284" s="1">
        <v>42872.847222222219</v>
      </c>
      <c r="O2284" t="s">
        <v>19</v>
      </c>
    </row>
    <row r="2285" spans="1:15" x14ac:dyDescent="0.25">
      <c r="A2285" t="s">
        <v>2106</v>
      </c>
      <c r="B2285" t="s">
        <v>15</v>
      </c>
      <c r="C2285" t="s">
        <v>2074</v>
      </c>
      <c r="D2285" t="s">
        <v>17</v>
      </c>
      <c r="E2285" t="s">
        <v>18</v>
      </c>
      <c r="F2285" t="s">
        <v>19</v>
      </c>
      <c r="G2285" t="s">
        <v>20</v>
      </c>
      <c r="J2285" t="s">
        <v>17</v>
      </c>
      <c r="K2285" t="str">
        <f>"11202440"</f>
        <v>11202440</v>
      </c>
      <c r="L2285" t="str">
        <f>"11202440"</f>
        <v>11202440</v>
      </c>
      <c r="M2285" t="s">
        <v>75</v>
      </c>
      <c r="N2285" s="1">
        <v>42872.839583333334</v>
      </c>
      <c r="O2285" t="s">
        <v>19</v>
      </c>
    </row>
    <row r="2286" spans="1:15" x14ac:dyDescent="0.25">
      <c r="A2286" t="s">
        <v>2107</v>
      </c>
      <c r="B2286" t="s">
        <v>15</v>
      </c>
      <c r="C2286" t="s">
        <v>2074</v>
      </c>
      <c r="D2286" t="s">
        <v>17</v>
      </c>
      <c r="E2286" t="s">
        <v>18</v>
      </c>
      <c r="F2286" t="s">
        <v>19</v>
      </c>
      <c r="G2286" t="s">
        <v>20</v>
      </c>
      <c r="J2286" t="s">
        <v>17</v>
      </c>
      <c r="K2286" t="str">
        <f>"11200165"</f>
        <v>11200165</v>
      </c>
      <c r="L2286" t="str">
        <f>"11200165"</f>
        <v>11200165</v>
      </c>
      <c r="M2286" t="s">
        <v>75</v>
      </c>
      <c r="N2286" s="1">
        <v>42971.914583333331</v>
      </c>
      <c r="O2286" t="s">
        <v>19</v>
      </c>
    </row>
    <row r="2287" spans="1:15" x14ac:dyDescent="0.25">
      <c r="A2287" t="s">
        <v>2108</v>
      </c>
      <c r="B2287" t="s">
        <v>15</v>
      </c>
      <c r="C2287" t="s">
        <v>2074</v>
      </c>
      <c r="D2287" t="s">
        <v>17</v>
      </c>
      <c r="E2287" t="s">
        <v>18</v>
      </c>
      <c r="F2287" t="s">
        <v>19</v>
      </c>
      <c r="G2287" t="s">
        <v>20</v>
      </c>
      <c r="J2287" t="s">
        <v>17</v>
      </c>
      <c r="K2287" t="str">
        <f>"76200910"</f>
        <v>76200910</v>
      </c>
      <c r="L2287" t="str">
        <f>"76200910"</f>
        <v>76200910</v>
      </c>
      <c r="M2287" t="s">
        <v>75</v>
      </c>
      <c r="N2287" s="1">
        <v>42907.809027777781</v>
      </c>
      <c r="O2287" t="s">
        <v>19</v>
      </c>
    </row>
    <row r="2288" spans="1:15" x14ac:dyDescent="0.25">
      <c r="A2288" t="s">
        <v>2109</v>
      </c>
      <c r="B2288" t="s">
        <v>15</v>
      </c>
      <c r="C2288" t="s">
        <v>2074</v>
      </c>
      <c r="D2288" t="s">
        <v>17</v>
      </c>
      <c r="E2288" t="s">
        <v>18</v>
      </c>
      <c r="F2288" t="s">
        <v>19</v>
      </c>
      <c r="G2288" t="s">
        <v>20</v>
      </c>
      <c r="J2288" t="s">
        <v>17</v>
      </c>
      <c r="K2288" t="str">
        <f>"76200078"</f>
        <v>76200078</v>
      </c>
      <c r="L2288" t="str">
        <f>"76200078"</f>
        <v>76200078</v>
      </c>
      <c r="M2288" t="s">
        <v>75</v>
      </c>
      <c r="N2288" s="1">
        <v>42907.808333333334</v>
      </c>
      <c r="O2288" t="s">
        <v>19</v>
      </c>
    </row>
    <row r="2289" spans="1:15" x14ac:dyDescent="0.25">
      <c r="A2289" t="s">
        <v>2110</v>
      </c>
      <c r="B2289" t="s">
        <v>15</v>
      </c>
      <c r="C2289" t="s">
        <v>2074</v>
      </c>
      <c r="D2289" t="s">
        <v>17</v>
      </c>
      <c r="E2289" t="s">
        <v>18</v>
      </c>
      <c r="F2289" t="s">
        <v>19</v>
      </c>
      <c r="G2289" t="s">
        <v>20</v>
      </c>
      <c r="J2289" t="s">
        <v>17</v>
      </c>
      <c r="K2289" t="str">
        <f>"76201419"</f>
        <v>76201419</v>
      </c>
      <c r="L2289" t="str">
        <f>"76201419"</f>
        <v>76201419</v>
      </c>
      <c r="M2289" t="s">
        <v>75</v>
      </c>
      <c r="N2289" s="1">
        <v>42872.847222222219</v>
      </c>
      <c r="O2289" t="s">
        <v>19</v>
      </c>
    </row>
    <row r="2290" spans="1:15" x14ac:dyDescent="0.25">
      <c r="A2290" t="s">
        <v>2111</v>
      </c>
      <c r="B2290" t="s">
        <v>15</v>
      </c>
      <c r="C2290" t="s">
        <v>2074</v>
      </c>
      <c r="D2290" t="s">
        <v>17</v>
      </c>
      <c r="E2290" t="s">
        <v>18</v>
      </c>
      <c r="F2290" t="s">
        <v>19</v>
      </c>
      <c r="G2290" t="s">
        <v>20</v>
      </c>
      <c r="J2290" t="s">
        <v>17</v>
      </c>
      <c r="K2290" t="str">
        <f>"762022137"</f>
        <v>762022137</v>
      </c>
      <c r="L2290" t="str">
        <f>"762022137"</f>
        <v>762022137</v>
      </c>
      <c r="M2290" t="s">
        <v>75</v>
      </c>
      <c r="N2290" s="1">
        <v>42872.849305555559</v>
      </c>
      <c r="O2290" t="s">
        <v>19</v>
      </c>
    </row>
    <row r="2291" spans="1:15" x14ac:dyDescent="0.25">
      <c r="A2291" t="s">
        <v>2112</v>
      </c>
      <c r="B2291" t="s">
        <v>15</v>
      </c>
      <c r="C2291" t="s">
        <v>2074</v>
      </c>
      <c r="D2291" t="s">
        <v>17</v>
      </c>
      <c r="E2291" t="s">
        <v>18</v>
      </c>
      <c r="F2291" t="s">
        <v>19</v>
      </c>
      <c r="G2291" t="s">
        <v>20</v>
      </c>
      <c r="J2291" t="s">
        <v>17</v>
      </c>
      <c r="K2291" t="str">
        <f>"11200700"</f>
        <v>11200700</v>
      </c>
      <c r="L2291" t="str">
        <f>"11200700"</f>
        <v>11200700</v>
      </c>
      <c r="M2291" t="s">
        <v>75</v>
      </c>
      <c r="N2291" s="1">
        <v>42872.839583333334</v>
      </c>
      <c r="O2291" t="s">
        <v>19</v>
      </c>
    </row>
    <row r="2292" spans="1:15" x14ac:dyDescent="0.25">
      <c r="A2292" t="s">
        <v>2113</v>
      </c>
      <c r="B2292" t="s">
        <v>15</v>
      </c>
      <c r="C2292" t="s">
        <v>2074</v>
      </c>
      <c r="D2292" t="s">
        <v>17</v>
      </c>
      <c r="E2292" t="s">
        <v>18</v>
      </c>
      <c r="F2292" t="s">
        <v>19</v>
      </c>
      <c r="G2292" t="s">
        <v>20</v>
      </c>
      <c r="J2292" t="s">
        <v>17</v>
      </c>
      <c r="K2292" t="str">
        <f>"110171756"</f>
        <v>110171756</v>
      </c>
      <c r="L2292" t="str">
        <f>"110171756"</f>
        <v>110171756</v>
      </c>
      <c r="M2292" t="s">
        <v>75</v>
      </c>
      <c r="N2292" s="1">
        <v>42872.847222222219</v>
      </c>
      <c r="O2292" t="s">
        <v>19</v>
      </c>
    </row>
    <row r="2293" spans="1:15" x14ac:dyDescent="0.25">
      <c r="A2293" t="s">
        <v>2114</v>
      </c>
      <c r="B2293" t="s">
        <v>15</v>
      </c>
      <c r="C2293" t="s">
        <v>2074</v>
      </c>
      <c r="D2293" t="s">
        <v>17</v>
      </c>
      <c r="E2293" t="s">
        <v>18</v>
      </c>
      <c r="F2293" t="s">
        <v>19</v>
      </c>
      <c r="G2293" t="s">
        <v>20</v>
      </c>
      <c r="J2293" t="s">
        <v>17</v>
      </c>
      <c r="K2293" t="str">
        <f>"91196207"</f>
        <v>91196207</v>
      </c>
      <c r="L2293" t="str">
        <f>"91196207"</f>
        <v>91196207</v>
      </c>
      <c r="M2293" t="s">
        <v>75</v>
      </c>
      <c r="N2293" s="1">
        <v>42872.847222222219</v>
      </c>
      <c r="O2293" t="s">
        <v>19</v>
      </c>
    </row>
    <row r="2294" spans="1:15" x14ac:dyDescent="0.25">
      <c r="A2294" t="s">
        <v>2115</v>
      </c>
      <c r="B2294" t="s">
        <v>15</v>
      </c>
      <c r="C2294" t="s">
        <v>2074</v>
      </c>
      <c r="D2294" t="s">
        <v>17</v>
      </c>
      <c r="E2294" t="s">
        <v>18</v>
      </c>
      <c r="F2294" t="s">
        <v>19</v>
      </c>
      <c r="G2294" t="s">
        <v>20</v>
      </c>
      <c r="J2294" t="s">
        <v>17</v>
      </c>
      <c r="K2294" t="str">
        <f>"76201401"</f>
        <v>76201401</v>
      </c>
      <c r="L2294" t="str">
        <f>"76201401"</f>
        <v>76201401</v>
      </c>
      <c r="M2294" t="s">
        <v>75</v>
      </c>
      <c r="N2294" s="1">
        <v>42872.847222222219</v>
      </c>
      <c r="O2294" t="s">
        <v>19</v>
      </c>
    </row>
    <row r="2295" spans="1:15" x14ac:dyDescent="0.25">
      <c r="A2295" t="s">
        <v>2116</v>
      </c>
      <c r="B2295" t="s">
        <v>15</v>
      </c>
      <c r="C2295" t="s">
        <v>2074</v>
      </c>
      <c r="D2295" t="s">
        <v>17</v>
      </c>
      <c r="E2295" t="s">
        <v>18</v>
      </c>
      <c r="F2295" t="s">
        <v>19</v>
      </c>
      <c r="G2295" t="s">
        <v>20</v>
      </c>
      <c r="J2295" t="s">
        <v>17</v>
      </c>
      <c r="K2295" t="str">
        <f>"11200147"</f>
        <v>11200147</v>
      </c>
      <c r="L2295" t="str">
        <f>"11200147"</f>
        <v>11200147</v>
      </c>
      <c r="M2295" t="s">
        <v>75</v>
      </c>
      <c r="N2295" s="1">
        <v>42971.908333333333</v>
      </c>
      <c r="O2295" t="s">
        <v>19</v>
      </c>
    </row>
    <row r="2296" spans="1:15" x14ac:dyDescent="0.25">
      <c r="A2296" t="s">
        <v>2117</v>
      </c>
      <c r="B2296" t="s">
        <v>15</v>
      </c>
      <c r="C2296" t="s">
        <v>2074</v>
      </c>
      <c r="D2296" t="s">
        <v>17</v>
      </c>
      <c r="E2296" t="s">
        <v>18</v>
      </c>
      <c r="F2296" t="s">
        <v>19</v>
      </c>
      <c r="G2296" t="s">
        <v>20</v>
      </c>
      <c r="J2296" t="s">
        <v>17</v>
      </c>
      <c r="K2296" t="str">
        <f>"67200001"</f>
        <v>67200001</v>
      </c>
      <c r="L2296" t="str">
        <f>"67200001"</f>
        <v>67200001</v>
      </c>
      <c r="M2296" t="s">
        <v>75</v>
      </c>
      <c r="N2296" s="1">
        <v>42872.847222222219</v>
      </c>
      <c r="O2296" t="s">
        <v>19</v>
      </c>
    </row>
    <row r="2297" spans="1:15" x14ac:dyDescent="0.25">
      <c r="A2297" t="s">
        <v>2118</v>
      </c>
      <c r="B2297" t="s">
        <v>15</v>
      </c>
      <c r="C2297" t="s">
        <v>2074</v>
      </c>
      <c r="D2297" t="s">
        <v>17</v>
      </c>
      <c r="E2297" t="s">
        <v>18</v>
      </c>
      <c r="F2297" t="s">
        <v>19</v>
      </c>
      <c r="G2297" t="s">
        <v>20</v>
      </c>
      <c r="J2297" t="s">
        <v>17</v>
      </c>
      <c r="K2297" t="str">
        <f>"86200010"</f>
        <v>86200010</v>
      </c>
      <c r="L2297" t="str">
        <f>"86200010"</f>
        <v>86200010</v>
      </c>
      <c r="M2297" t="s">
        <v>75</v>
      </c>
      <c r="N2297" s="1">
        <v>42872.847222222219</v>
      </c>
      <c r="O2297" t="s">
        <v>19</v>
      </c>
    </row>
    <row r="2298" spans="1:15" x14ac:dyDescent="0.25">
      <c r="A2298" t="s">
        <v>2119</v>
      </c>
      <c r="B2298" t="s">
        <v>15</v>
      </c>
      <c r="C2298" t="s">
        <v>2074</v>
      </c>
      <c r="D2298" t="s">
        <v>17</v>
      </c>
      <c r="E2298" t="s">
        <v>18</v>
      </c>
      <c r="F2298" t="s">
        <v>19</v>
      </c>
      <c r="G2298" t="s">
        <v>20</v>
      </c>
      <c r="J2298" t="s">
        <v>17</v>
      </c>
      <c r="K2298" t="str">
        <f>"17200008"</f>
        <v>17200008</v>
      </c>
      <c r="L2298" t="str">
        <f>"17200008"</f>
        <v>17200008</v>
      </c>
      <c r="M2298" t="s">
        <v>75</v>
      </c>
      <c r="N2298" s="1">
        <v>42872.839583333334</v>
      </c>
      <c r="O2298" t="s">
        <v>19</v>
      </c>
    </row>
    <row r="2299" spans="1:15" x14ac:dyDescent="0.25">
      <c r="A2299" t="s">
        <v>2120</v>
      </c>
      <c r="B2299" t="s">
        <v>15</v>
      </c>
      <c r="C2299" t="s">
        <v>2074</v>
      </c>
      <c r="D2299" t="s">
        <v>17</v>
      </c>
      <c r="E2299" t="s">
        <v>18</v>
      </c>
      <c r="F2299" t="s">
        <v>19</v>
      </c>
      <c r="G2299" t="s">
        <v>20</v>
      </c>
      <c r="J2299" t="s">
        <v>17</v>
      </c>
      <c r="K2299" t="str">
        <f>"34200008"</f>
        <v>34200008</v>
      </c>
      <c r="L2299" t="str">
        <f>"34200008"</f>
        <v>34200008</v>
      </c>
      <c r="M2299" t="s">
        <v>75</v>
      </c>
      <c r="N2299" s="1">
        <v>42872.839583333334</v>
      </c>
      <c r="O2299" t="s">
        <v>19</v>
      </c>
    </row>
    <row r="2300" spans="1:15" x14ac:dyDescent="0.25">
      <c r="A2300" t="s">
        <v>2121</v>
      </c>
      <c r="B2300" t="s">
        <v>15</v>
      </c>
      <c r="C2300" t="s">
        <v>2074</v>
      </c>
      <c r="D2300" t="s">
        <v>17</v>
      </c>
      <c r="E2300" t="s">
        <v>18</v>
      </c>
      <c r="F2300" t="s">
        <v>19</v>
      </c>
      <c r="G2300" t="s">
        <v>20</v>
      </c>
      <c r="J2300" t="s">
        <v>17</v>
      </c>
      <c r="K2300" t="str">
        <f>"5626890010940"</f>
        <v>5626890010940</v>
      </c>
      <c r="L2300" t="str">
        <f>"28200008"</f>
        <v>28200008</v>
      </c>
      <c r="M2300" t="s">
        <v>75</v>
      </c>
      <c r="N2300" s="1">
        <v>43112.572916666664</v>
      </c>
      <c r="O2300" t="s">
        <v>19</v>
      </c>
    </row>
    <row r="2301" spans="1:15" x14ac:dyDescent="0.25">
      <c r="A2301" t="s">
        <v>2122</v>
      </c>
      <c r="B2301" t="s">
        <v>15</v>
      </c>
      <c r="C2301" t="s">
        <v>2074</v>
      </c>
      <c r="D2301" t="s">
        <v>17</v>
      </c>
      <c r="E2301" t="s">
        <v>18</v>
      </c>
      <c r="F2301" t="s">
        <v>19</v>
      </c>
      <c r="G2301" t="s">
        <v>20</v>
      </c>
      <c r="J2301" t="s">
        <v>17</v>
      </c>
      <c r="K2301" t="str">
        <f>"76200008"</f>
        <v>76200008</v>
      </c>
      <c r="L2301" t="str">
        <f>"76200008"</f>
        <v>76200008</v>
      </c>
      <c r="M2301" t="s">
        <v>75</v>
      </c>
      <c r="N2301" s="1">
        <v>42872.847222222219</v>
      </c>
      <c r="O2301" t="s">
        <v>19</v>
      </c>
    </row>
    <row r="2302" spans="1:15" x14ac:dyDescent="0.25">
      <c r="A2302" t="s">
        <v>2123</v>
      </c>
      <c r="B2302" t="s">
        <v>15</v>
      </c>
      <c r="C2302" t="s">
        <v>2074</v>
      </c>
      <c r="D2302" t="s">
        <v>17</v>
      </c>
      <c r="E2302" t="s">
        <v>18</v>
      </c>
      <c r="F2302" t="s">
        <v>19</v>
      </c>
      <c r="G2302" t="s">
        <v>20</v>
      </c>
      <c r="J2302" t="s">
        <v>17</v>
      </c>
      <c r="K2302" t="str">
        <f>"76200009"</f>
        <v>76200009</v>
      </c>
      <c r="L2302" t="str">
        <f>"76200009"</f>
        <v>76200009</v>
      </c>
      <c r="M2302" t="s">
        <v>75</v>
      </c>
      <c r="N2302" s="1">
        <v>42872.847222222219</v>
      </c>
      <c r="O2302" t="s">
        <v>19</v>
      </c>
    </row>
    <row r="2303" spans="1:15" x14ac:dyDescent="0.25">
      <c r="A2303" t="s">
        <v>2124</v>
      </c>
      <c r="B2303" t="s">
        <v>15</v>
      </c>
      <c r="C2303" t="s">
        <v>2074</v>
      </c>
      <c r="D2303" t="s">
        <v>17</v>
      </c>
      <c r="E2303" t="s">
        <v>18</v>
      </c>
      <c r="F2303" t="s">
        <v>19</v>
      </c>
      <c r="G2303" t="s">
        <v>20</v>
      </c>
      <c r="J2303" t="s">
        <v>17</v>
      </c>
      <c r="K2303" t="str">
        <f>"86200007"</f>
        <v>86200007</v>
      </c>
      <c r="L2303" t="str">
        <f>"86200007"</f>
        <v>86200007</v>
      </c>
      <c r="M2303" t="s">
        <v>75</v>
      </c>
      <c r="N2303" s="1">
        <v>42872.847222222219</v>
      </c>
      <c r="O2303" t="s">
        <v>19</v>
      </c>
    </row>
    <row r="2304" spans="1:15" x14ac:dyDescent="0.25">
      <c r="A2304" t="s">
        <v>2125</v>
      </c>
      <c r="B2304" t="s">
        <v>15</v>
      </c>
      <c r="C2304" t="s">
        <v>2074</v>
      </c>
      <c r="D2304" t="s">
        <v>17</v>
      </c>
      <c r="E2304" t="s">
        <v>18</v>
      </c>
      <c r="F2304" t="s">
        <v>19</v>
      </c>
      <c r="G2304" t="s">
        <v>20</v>
      </c>
      <c r="J2304" t="s">
        <v>17</v>
      </c>
      <c r="K2304" t="str">
        <f>"17200007"</f>
        <v>17200007</v>
      </c>
      <c r="L2304" t="str">
        <f>"17200007"</f>
        <v>17200007</v>
      </c>
      <c r="M2304" t="s">
        <v>75</v>
      </c>
      <c r="N2304" s="1">
        <v>42872.839583333334</v>
      </c>
      <c r="O2304" t="s">
        <v>19</v>
      </c>
    </row>
    <row r="2305" spans="1:15" x14ac:dyDescent="0.25">
      <c r="A2305" t="s">
        <v>2126</v>
      </c>
      <c r="B2305" t="s">
        <v>15</v>
      </c>
      <c r="C2305" t="s">
        <v>2074</v>
      </c>
      <c r="D2305" t="s">
        <v>17</v>
      </c>
      <c r="E2305" t="s">
        <v>18</v>
      </c>
      <c r="F2305" t="s">
        <v>19</v>
      </c>
      <c r="G2305" t="s">
        <v>20</v>
      </c>
      <c r="J2305" t="s">
        <v>17</v>
      </c>
      <c r="K2305" t="str">
        <f>"76200007"</f>
        <v>76200007</v>
      </c>
      <c r="L2305" t="str">
        <f>"76200007"</f>
        <v>76200007</v>
      </c>
      <c r="M2305" t="s">
        <v>75</v>
      </c>
      <c r="N2305" s="1">
        <v>42872.847222222219</v>
      </c>
      <c r="O2305" t="s">
        <v>19</v>
      </c>
    </row>
    <row r="2306" spans="1:15" x14ac:dyDescent="0.25">
      <c r="A2306" t="s">
        <v>2127</v>
      </c>
      <c r="B2306" t="s">
        <v>15</v>
      </c>
      <c r="C2306" t="s">
        <v>217</v>
      </c>
      <c r="D2306" t="s">
        <v>17</v>
      </c>
      <c r="E2306" t="s">
        <v>18</v>
      </c>
      <c r="F2306" t="s">
        <v>19</v>
      </c>
      <c r="G2306" t="s">
        <v>20</v>
      </c>
      <c r="J2306" t="s">
        <v>17</v>
      </c>
      <c r="K2306" t="str">
        <f>"10000965"</f>
        <v>10000965</v>
      </c>
      <c r="L2306" t="str">
        <f>"10000965"</f>
        <v>10000965</v>
      </c>
      <c r="M2306" t="s">
        <v>84</v>
      </c>
      <c r="N2306" s="1">
        <v>43447.623611111114</v>
      </c>
      <c r="O2306" t="s">
        <v>19</v>
      </c>
    </row>
    <row r="2307" spans="1:15" x14ac:dyDescent="0.25">
      <c r="A2307" t="s">
        <v>2128</v>
      </c>
      <c r="B2307" t="s">
        <v>15</v>
      </c>
      <c r="C2307" t="s">
        <v>217</v>
      </c>
      <c r="D2307" t="s">
        <v>17</v>
      </c>
      <c r="E2307" t="s">
        <v>18</v>
      </c>
      <c r="F2307" t="s">
        <v>19</v>
      </c>
      <c r="G2307" t="s">
        <v>20</v>
      </c>
      <c r="J2307" t="s">
        <v>17</v>
      </c>
      <c r="K2307" t="str">
        <f>"7858816078620"</f>
        <v>7858816078620</v>
      </c>
      <c r="L2307" t="str">
        <f>"87527862"</f>
        <v>87527862</v>
      </c>
      <c r="M2307" t="s">
        <v>21</v>
      </c>
      <c r="N2307" s="1">
        <v>43495.649305555555</v>
      </c>
      <c r="O2307" t="s">
        <v>19</v>
      </c>
    </row>
    <row r="2308" spans="1:15" x14ac:dyDescent="0.25">
      <c r="A2308" t="s">
        <v>2129</v>
      </c>
      <c r="B2308" t="s">
        <v>15</v>
      </c>
      <c r="C2308" t="s">
        <v>217</v>
      </c>
      <c r="D2308" t="s">
        <v>17</v>
      </c>
      <c r="E2308" t="s">
        <v>18</v>
      </c>
      <c r="F2308" t="s">
        <v>19</v>
      </c>
      <c r="G2308" t="s">
        <v>20</v>
      </c>
      <c r="J2308" t="s">
        <v>17</v>
      </c>
      <c r="K2308" t="str">
        <f>"61520000"</f>
        <v>61520000</v>
      </c>
      <c r="L2308" t="str">
        <f>"61520000"</f>
        <v>61520000</v>
      </c>
      <c r="M2308" t="s">
        <v>75</v>
      </c>
      <c r="N2308" s="1">
        <v>43176.7</v>
      </c>
      <c r="O2308" t="s">
        <v>19</v>
      </c>
    </row>
    <row r="2309" spans="1:15" x14ac:dyDescent="0.25">
      <c r="A2309" t="s">
        <v>2130</v>
      </c>
      <c r="B2309" t="s">
        <v>1963</v>
      </c>
      <c r="C2309" t="s">
        <v>2131</v>
      </c>
      <c r="D2309" t="s">
        <v>17</v>
      </c>
      <c r="E2309" t="s">
        <v>17</v>
      </c>
      <c r="F2309" t="s">
        <v>19</v>
      </c>
      <c r="G2309" t="s">
        <v>20</v>
      </c>
      <c r="J2309" t="s">
        <v>17</v>
      </c>
      <c r="K2309" t="str">
        <f>"FLETE 1"</f>
        <v>FLETE 1</v>
      </c>
      <c r="L2309" t="str">
        <f>"FLETE 1"</f>
        <v>FLETE 1</v>
      </c>
      <c r="M2309" t="s">
        <v>21</v>
      </c>
      <c r="N2309" s="1">
        <v>44281.849305555559</v>
      </c>
      <c r="O2309" t="s">
        <v>19</v>
      </c>
    </row>
    <row r="2310" spans="1:15" x14ac:dyDescent="0.25">
      <c r="A2310" t="s">
        <v>2132</v>
      </c>
      <c r="B2310" t="s">
        <v>15</v>
      </c>
      <c r="C2310" t="s">
        <v>2131</v>
      </c>
      <c r="D2310" t="s">
        <v>17</v>
      </c>
      <c r="E2310" t="s">
        <v>17</v>
      </c>
      <c r="F2310" t="s">
        <v>19</v>
      </c>
      <c r="G2310" t="s">
        <v>20</v>
      </c>
      <c r="J2310" t="s">
        <v>17</v>
      </c>
      <c r="K2310" t="str">
        <f>"FLETE 2"</f>
        <v>FLETE 2</v>
      </c>
      <c r="L2310" t="str">
        <f>"FLETE 2"</f>
        <v>FLETE 2</v>
      </c>
      <c r="M2310" t="s">
        <v>21</v>
      </c>
      <c r="N2310" s="1">
        <v>44281.855555555558</v>
      </c>
      <c r="O2310" t="s">
        <v>19</v>
      </c>
    </row>
    <row r="2311" spans="1:15" x14ac:dyDescent="0.25">
      <c r="A2311" t="s">
        <v>2133</v>
      </c>
      <c r="B2311" t="s">
        <v>1963</v>
      </c>
      <c r="C2311" t="s">
        <v>2131</v>
      </c>
      <c r="D2311" t="s">
        <v>17</v>
      </c>
      <c r="E2311" t="s">
        <v>17</v>
      </c>
      <c r="F2311" t="s">
        <v>19</v>
      </c>
      <c r="G2311" t="s">
        <v>20</v>
      </c>
      <c r="J2311" t="s">
        <v>17</v>
      </c>
      <c r="K2311" t="str">
        <f>"FLETE 3"</f>
        <v>FLETE 3</v>
      </c>
      <c r="L2311" t="str">
        <f>"FLETE 3"</f>
        <v>FLETE 3</v>
      </c>
      <c r="M2311" t="s">
        <v>21</v>
      </c>
      <c r="N2311" s="1">
        <v>44281.856944444444</v>
      </c>
      <c r="O2311" t="s">
        <v>19</v>
      </c>
    </row>
    <row r="2312" spans="1:15" x14ac:dyDescent="0.25">
      <c r="A2312" t="s">
        <v>2134</v>
      </c>
      <c r="B2312" t="s">
        <v>15</v>
      </c>
      <c r="C2312" t="s">
        <v>2135</v>
      </c>
      <c r="D2312" t="s">
        <v>17</v>
      </c>
      <c r="E2312" t="s">
        <v>18</v>
      </c>
      <c r="F2312" t="s">
        <v>19</v>
      </c>
      <c r="G2312" t="s">
        <v>20</v>
      </c>
      <c r="J2312" t="s">
        <v>17</v>
      </c>
      <c r="K2312" t="str">
        <f>"762305321"</f>
        <v>762305321</v>
      </c>
      <c r="L2312" t="str">
        <f>"762305321"</f>
        <v>762305321</v>
      </c>
      <c r="M2312" t="s">
        <v>21</v>
      </c>
      <c r="N2312" s="1">
        <v>44210.931250000001</v>
      </c>
      <c r="O2312" t="s">
        <v>19</v>
      </c>
    </row>
    <row r="2313" spans="1:15" x14ac:dyDescent="0.25">
      <c r="A2313" t="s">
        <v>2136</v>
      </c>
      <c r="B2313" t="s">
        <v>15</v>
      </c>
      <c r="C2313" t="s">
        <v>2135</v>
      </c>
      <c r="D2313" t="s">
        <v>17</v>
      </c>
      <c r="E2313" t="s">
        <v>18</v>
      </c>
      <c r="F2313" t="s">
        <v>19</v>
      </c>
      <c r="G2313" t="s">
        <v>20</v>
      </c>
      <c r="J2313" t="s">
        <v>17</v>
      </c>
      <c r="K2313" t="str">
        <f>"762338260"</f>
        <v>762338260</v>
      </c>
      <c r="L2313" t="str">
        <f>"762338260"</f>
        <v>762338260</v>
      </c>
      <c r="M2313" t="s">
        <v>75</v>
      </c>
      <c r="N2313" s="1">
        <v>42872.849305555559</v>
      </c>
      <c r="O2313" t="s">
        <v>19</v>
      </c>
    </row>
    <row r="2314" spans="1:15" x14ac:dyDescent="0.25">
      <c r="A2314" t="s">
        <v>2137</v>
      </c>
      <c r="B2314" t="s">
        <v>15</v>
      </c>
      <c r="C2314" t="s">
        <v>2135</v>
      </c>
      <c r="D2314" t="s">
        <v>17</v>
      </c>
      <c r="E2314" t="s">
        <v>18</v>
      </c>
      <c r="F2314" t="s">
        <v>19</v>
      </c>
      <c r="G2314" t="s">
        <v>20</v>
      </c>
      <c r="J2314" t="s">
        <v>17</v>
      </c>
      <c r="K2314" t="str">
        <f>"76600136"</f>
        <v>76600136</v>
      </c>
      <c r="L2314" t="str">
        <f>"76600136"</f>
        <v>76600136</v>
      </c>
      <c r="M2314" t="s">
        <v>75</v>
      </c>
      <c r="N2314" s="1">
        <v>42872.847222222219</v>
      </c>
      <c r="O2314" t="s">
        <v>19</v>
      </c>
    </row>
    <row r="2315" spans="1:15" x14ac:dyDescent="0.25">
      <c r="A2315" t="s">
        <v>2138</v>
      </c>
      <c r="B2315" t="s">
        <v>15</v>
      </c>
      <c r="C2315" t="s">
        <v>2135</v>
      </c>
      <c r="D2315" t="s">
        <v>17</v>
      </c>
      <c r="E2315" t="s">
        <v>18</v>
      </c>
      <c r="F2315" t="s">
        <v>19</v>
      </c>
      <c r="G2315" t="s">
        <v>20</v>
      </c>
      <c r="J2315" t="s">
        <v>17</v>
      </c>
      <c r="K2315" t="str">
        <f>"76230105"</f>
        <v>76230105</v>
      </c>
      <c r="L2315" t="str">
        <f>"76230105"</f>
        <v>76230105</v>
      </c>
      <c r="M2315" t="s">
        <v>75</v>
      </c>
      <c r="N2315" s="1">
        <v>42872.847222222219</v>
      </c>
      <c r="O2315" t="s">
        <v>19</v>
      </c>
    </row>
    <row r="2316" spans="1:15" x14ac:dyDescent="0.25">
      <c r="A2316" t="s">
        <v>2138</v>
      </c>
      <c r="B2316" t="s">
        <v>15</v>
      </c>
      <c r="C2316" t="s">
        <v>2135</v>
      </c>
      <c r="D2316" t="s">
        <v>17</v>
      </c>
      <c r="E2316" t="s">
        <v>18</v>
      </c>
      <c r="F2316" t="s">
        <v>19</v>
      </c>
      <c r="G2316" t="s">
        <v>20</v>
      </c>
      <c r="J2316" t="s">
        <v>17</v>
      </c>
      <c r="K2316" t="str">
        <f>"76600105"</f>
        <v>76600105</v>
      </c>
      <c r="L2316" t="str">
        <f>"76600105"</f>
        <v>76600105</v>
      </c>
      <c r="M2316" t="s">
        <v>75</v>
      </c>
      <c r="N2316" s="1">
        <v>42872.847222222219</v>
      </c>
      <c r="O2316" t="s">
        <v>19</v>
      </c>
    </row>
    <row r="2317" spans="1:15" x14ac:dyDescent="0.25">
      <c r="A2317" t="s">
        <v>2138</v>
      </c>
      <c r="B2317" t="s">
        <v>15</v>
      </c>
      <c r="C2317" t="s">
        <v>2135</v>
      </c>
      <c r="D2317" t="s">
        <v>17</v>
      </c>
      <c r="E2317" t="s">
        <v>18</v>
      </c>
      <c r="F2317" t="s">
        <v>19</v>
      </c>
      <c r="G2317" t="s">
        <v>20</v>
      </c>
      <c r="J2317" t="s">
        <v>17</v>
      </c>
      <c r="K2317" t="str">
        <f>"76630105"</f>
        <v>76630105</v>
      </c>
      <c r="L2317" t="str">
        <f>"76630105"</f>
        <v>76630105</v>
      </c>
      <c r="M2317" t="s">
        <v>75</v>
      </c>
      <c r="N2317" s="1">
        <v>42872.847222222219</v>
      </c>
      <c r="O2317" t="s">
        <v>19</v>
      </c>
    </row>
    <row r="2318" spans="1:15" x14ac:dyDescent="0.25">
      <c r="A2318" t="s">
        <v>2138</v>
      </c>
      <c r="B2318" t="s">
        <v>15</v>
      </c>
      <c r="C2318" t="s">
        <v>2135</v>
      </c>
      <c r="D2318" t="s">
        <v>17</v>
      </c>
      <c r="E2318" t="s">
        <v>18</v>
      </c>
      <c r="F2318" t="s">
        <v>19</v>
      </c>
      <c r="G2318" t="s">
        <v>20</v>
      </c>
      <c r="J2318" t="s">
        <v>17</v>
      </c>
      <c r="K2318" t="str">
        <f>"110303005"</f>
        <v>110303005</v>
      </c>
      <c r="L2318" t="str">
        <f>"110303005"</f>
        <v>110303005</v>
      </c>
      <c r="M2318" t="s">
        <v>75</v>
      </c>
      <c r="N2318" s="1">
        <v>42872.847222222219</v>
      </c>
      <c r="O2318" t="s">
        <v>19</v>
      </c>
    </row>
    <row r="2319" spans="1:15" x14ac:dyDescent="0.25">
      <c r="A2319" t="s">
        <v>2139</v>
      </c>
      <c r="B2319" t="s">
        <v>15</v>
      </c>
      <c r="C2319" t="s">
        <v>2135</v>
      </c>
      <c r="D2319" t="s">
        <v>17</v>
      </c>
      <c r="E2319" t="s">
        <v>18</v>
      </c>
      <c r="F2319" t="s">
        <v>19</v>
      </c>
      <c r="G2319" t="s">
        <v>20</v>
      </c>
      <c r="J2319" t="s">
        <v>17</v>
      </c>
      <c r="K2319" t="str">
        <f>"76230111"</f>
        <v>76230111</v>
      </c>
      <c r="L2319" t="str">
        <f>"76230111"</f>
        <v>76230111</v>
      </c>
      <c r="M2319" t="s">
        <v>75</v>
      </c>
      <c r="N2319" s="1">
        <v>42872.847222222219</v>
      </c>
      <c r="O2319" t="s">
        <v>19</v>
      </c>
    </row>
    <row r="2320" spans="1:15" x14ac:dyDescent="0.25">
      <c r="A2320" t="s">
        <v>2139</v>
      </c>
      <c r="B2320" t="s">
        <v>15</v>
      </c>
      <c r="C2320" t="s">
        <v>2135</v>
      </c>
      <c r="D2320" t="s">
        <v>17</v>
      </c>
      <c r="E2320" t="s">
        <v>18</v>
      </c>
      <c r="F2320" t="s">
        <v>19</v>
      </c>
      <c r="G2320" t="s">
        <v>20</v>
      </c>
      <c r="J2320" t="s">
        <v>17</v>
      </c>
      <c r="K2320" t="str">
        <f>"76550111"</f>
        <v>76550111</v>
      </c>
      <c r="L2320" t="str">
        <f>"76550111"</f>
        <v>76550111</v>
      </c>
      <c r="M2320" t="s">
        <v>75</v>
      </c>
      <c r="N2320" s="1">
        <v>42872.847222222219</v>
      </c>
      <c r="O2320" t="s">
        <v>19</v>
      </c>
    </row>
    <row r="2321" spans="1:15" x14ac:dyDescent="0.25">
      <c r="A2321" t="s">
        <v>2139</v>
      </c>
      <c r="B2321" t="s">
        <v>15</v>
      </c>
      <c r="C2321" t="s">
        <v>2135</v>
      </c>
      <c r="D2321" t="s">
        <v>17</v>
      </c>
      <c r="E2321" t="s">
        <v>18</v>
      </c>
      <c r="F2321" t="s">
        <v>19</v>
      </c>
      <c r="G2321" t="s">
        <v>20</v>
      </c>
      <c r="J2321" t="s">
        <v>17</v>
      </c>
      <c r="K2321" t="str">
        <f>"76600111"</f>
        <v>76600111</v>
      </c>
      <c r="L2321" t="str">
        <f>"76600111"</f>
        <v>76600111</v>
      </c>
      <c r="M2321" t="s">
        <v>75</v>
      </c>
      <c r="N2321" s="1">
        <v>42872.847222222219</v>
      </c>
      <c r="O2321" t="s">
        <v>19</v>
      </c>
    </row>
    <row r="2322" spans="1:15" x14ac:dyDescent="0.25">
      <c r="A2322" t="s">
        <v>2139</v>
      </c>
      <c r="B2322" t="s">
        <v>15</v>
      </c>
      <c r="C2322" t="s">
        <v>2135</v>
      </c>
      <c r="D2322" t="s">
        <v>17</v>
      </c>
      <c r="E2322" t="s">
        <v>18</v>
      </c>
      <c r="F2322" t="s">
        <v>19</v>
      </c>
      <c r="G2322" t="s">
        <v>20</v>
      </c>
      <c r="J2322" t="s">
        <v>17</v>
      </c>
      <c r="K2322" t="str">
        <f>"76630111"</f>
        <v>76630111</v>
      </c>
      <c r="L2322" t="str">
        <f>"76630111"</f>
        <v>76630111</v>
      </c>
      <c r="M2322" t="s">
        <v>75</v>
      </c>
      <c r="N2322" s="1">
        <v>42872.847222222219</v>
      </c>
      <c r="O2322" t="s">
        <v>19</v>
      </c>
    </row>
    <row r="2323" spans="1:15" x14ac:dyDescent="0.25">
      <c r="A2323" t="s">
        <v>2140</v>
      </c>
      <c r="B2323" t="s">
        <v>15</v>
      </c>
      <c r="C2323" t="s">
        <v>2135</v>
      </c>
      <c r="D2323" t="s">
        <v>17</v>
      </c>
      <c r="E2323" t="s">
        <v>18</v>
      </c>
      <c r="F2323" t="s">
        <v>19</v>
      </c>
      <c r="G2323" t="s">
        <v>20</v>
      </c>
      <c r="J2323" t="s">
        <v>17</v>
      </c>
      <c r="K2323" t="str">
        <f>"76230112"</f>
        <v>76230112</v>
      </c>
      <c r="L2323" t="str">
        <f>"76230112"</f>
        <v>76230112</v>
      </c>
      <c r="M2323" t="s">
        <v>75</v>
      </c>
      <c r="N2323" s="1">
        <v>42872.847222222219</v>
      </c>
      <c r="O2323" t="s">
        <v>19</v>
      </c>
    </row>
    <row r="2324" spans="1:15" x14ac:dyDescent="0.25">
      <c r="A2324" t="s">
        <v>2140</v>
      </c>
      <c r="B2324" t="s">
        <v>15</v>
      </c>
      <c r="C2324" t="s">
        <v>2135</v>
      </c>
      <c r="D2324" t="s">
        <v>17</v>
      </c>
      <c r="E2324" t="s">
        <v>18</v>
      </c>
      <c r="F2324" t="s">
        <v>19</v>
      </c>
      <c r="G2324" t="s">
        <v>20</v>
      </c>
      <c r="J2324" t="s">
        <v>17</v>
      </c>
      <c r="K2324" t="str">
        <f>"76600112"</f>
        <v>76600112</v>
      </c>
      <c r="L2324" t="str">
        <f>"76600112"</f>
        <v>76600112</v>
      </c>
      <c r="M2324" t="s">
        <v>75</v>
      </c>
      <c r="N2324" s="1">
        <v>42872.847222222219</v>
      </c>
      <c r="O2324" t="s">
        <v>19</v>
      </c>
    </row>
    <row r="2325" spans="1:15" x14ac:dyDescent="0.25">
      <c r="A2325" t="s">
        <v>2140</v>
      </c>
      <c r="B2325" t="s">
        <v>15</v>
      </c>
      <c r="C2325" t="s">
        <v>2135</v>
      </c>
      <c r="D2325" t="s">
        <v>17</v>
      </c>
      <c r="E2325" t="s">
        <v>18</v>
      </c>
      <c r="F2325" t="s">
        <v>19</v>
      </c>
      <c r="G2325" t="s">
        <v>20</v>
      </c>
      <c r="J2325" t="s">
        <v>17</v>
      </c>
      <c r="K2325" t="str">
        <f>"76630112"</f>
        <v>76630112</v>
      </c>
      <c r="L2325" t="str">
        <f>"76630112"</f>
        <v>76630112</v>
      </c>
      <c r="M2325" t="s">
        <v>75</v>
      </c>
      <c r="N2325" s="1">
        <v>42872.847222222219</v>
      </c>
      <c r="O2325" t="s">
        <v>19</v>
      </c>
    </row>
    <row r="2326" spans="1:15" x14ac:dyDescent="0.25">
      <c r="A2326" t="s">
        <v>2140</v>
      </c>
      <c r="B2326" t="s">
        <v>15</v>
      </c>
      <c r="C2326" t="s">
        <v>2135</v>
      </c>
      <c r="D2326" t="s">
        <v>17</v>
      </c>
      <c r="E2326" t="s">
        <v>18</v>
      </c>
      <c r="F2326" t="s">
        <v>19</v>
      </c>
      <c r="G2326" t="s">
        <v>20</v>
      </c>
      <c r="J2326" t="s">
        <v>17</v>
      </c>
      <c r="K2326" t="str">
        <f>"110760009"</f>
        <v>110760009</v>
      </c>
      <c r="L2326" t="str">
        <f>"110760009"</f>
        <v>110760009</v>
      </c>
      <c r="M2326" t="s">
        <v>75</v>
      </c>
      <c r="N2326" s="1">
        <v>42872.847222222219</v>
      </c>
      <c r="O2326" t="s">
        <v>19</v>
      </c>
    </row>
    <row r="2327" spans="1:15" x14ac:dyDescent="0.25">
      <c r="A2327" t="s">
        <v>2141</v>
      </c>
      <c r="B2327" t="s">
        <v>15</v>
      </c>
      <c r="C2327" t="s">
        <v>2135</v>
      </c>
      <c r="D2327" t="s">
        <v>17</v>
      </c>
      <c r="E2327" t="s">
        <v>18</v>
      </c>
      <c r="F2327" t="s">
        <v>19</v>
      </c>
      <c r="G2327" t="s">
        <v>20</v>
      </c>
      <c r="J2327" t="s">
        <v>17</v>
      </c>
      <c r="K2327" t="str">
        <f>"172301285"</f>
        <v>172301285</v>
      </c>
      <c r="L2327" t="str">
        <f>"172301285"</f>
        <v>172301285</v>
      </c>
      <c r="M2327" t="s">
        <v>75</v>
      </c>
      <c r="N2327" s="1">
        <v>42872.847222222219</v>
      </c>
      <c r="O2327" t="s">
        <v>19</v>
      </c>
    </row>
    <row r="2328" spans="1:15" x14ac:dyDescent="0.25">
      <c r="A2328" t="s">
        <v>2142</v>
      </c>
      <c r="B2328" t="s">
        <v>15</v>
      </c>
      <c r="C2328" t="s">
        <v>2135</v>
      </c>
      <c r="D2328" t="s">
        <v>17</v>
      </c>
      <c r="E2328" t="s">
        <v>18</v>
      </c>
      <c r="F2328" t="s">
        <v>19</v>
      </c>
      <c r="G2328" t="s">
        <v>20</v>
      </c>
      <c r="J2328" t="s">
        <v>17</v>
      </c>
      <c r="K2328" t="str">
        <f>"17630178"</f>
        <v>17630178</v>
      </c>
      <c r="L2328" t="str">
        <f>"17630178"</f>
        <v>17630178</v>
      </c>
      <c r="M2328" t="s">
        <v>75</v>
      </c>
      <c r="N2328" s="1">
        <v>42872.839583333334</v>
      </c>
      <c r="O2328" t="s">
        <v>19</v>
      </c>
    </row>
    <row r="2329" spans="1:15" x14ac:dyDescent="0.25">
      <c r="A2329" t="s">
        <v>2143</v>
      </c>
      <c r="B2329" t="s">
        <v>15</v>
      </c>
      <c r="C2329" t="s">
        <v>2135</v>
      </c>
      <c r="D2329" t="s">
        <v>17</v>
      </c>
      <c r="E2329" t="s">
        <v>18</v>
      </c>
      <c r="F2329" t="s">
        <v>19</v>
      </c>
      <c r="G2329" t="s">
        <v>20</v>
      </c>
      <c r="J2329" t="s">
        <v>17</v>
      </c>
      <c r="K2329" t="str">
        <f>"762330112"</f>
        <v>762330112</v>
      </c>
      <c r="L2329" t="str">
        <f>"762330112"</f>
        <v>762330112</v>
      </c>
      <c r="M2329" t="s">
        <v>75</v>
      </c>
      <c r="N2329" s="1">
        <v>42872.849305555559</v>
      </c>
      <c r="O2329" t="s">
        <v>19</v>
      </c>
    </row>
    <row r="2330" spans="1:15" x14ac:dyDescent="0.25">
      <c r="A2330" t="s">
        <v>2144</v>
      </c>
      <c r="B2330" t="s">
        <v>15</v>
      </c>
      <c r="C2330" t="s">
        <v>2135</v>
      </c>
      <c r="D2330" t="s">
        <v>17</v>
      </c>
      <c r="E2330" t="s">
        <v>18</v>
      </c>
      <c r="F2330" t="s">
        <v>19</v>
      </c>
      <c r="G2330" t="s">
        <v>20</v>
      </c>
      <c r="J2330" t="s">
        <v>17</v>
      </c>
      <c r="K2330" t="str">
        <f>"172301108"</f>
        <v>172301108</v>
      </c>
      <c r="L2330" t="str">
        <f>"172301108"</f>
        <v>172301108</v>
      </c>
      <c r="M2330" t="s">
        <v>75</v>
      </c>
      <c r="N2330" s="1">
        <v>42872.847222222219</v>
      </c>
      <c r="O2330" t="s">
        <v>19</v>
      </c>
    </row>
    <row r="2331" spans="1:15" x14ac:dyDescent="0.25">
      <c r="A2331" t="s">
        <v>2144</v>
      </c>
      <c r="B2331" t="s">
        <v>15</v>
      </c>
      <c r="C2331" t="s">
        <v>2135</v>
      </c>
      <c r="D2331" t="s">
        <v>17</v>
      </c>
      <c r="E2331" t="s">
        <v>18</v>
      </c>
      <c r="F2331" t="s">
        <v>19</v>
      </c>
      <c r="G2331" t="s">
        <v>20</v>
      </c>
      <c r="J2331" t="s">
        <v>17</v>
      </c>
      <c r="K2331" t="str">
        <f>"176001108"</f>
        <v>176001108</v>
      </c>
      <c r="L2331" t="str">
        <f>"176001108"</f>
        <v>176001108</v>
      </c>
      <c r="M2331" t="s">
        <v>75</v>
      </c>
      <c r="N2331" s="1">
        <v>42872.849305555559</v>
      </c>
      <c r="O2331" t="s">
        <v>19</v>
      </c>
    </row>
    <row r="2332" spans="1:15" x14ac:dyDescent="0.25">
      <c r="A2332" t="s">
        <v>2144</v>
      </c>
      <c r="B2332" t="s">
        <v>15</v>
      </c>
      <c r="C2332" t="s">
        <v>2135</v>
      </c>
      <c r="D2332" t="s">
        <v>17</v>
      </c>
      <c r="E2332" t="s">
        <v>18</v>
      </c>
      <c r="F2332" t="s">
        <v>19</v>
      </c>
      <c r="G2332" t="s">
        <v>20</v>
      </c>
      <c r="J2332" t="s">
        <v>17</v>
      </c>
      <c r="K2332" t="str">
        <f>"346301108"</f>
        <v>346301108</v>
      </c>
      <c r="L2332" t="str">
        <f>"346301108"</f>
        <v>346301108</v>
      </c>
      <c r="M2332" t="s">
        <v>75</v>
      </c>
      <c r="N2332" s="1">
        <v>42872.849305555559</v>
      </c>
      <c r="O2332" t="s">
        <v>19</v>
      </c>
    </row>
    <row r="2333" spans="1:15" x14ac:dyDescent="0.25">
      <c r="A2333" t="s">
        <v>2145</v>
      </c>
      <c r="B2333" t="s">
        <v>15</v>
      </c>
      <c r="C2333" t="s">
        <v>2135</v>
      </c>
      <c r="D2333" t="s">
        <v>17</v>
      </c>
      <c r="E2333" t="s">
        <v>18</v>
      </c>
      <c r="F2333" t="s">
        <v>19</v>
      </c>
      <c r="G2333" t="s">
        <v>20</v>
      </c>
      <c r="J2333" t="s">
        <v>17</v>
      </c>
      <c r="K2333" t="str">
        <f>"172301162"</f>
        <v>172301162</v>
      </c>
      <c r="L2333" t="str">
        <f>"172301162"</f>
        <v>172301162</v>
      </c>
      <c r="M2333" t="s">
        <v>75</v>
      </c>
      <c r="N2333" s="1">
        <v>42872.847222222219</v>
      </c>
      <c r="O2333" t="s">
        <v>19</v>
      </c>
    </row>
    <row r="2334" spans="1:15" x14ac:dyDescent="0.25">
      <c r="A2334" t="s">
        <v>2145</v>
      </c>
      <c r="B2334" t="s">
        <v>15</v>
      </c>
      <c r="C2334" t="s">
        <v>2135</v>
      </c>
      <c r="D2334" t="s">
        <v>17</v>
      </c>
      <c r="E2334" t="s">
        <v>18</v>
      </c>
      <c r="F2334" t="s">
        <v>19</v>
      </c>
      <c r="G2334" t="s">
        <v>20</v>
      </c>
      <c r="J2334" t="s">
        <v>17</v>
      </c>
      <c r="K2334" t="str">
        <f>"346301115"</f>
        <v>346301115</v>
      </c>
      <c r="L2334" t="str">
        <f>"346301115"</f>
        <v>346301115</v>
      </c>
      <c r="M2334" t="s">
        <v>75</v>
      </c>
      <c r="N2334" s="1">
        <v>42872.849305555559</v>
      </c>
      <c r="O2334" t="s">
        <v>19</v>
      </c>
    </row>
    <row r="2335" spans="1:15" x14ac:dyDescent="0.25">
      <c r="A2335" t="s">
        <v>2145</v>
      </c>
      <c r="B2335" t="s">
        <v>15</v>
      </c>
      <c r="C2335" t="s">
        <v>2135</v>
      </c>
      <c r="D2335" t="s">
        <v>17</v>
      </c>
      <c r="E2335" t="s">
        <v>18</v>
      </c>
      <c r="F2335" t="s">
        <v>19</v>
      </c>
      <c r="G2335" t="s">
        <v>20</v>
      </c>
      <c r="J2335" t="s">
        <v>17</v>
      </c>
      <c r="K2335" t="str">
        <f>"766301115"</f>
        <v>766301115</v>
      </c>
      <c r="L2335" t="str">
        <f>"766301115"</f>
        <v>766301115</v>
      </c>
      <c r="M2335" t="s">
        <v>75</v>
      </c>
      <c r="N2335" s="1">
        <v>42872.849305555559</v>
      </c>
      <c r="O2335" t="s">
        <v>19</v>
      </c>
    </row>
    <row r="2336" spans="1:15" x14ac:dyDescent="0.25">
      <c r="A2336" t="s">
        <v>2145</v>
      </c>
      <c r="B2336" t="s">
        <v>15</v>
      </c>
      <c r="C2336" t="s">
        <v>2135</v>
      </c>
      <c r="D2336" t="s">
        <v>17</v>
      </c>
      <c r="E2336" t="s">
        <v>18</v>
      </c>
      <c r="F2336" t="s">
        <v>19</v>
      </c>
      <c r="G2336" t="s">
        <v>20</v>
      </c>
      <c r="J2336" t="s">
        <v>17</v>
      </c>
      <c r="K2336" t="str">
        <f>"762301112"</f>
        <v>762301112</v>
      </c>
      <c r="L2336" t="str">
        <f>"762301112"</f>
        <v>762301112</v>
      </c>
      <c r="M2336" t="s">
        <v>75</v>
      </c>
      <c r="N2336" s="1">
        <v>42886.910416666666</v>
      </c>
      <c r="O2336" t="s">
        <v>19</v>
      </c>
    </row>
    <row r="2337" spans="1:15" x14ac:dyDescent="0.25">
      <c r="A2337" t="s">
        <v>2146</v>
      </c>
      <c r="B2337" t="s">
        <v>15</v>
      </c>
      <c r="C2337" t="s">
        <v>2135</v>
      </c>
      <c r="D2337" t="s">
        <v>17</v>
      </c>
      <c r="E2337" t="s">
        <v>18</v>
      </c>
      <c r="F2337" t="s">
        <v>19</v>
      </c>
      <c r="G2337" t="s">
        <v>20</v>
      </c>
      <c r="J2337" t="s">
        <v>17</v>
      </c>
      <c r="K2337" t="str">
        <f>"76230175"</f>
        <v>76230175</v>
      </c>
      <c r="L2337" t="str">
        <f>"76230175"</f>
        <v>76230175</v>
      </c>
      <c r="M2337" t="s">
        <v>75</v>
      </c>
      <c r="N2337" s="1">
        <v>42872.847222222219</v>
      </c>
      <c r="O2337" t="s">
        <v>19</v>
      </c>
    </row>
    <row r="2338" spans="1:15" x14ac:dyDescent="0.25">
      <c r="A2338" t="s">
        <v>2147</v>
      </c>
      <c r="B2338" t="s">
        <v>15</v>
      </c>
      <c r="C2338" t="s">
        <v>2135</v>
      </c>
      <c r="D2338" t="s">
        <v>17</v>
      </c>
      <c r="E2338" t="s">
        <v>18</v>
      </c>
      <c r="F2338" t="s">
        <v>19</v>
      </c>
      <c r="G2338" t="s">
        <v>20</v>
      </c>
      <c r="J2338" t="s">
        <v>17</v>
      </c>
      <c r="K2338" t="str">
        <f>"766301124"</f>
        <v>766301124</v>
      </c>
      <c r="L2338" t="str">
        <f>"766301124"</f>
        <v>766301124</v>
      </c>
      <c r="M2338" t="s">
        <v>75</v>
      </c>
      <c r="N2338" s="1">
        <v>42872.849305555559</v>
      </c>
      <c r="O2338" t="s">
        <v>19</v>
      </c>
    </row>
    <row r="2339" spans="1:15" x14ac:dyDescent="0.25">
      <c r="A2339" t="s">
        <v>2148</v>
      </c>
      <c r="B2339" t="s">
        <v>15</v>
      </c>
      <c r="C2339" t="s">
        <v>2135</v>
      </c>
      <c r="D2339" t="s">
        <v>17</v>
      </c>
      <c r="E2339" t="s">
        <v>18</v>
      </c>
      <c r="F2339" t="s">
        <v>19</v>
      </c>
      <c r="G2339" t="s">
        <v>20</v>
      </c>
      <c r="J2339" t="s">
        <v>17</v>
      </c>
      <c r="K2339" t="str">
        <f>"172301211"</f>
        <v>172301211</v>
      </c>
      <c r="L2339" t="str">
        <f>"172301211"</f>
        <v>172301211</v>
      </c>
      <c r="M2339" t="s">
        <v>75</v>
      </c>
      <c r="N2339" s="1">
        <v>42872.847222222219</v>
      </c>
      <c r="O2339" t="s">
        <v>19</v>
      </c>
    </row>
    <row r="2340" spans="1:15" x14ac:dyDescent="0.25">
      <c r="A2340" t="s">
        <v>2149</v>
      </c>
      <c r="B2340" t="s">
        <v>15</v>
      </c>
      <c r="C2340" t="s">
        <v>2135</v>
      </c>
      <c r="D2340" t="s">
        <v>17</v>
      </c>
      <c r="E2340" t="s">
        <v>18</v>
      </c>
      <c r="F2340" t="s">
        <v>19</v>
      </c>
      <c r="G2340" t="s">
        <v>20</v>
      </c>
      <c r="J2340" t="s">
        <v>17</v>
      </c>
      <c r="K2340" t="str">
        <f>"172301129"</f>
        <v>172301129</v>
      </c>
      <c r="L2340" t="str">
        <f>"172301129"</f>
        <v>172301129</v>
      </c>
      <c r="M2340" t="s">
        <v>75</v>
      </c>
      <c r="N2340" s="1">
        <v>42872.847222222219</v>
      </c>
      <c r="O2340" t="s">
        <v>19</v>
      </c>
    </row>
    <row r="2341" spans="1:15" x14ac:dyDescent="0.25">
      <c r="A2341" t="s">
        <v>2149</v>
      </c>
      <c r="B2341" t="s">
        <v>15</v>
      </c>
      <c r="C2341" t="s">
        <v>2135</v>
      </c>
      <c r="D2341" t="s">
        <v>17</v>
      </c>
      <c r="E2341" t="s">
        <v>18</v>
      </c>
      <c r="F2341" t="s">
        <v>19</v>
      </c>
      <c r="G2341" t="s">
        <v>20</v>
      </c>
      <c r="J2341" t="s">
        <v>17</v>
      </c>
      <c r="K2341" t="str">
        <f>"762301129"</f>
        <v>762301129</v>
      </c>
      <c r="L2341" t="str">
        <f>"762301129"</f>
        <v>762301129</v>
      </c>
      <c r="M2341" t="s">
        <v>75</v>
      </c>
      <c r="N2341" s="1">
        <v>42872.849305555559</v>
      </c>
      <c r="O2341" t="s">
        <v>19</v>
      </c>
    </row>
    <row r="2342" spans="1:15" x14ac:dyDescent="0.25">
      <c r="A2342" t="s">
        <v>2149</v>
      </c>
      <c r="B2342" t="s">
        <v>15</v>
      </c>
      <c r="C2342" t="s">
        <v>2135</v>
      </c>
      <c r="D2342" t="s">
        <v>17</v>
      </c>
      <c r="E2342" t="s">
        <v>18</v>
      </c>
      <c r="F2342" t="s">
        <v>19</v>
      </c>
      <c r="G2342" t="s">
        <v>20</v>
      </c>
      <c r="J2342" t="s">
        <v>17</v>
      </c>
      <c r="K2342" t="str">
        <f>"176301129"</f>
        <v>176301129</v>
      </c>
      <c r="L2342" t="str">
        <f>"176301129"</f>
        <v>176301129</v>
      </c>
      <c r="M2342" t="s">
        <v>75</v>
      </c>
      <c r="N2342" s="1">
        <v>42872.849305555559</v>
      </c>
      <c r="O2342" t="s">
        <v>19</v>
      </c>
    </row>
    <row r="2343" spans="1:15" x14ac:dyDescent="0.25">
      <c r="A2343" t="s">
        <v>2150</v>
      </c>
      <c r="B2343" t="s">
        <v>15</v>
      </c>
      <c r="C2343" t="s">
        <v>2135</v>
      </c>
      <c r="D2343" t="s">
        <v>17</v>
      </c>
      <c r="E2343" t="s">
        <v>18</v>
      </c>
      <c r="F2343" t="s">
        <v>19</v>
      </c>
      <c r="G2343" t="s">
        <v>20</v>
      </c>
      <c r="J2343" t="s">
        <v>17</v>
      </c>
      <c r="K2343" t="str">
        <f>"762301209"</f>
        <v>762301209</v>
      </c>
      <c r="L2343" t="str">
        <f>"762301209"</f>
        <v>762301209</v>
      </c>
      <c r="M2343" t="s">
        <v>75</v>
      </c>
      <c r="N2343" s="1">
        <v>42872.849305555559</v>
      </c>
      <c r="O2343" t="s">
        <v>19</v>
      </c>
    </row>
    <row r="2344" spans="1:15" x14ac:dyDescent="0.25">
      <c r="A2344" t="s">
        <v>2151</v>
      </c>
      <c r="B2344" t="s">
        <v>15</v>
      </c>
      <c r="C2344" t="s">
        <v>2135</v>
      </c>
      <c r="D2344" t="s">
        <v>17</v>
      </c>
      <c r="E2344" t="s">
        <v>18</v>
      </c>
      <c r="F2344" t="s">
        <v>19</v>
      </c>
      <c r="G2344" t="s">
        <v>20</v>
      </c>
      <c r="J2344" t="s">
        <v>17</v>
      </c>
      <c r="K2344" t="str">
        <f>"172301240"</f>
        <v>172301240</v>
      </c>
      <c r="L2344" t="str">
        <f>"172301240"</f>
        <v>172301240</v>
      </c>
      <c r="M2344" t="s">
        <v>75</v>
      </c>
      <c r="N2344" s="1">
        <v>42872.847222222219</v>
      </c>
      <c r="O2344" t="s">
        <v>19</v>
      </c>
    </row>
    <row r="2345" spans="1:15" x14ac:dyDescent="0.25">
      <c r="A2345" t="s">
        <v>2151</v>
      </c>
      <c r="B2345" t="s">
        <v>15</v>
      </c>
      <c r="C2345" t="s">
        <v>2135</v>
      </c>
      <c r="D2345" t="s">
        <v>17</v>
      </c>
      <c r="E2345" t="s">
        <v>18</v>
      </c>
      <c r="F2345" t="s">
        <v>19</v>
      </c>
      <c r="G2345" t="s">
        <v>20</v>
      </c>
      <c r="J2345" t="s">
        <v>17</v>
      </c>
      <c r="K2345" t="str">
        <f>"176001240"</f>
        <v>176001240</v>
      </c>
      <c r="L2345" t="str">
        <f>"176001240"</f>
        <v>176001240</v>
      </c>
      <c r="M2345" t="s">
        <v>75</v>
      </c>
      <c r="N2345" s="1">
        <v>42872.849305555559</v>
      </c>
      <c r="O2345" t="s">
        <v>19</v>
      </c>
    </row>
    <row r="2346" spans="1:15" x14ac:dyDescent="0.25">
      <c r="A2346" t="s">
        <v>2151</v>
      </c>
      <c r="B2346" t="s">
        <v>15</v>
      </c>
      <c r="C2346" t="s">
        <v>2135</v>
      </c>
      <c r="D2346" t="s">
        <v>17</v>
      </c>
      <c r="E2346" t="s">
        <v>18</v>
      </c>
      <c r="F2346" t="s">
        <v>19</v>
      </c>
      <c r="G2346" t="s">
        <v>20</v>
      </c>
      <c r="J2346" t="s">
        <v>17</v>
      </c>
      <c r="K2346" t="str">
        <f>"766001240"</f>
        <v>766001240</v>
      </c>
      <c r="L2346" t="str">
        <f>"766001240"</f>
        <v>766001240</v>
      </c>
      <c r="M2346" t="s">
        <v>75</v>
      </c>
      <c r="N2346" s="1">
        <v>42872.849305555559</v>
      </c>
      <c r="O2346" t="s">
        <v>19</v>
      </c>
    </row>
    <row r="2347" spans="1:15" x14ac:dyDescent="0.25">
      <c r="A2347" t="s">
        <v>2152</v>
      </c>
      <c r="B2347" t="s">
        <v>15</v>
      </c>
      <c r="C2347" t="s">
        <v>2135</v>
      </c>
      <c r="D2347" t="s">
        <v>17</v>
      </c>
      <c r="E2347" t="s">
        <v>18</v>
      </c>
      <c r="F2347" t="s">
        <v>19</v>
      </c>
      <c r="G2347" t="s">
        <v>20</v>
      </c>
      <c r="J2347" t="s">
        <v>17</v>
      </c>
      <c r="K2347" t="str">
        <f>"172301236"</f>
        <v>172301236</v>
      </c>
      <c r="L2347" t="str">
        <f>"172301236"</f>
        <v>172301236</v>
      </c>
      <c r="M2347" t="s">
        <v>75</v>
      </c>
      <c r="N2347" s="1">
        <v>42872.847222222219</v>
      </c>
      <c r="O2347" t="s">
        <v>19</v>
      </c>
    </row>
    <row r="2348" spans="1:15" x14ac:dyDescent="0.25">
      <c r="A2348" t="s">
        <v>2152</v>
      </c>
      <c r="B2348" t="s">
        <v>15</v>
      </c>
      <c r="C2348" t="s">
        <v>2135</v>
      </c>
      <c r="D2348" t="s">
        <v>17</v>
      </c>
      <c r="E2348" t="s">
        <v>18</v>
      </c>
      <c r="F2348" t="s">
        <v>19</v>
      </c>
      <c r="G2348" t="s">
        <v>20</v>
      </c>
      <c r="J2348" t="s">
        <v>17</v>
      </c>
      <c r="K2348" t="str">
        <f>"766001236"</f>
        <v>766001236</v>
      </c>
      <c r="L2348" t="str">
        <f>"766001236"</f>
        <v>766001236</v>
      </c>
      <c r="M2348" t="s">
        <v>75</v>
      </c>
      <c r="N2348" s="1">
        <v>42872.849305555559</v>
      </c>
      <c r="O2348" t="s">
        <v>19</v>
      </c>
    </row>
    <row r="2349" spans="1:15" x14ac:dyDescent="0.25">
      <c r="A2349" t="s">
        <v>2153</v>
      </c>
      <c r="B2349" t="s">
        <v>15</v>
      </c>
      <c r="C2349" t="s">
        <v>2135</v>
      </c>
      <c r="D2349" t="s">
        <v>17</v>
      </c>
      <c r="E2349" t="s">
        <v>18</v>
      </c>
      <c r="F2349" t="s">
        <v>19</v>
      </c>
      <c r="G2349" t="s">
        <v>20</v>
      </c>
      <c r="J2349" t="s">
        <v>17</v>
      </c>
      <c r="K2349" t="str">
        <f>"172301237"</f>
        <v>172301237</v>
      </c>
      <c r="L2349" t="str">
        <f>"172301237"</f>
        <v>172301237</v>
      </c>
      <c r="M2349" t="s">
        <v>75</v>
      </c>
      <c r="N2349" s="1">
        <v>42872.849305555559</v>
      </c>
      <c r="O2349" t="s">
        <v>19</v>
      </c>
    </row>
    <row r="2350" spans="1:15" x14ac:dyDescent="0.25">
      <c r="A2350" t="s">
        <v>2154</v>
      </c>
      <c r="B2350" t="s">
        <v>15</v>
      </c>
      <c r="C2350" t="s">
        <v>2135</v>
      </c>
      <c r="D2350" t="s">
        <v>17</v>
      </c>
      <c r="E2350" t="s">
        <v>18</v>
      </c>
      <c r="F2350" t="s">
        <v>19</v>
      </c>
      <c r="G2350" t="s">
        <v>20</v>
      </c>
      <c r="J2350" t="s">
        <v>17</v>
      </c>
      <c r="K2350" t="str">
        <f>"17630111"</f>
        <v>17630111</v>
      </c>
      <c r="L2350" t="str">
        <f>"17630111"</f>
        <v>17630111</v>
      </c>
      <c r="M2350" t="s">
        <v>75</v>
      </c>
      <c r="N2350" s="1">
        <v>42872.839583333334</v>
      </c>
      <c r="O2350" t="s">
        <v>19</v>
      </c>
    </row>
    <row r="2351" spans="1:15" x14ac:dyDescent="0.25">
      <c r="A2351" t="s">
        <v>2154</v>
      </c>
      <c r="B2351" t="s">
        <v>15</v>
      </c>
      <c r="C2351" t="s">
        <v>2135</v>
      </c>
      <c r="D2351" t="s">
        <v>17</v>
      </c>
      <c r="E2351" t="s">
        <v>18</v>
      </c>
      <c r="F2351" t="s">
        <v>19</v>
      </c>
      <c r="G2351" t="s">
        <v>20</v>
      </c>
      <c r="J2351" t="s">
        <v>17</v>
      </c>
      <c r="K2351" t="str">
        <f>"68600111"</f>
        <v>68600111</v>
      </c>
      <c r="L2351" t="str">
        <f>"68600111"</f>
        <v>68600111</v>
      </c>
      <c r="M2351" t="s">
        <v>75</v>
      </c>
      <c r="N2351" s="1">
        <v>42872.847222222219</v>
      </c>
      <c r="O2351" t="s">
        <v>19</v>
      </c>
    </row>
    <row r="2352" spans="1:15" x14ac:dyDescent="0.25">
      <c r="A2352" t="s">
        <v>2155</v>
      </c>
      <c r="B2352" t="s">
        <v>15</v>
      </c>
      <c r="C2352" t="s">
        <v>2135</v>
      </c>
      <c r="D2352" t="s">
        <v>17</v>
      </c>
      <c r="E2352" t="s">
        <v>18</v>
      </c>
      <c r="F2352" t="s">
        <v>19</v>
      </c>
      <c r="G2352" t="s">
        <v>20</v>
      </c>
      <c r="J2352" t="s">
        <v>17</v>
      </c>
      <c r="K2352" t="str">
        <f>"76600193"</f>
        <v>76600193</v>
      </c>
      <c r="L2352" t="str">
        <f>"76600193"</f>
        <v>76600193</v>
      </c>
      <c r="M2352" t="s">
        <v>75</v>
      </c>
      <c r="N2352" s="1">
        <v>42872.847222222219</v>
      </c>
      <c r="O2352" t="s">
        <v>19</v>
      </c>
    </row>
    <row r="2353" spans="1:15" x14ac:dyDescent="0.25">
      <c r="A2353" t="s">
        <v>2155</v>
      </c>
      <c r="B2353" t="s">
        <v>15</v>
      </c>
      <c r="C2353" t="s">
        <v>2135</v>
      </c>
      <c r="D2353" t="s">
        <v>17</v>
      </c>
      <c r="E2353" t="s">
        <v>18</v>
      </c>
      <c r="F2353" t="s">
        <v>19</v>
      </c>
      <c r="G2353" t="s">
        <v>20</v>
      </c>
      <c r="J2353" t="s">
        <v>17</v>
      </c>
      <c r="K2353" t="str">
        <f>"172301198"</f>
        <v>172301198</v>
      </c>
      <c r="L2353" t="str">
        <f>"172301198"</f>
        <v>172301198</v>
      </c>
      <c r="M2353" t="s">
        <v>75</v>
      </c>
      <c r="N2353" s="1">
        <v>42872.847222222219</v>
      </c>
      <c r="O2353" t="s">
        <v>19</v>
      </c>
    </row>
    <row r="2354" spans="1:15" x14ac:dyDescent="0.25">
      <c r="A2354" t="s">
        <v>2154</v>
      </c>
      <c r="B2354" t="s">
        <v>15</v>
      </c>
      <c r="C2354" t="s">
        <v>2135</v>
      </c>
      <c r="D2354" t="s">
        <v>17</v>
      </c>
      <c r="E2354" t="s">
        <v>18</v>
      </c>
      <c r="F2354" t="s">
        <v>19</v>
      </c>
      <c r="G2354" t="s">
        <v>20</v>
      </c>
      <c r="J2354" t="s">
        <v>17</v>
      </c>
      <c r="K2354" t="str">
        <f>"686001198"</f>
        <v>686001198</v>
      </c>
      <c r="L2354" t="str">
        <f>"686001198"</f>
        <v>686001198</v>
      </c>
      <c r="M2354" t="s">
        <v>75</v>
      </c>
      <c r="N2354" s="1">
        <v>42872.849305555559</v>
      </c>
      <c r="O2354" t="s">
        <v>19</v>
      </c>
    </row>
    <row r="2355" spans="1:15" x14ac:dyDescent="0.25">
      <c r="A2355" t="s">
        <v>2155</v>
      </c>
      <c r="B2355" t="s">
        <v>15</v>
      </c>
      <c r="C2355" t="s">
        <v>2135</v>
      </c>
      <c r="D2355" t="s">
        <v>17</v>
      </c>
      <c r="E2355" t="s">
        <v>18</v>
      </c>
      <c r="F2355" t="s">
        <v>19</v>
      </c>
      <c r="G2355" t="s">
        <v>20</v>
      </c>
      <c r="J2355" t="s">
        <v>17</v>
      </c>
      <c r="K2355" t="str">
        <f>"766001198"</f>
        <v>766001198</v>
      </c>
      <c r="L2355" t="str">
        <f>"766001198"</f>
        <v>766001198</v>
      </c>
      <c r="M2355" t="s">
        <v>75</v>
      </c>
      <c r="N2355" s="1">
        <v>42872.849305555559</v>
      </c>
      <c r="O2355" t="s">
        <v>19</v>
      </c>
    </row>
    <row r="2356" spans="1:15" x14ac:dyDescent="0.25">
      <c r="A2356" t="s">
        <v>2156</v>
      </c>
      <c r="B2356" t="s">
        <v>15</v>
      </c>
      <c r="C2356" t="s">
        <v>2135</v>
      </c>
      <c r="D2356" t="s">
        <v>17</v>
      </c>
      <c r="E2356" t="s">
        <v>18</v>
      </c>
      <c r="F2356" t="s">
        <v>19</v>
      </c>
      <c r="G2356" t="s">
        <v>20</v>
      </c>
      <c r="J2356" t="s">
        <v>17</v>
      </c>
      <c r="K2356" t="str">
        <f>"76230192"</f>
        <v>76230192</v>
      </c>
      <c r="L2356" t="str">
        <f>"76230192"</f>
        <v>76230192</v>
      </c>
      <c r="M2356" t="s">
        <v>75</v>
      </c>
      <c r="N2356" s="1">
        <v>42872.847222222219</v>
      </c>
      <c r="O2356" t="s">
        <v>19</v>
      </c>
    </row>
    <row r="2357" spans="1:15" x14ac:dyDescent="0.25">
      <c r="A2357" t="s">
        <v>2157</v>
      </c>
      <c r="B2357" t="s">
        <v>15</v>
      </c>
      <c r="C2357" t="s">
        <v>2135</v>
      </c>
      <c r="D2357" t="s">
        <v>17</v>
      </c>
      <c r="E2357" t="s">
        <v>18</v>
      </c>
      <c r="F2357" t="s">
        <v>19</v>
      </c>
      <c r="G2357" t="s">
        <v>20</v>
      </c>
      <c r="J2357" t="s">
        <v>17</v>
      </c>
      <c r="K2357" t="str">
        <f>"172301212"</f>
        <v>172301212</v>
      </c>
      <c r="L2357" t="str">
        <f>"172301212"</f>
        <v>172301212</v>
      </c>
      <c r="M2357" t="s">
        <v>75</v>
      </c>
      <c r="N2357" s="1">
        <v>42872.847222222219</v>
      </c>
      <c r="O2357" t="s">
        <v>19</v>
      </c>
    </row>
    <row r="2358" spans="1:15" x14ac:dyDescent="0.25">
      <c r="A2358" t="s">
        <v>2158</v>
      </c>
      <c r="B2358" t="s">
        <v>15</v>
      </c>
      <c r="C2358" t="s">
        <v>2135</v>
      </c>
      <c r="D2358" t="s">
        <v>17</v>
      </c>
      <c r="E2358" t="s">
        <v>18</v>
      </c>
      <c r="F2358" t="s">
        <v>19</v>
      </c>
      <c r="G2358" t="s">
        <v>20</v>
      </c>
      <c r="J2358" t="s">
        <v>17</v>
      </c>
      <c r="K2358" t="str">
        <f>"17230192"</f>
        <v>17230192</v>
      </c>
      <c r="L2358" t="str">
        <f>"17230192"</f>
        <v>17230192</v>
      </c>
      <c r="M2358" t="s">
        <v>75</v>
      </c>
      <c r="N2358" s="1">
        <v>42872.839583333334</v>
      </c>
      <c r="O2358" t="s">
        <v>19</v>
      </c>
    </row>
    <row r="2359" spans="1:15" x14ac:dyDescent="0.25">
      <c r="A2359" t="s">
        <v>2159</v>
      </c>
      <c r="B2359" t="s">
        <v>15</v>
      </c>
      <c r="C2359" t="s">
        <v>2135</v>
      </c>
      <c r="D2359" t="s">
        <v>17</v>
      </c>
      <c r="E2359" t="s">
        <v>18</v>
      </c>
      <c r="F2359" t="s">
        <v>19</v>
      </c>
      <c r="G2359" t="s">
        <v>20</v>
      </c>
      <c r="J2359" t="s">
        <v>17</v>
      </c>
      <c r="K2359" t="str">
        <f>"762301237"</f>
        <v>762301237</v>
      </c>
      <c r="L2359" t="str">
        <f>"762301237"</f>
        <v>762301237</v>
      </c>
      <c r="M2359" t="s">
        <v>75</v>
      </c>
      <c r="N2359" s="1">
        <v>42872.849305555559</v>
      </c>
      <c r="O2359" t="s">
        <v>19</v>
      </c>
    </row>
    <row r="2360" spans="1:15" x14ac:dyDescent="0.25">
      <c r="A2360" t="s">
        <v>2160</v>
      </c>
      <c r="B2360" t="s">
        <v>15</v>
      </c>
      <c r="C2360" t="s">
        <v>2135</v>
      </c>
      <c r="D2360" t="s">
        <v>17</v>
      </c>
      <c r="E2360" t="s">
        <v>18</v>
      </c>
      <c r="F2360" t="s">
        <v>19</v>
      </c>
      <c r="G2360" t="s">
        <v>20</v>
      </c>
      <c r="J2360" t="s">
        <v>17</v>
      </c>
      <c r="K2360" t="str">
        <f>"766023116"</f>
        <v>766023116</v>
      </c>
      <c r="L2360" t="str">
        <f>"766023116"</f>
        <v>766023116</v>
      </c>
      <c r="M2360" t="s">
        <v>75</v>
      </c>
      <c r="N2360" s="1">
        <v>42872.849305555559</v>
      </c>
      <c r="O2360" t="s">
        <v>19</v>
      </c>
    </row>
    <row r="2361" spans="1:15" x14ac:dyDescent="0.25">
      <c r="A2361" t="s">
        <v>2161</v>
      </c>
      <c r="B2361" t="s">
        <v>15</v>
      </c>
      <c r="C2361" t="s">
        <v>2135</v>
      </c>
      <c r="D2361" t="s">
        <v>17</v>
      </c>
      <c r="E2361" t="s">
        <v>18</v>
      </c>
      <c r="F2361" t="s">
        <v>19</v>
      </c>
      <c r="G2361" t="s">
        <v>20</v>
      </c>
      <c r="J2361" t="s">
        <v>17</v>
      </c>
      <c r="K2361" t="str">
        <f>"766023140"</f>
        <v>766023140</v>
      </c>
      <c r="L2361" t="str">
        <f>"766023140"</f>
        <v>766023140</v>
      </c>
      <c r="M2361" t="s">
        <v>75</v>
      </c>
      <c r="N2361" s="1">
        <v>42872.849305555559</v>
      </c>
      <c r="O2361" t="s">
        <v>19</v>
      </c>
    </row>
    <row r="2362" spans="1:15" x14ac:dyDescent="0.25">
      <c r="A2362" t="s">
        <v>2162</v>
      </c>
      <c r="B2362" t="s">
        <v>15</v>
      </c>
      <c r="C2362" t="s">
        <v>2135</v>
      </c>
      <c r="D2362" t="s">
        <v>17</v>
      </c>
      <c r="E2362" t="s">
        <v>18</v>
      </c>
      <c r="F2362" t="s">
        <v>19</v>
      </c>
      <c r="G2362" t="s">
        <v>20</v>
      </c>
      <c r="J2362" t="s">
        <v>17</v>
      </c>
      <c r="K2362" t="str">
        <f>"766319132"</f>
        <v>766319132</v>
      </c>
      <c r="L2362" t="str">
        <f>"766319132"</f>
        <v>766319132</v>
      </c>
      <c r="M2362" t="s">
        <v>75</v>
      </c>
      <c r="N2362" s="1">
        <v>42872.849305555559</v>
      </c>
      <c r="O2362" t="s">
        <v>19</v>
      </c>
    </row>
    <row r="2363" spans="1:15" x14ac:dyDescent="0.25">
      <c r="A2363" t="s">
        <v>2163</v>
      </c>
      <c r="B2363" t="s">
        <v>15</v>
      </c>
      <c r="C2363" t="s">
        <v>2135</v>
      </c>
      <c r="D2363" t="s">
        <v>17</v>
      </c>
      <c r="E2363" t="s">
        <v>18</v>
      </c>
      <c r="F2363" t="s">
        <v>19</v>
      </c>
      <c r="G2363" t="s">
        <v>20</v>
      </c>
      <c r="J2363" t="s">
        <v>17</v>
      </c>
      <c r="K2363" t="str">
        <f>"762323132"</f>
        <v>762323132</v>
      </c>
      <c r="L2363" t="str">
        <f>"762323132"</f>
        <v>762323132</v>
      </c>
      <c r="M2363" t="s">
        <v>75</v>
      </c>
      <c r="N2363" s="1">
        <v>42872.849305555559</v>
      </c>
      <c r="O2363" t="s">
        <v>19</v>
      </c>
    </row>
    <row r="2364" spans="1:15" x14ac:dyDescent="0.25">
      <c r="A2364" t="s">
        <v>2164</v>
      </c>
      <c r="B2364" t="s">
        <v>15</v>
      </c>
      <c r="C2364" t="s">
        <v>2135</v>
      </c>
      <c r="D2364" t="s">
        <v>17</v>
      </c>
      <c r="E2364" t="s">
        <v>18</v>
      </c>
      <c r="F2364" t="s">
        <v>19</v>
      </c>
      <c r="G2364" t="s">
        <v>20</v>
      </c>
      <c r="J2364" t="s">
        <v>17</v>
      </c>
      <c r="K2364" t="str">
        <f>"766023188"</f>
        <v>766023188</v>
      </c>
      <c r="L2364" t="str">
        <f>"766023188"</f>
        <v>766023188</v>
      </c>
      <c r="M2364" t="s">
        <v>75</v>
      </c>
      <c r="N2364" s="1">
        <v>42872.849305555559</v>
      </c>
      <c r="O2364" t="s">
        <v>19</v>
      </c>
    </row>
    <row r="2365" spans="1:15" x14ac:dyDescent="0.25">
      <c r="A2365" t="s">
        <v>2165</v>
      </c>
      <c r="B2365" t="s">
        <v>15</v>
      </c>
      <c r="C2365" t="s">
        <v>2135</v>
      </c>
      <c r="D2365" t="s">
        <v>17</v>
      </c>
      <c r="E2365" t="s">
        <v>18</v>
      </c>
      <c r="F2365" t="s">
        <v>19</v>
      </c>
      <c r="G2365" t="s">
        <v>20</v>
      </c>
      <c r="J2365" t="s">
        <v>17</v>
      </c>
      <c r="K2365" t="str">
        <f>"766023232"</f>
        <v>766023232</v>
      </c>
      <c r="L2365" t="str">
        <f>"766023232"</f>
        <v>766023232</v>
      </c>
      <c r="M2365" t="s">
        <v>75</v>
      </c>
      <c r="N2365" s="1">
        <v>42872.849305555559</v>
      </c>
      <c r="O2365" t="s">
        <v>19</v>
      </c>
    </row>
    <row r="2366" spans="1:15" x14ac:dyDescent="0.25">
      <c r="A2366" t="s">
        <v>2166</v>
      </c>
      <c r="B2366" t="s">
        <v>15</v>
      </c>
      <c r="C2366" t="s">
        <v>2135</v>
      </c>
      <c r="D2366" t="s">
        <v>17</v>
      </c>
      <c r="E2366" t="s">
        <v>18</v>
      </c>
      <c r="F2366" t="s">
        <v>19</v>
      </c>
      <c r="G2366" t="s">
        <v>20</v>
      </c>
      <c r="J2366" t="s">
        <v>17</v>
      </c>
      <c r="K2366" t="str">
        <f>"762321160"</f>
        <v>762321160</v>
      </c>
      <c r="L2366" t="str">
        <f>"762321160"</f>
        <v>762321160</v>
      </c>
      <c r="M2366" t="s">
        <v>75</v>
      </c>
      <c r="N2366" s="1">
        <v>42872.849305555559</v>
      </c>
      <c r="O2366" t="s">
        <v>19</v>
      </c>
    </row>
    <row r="2367" spans="1:15" x14ac:dyDescent="0.25">
      <c r="A2367" t="s">
        <v>2166</v>
      </c>
      <c r="B2367" t="s">
        <v>15</v>
      </c>
      <c r="C2367" t="s">
        <v>2135</v>
      </c>
      <c r="D2367" t="s">
        <v>17</v>
      </c>
      <c r="E2367" t="s">
        <v>18</v>
      </c>
      <c r="F2367" t="s">
        <v>19</v>
      </c>
      <c r="G2367" t="s">
        <v>20</v>
      </c>
      <c r="J2367" t="s">
        <v>17</v>
      </c>
      <c r="K2367" t="str">
        <f>"766021160"</f>
        <v>766021160</v>
      </c>
      <c r="L2367" t="str">
        <f>"766021160"</f>
        <v>766021160</v>
      </c>
      <c r="M2367" t="s">
        <v>75</v>
      </c>
      <c r="N2367" s="1">
        <v>42872.849305555559</v>
      </c>
      <c r="O2367" t="s">
        <v>19</v>
      </c>
    </row>
    <row r="2368" spans="1:15" x14ac:dyDescent="0.25">
      <c r="A2368" t="s">
        <v>2167</v>
      </c>
      <c r="B2368" t="s">
        <v>15</v>
      </c>
      <c r="C2368" t="s">
        <v>2135</v>
      </c>
      <c r="D2368" t="s">
        <v>17</v>
      </c>
      <c r="E2368" t="s">
        <v>18</v>
      </c>
      <c r="F2368" t="s">
        <v>19</v>
      </c>
      <c r="G2368" t="s">
        <v>20</v>
      </c>
      <c r="J2368" t="s">
        <v>17</v>
      </c>
      <c r="K2368" t="str">
        <f>"762305196"</f>
        <v>762305196</v>
      </c>
      <c r="L2368" t="str">
        <f>"762305196"</f>
        <v>762305196</v>
      </c>
      <c r="M2368" t="s">
        <v>75</v>
      </c>
      <c r="N2368" s="1">
        <v>42872.849305555559</v>
      </c>
      <c r="O2368" t="s">
        <v>19</v>
      </c>
    </row>
    <row r="2369" spans="1:15" x14ac:dyDescent="0.25">
      <c r="A2369" t="s">
        <v>2168</v>
      </c>
      <c r="B2369" t="s">
        <v>15</v>
      </c>
      <c r="C2369" t="s">
        <v>2135</v>
      </c>
      <c r="D2369" t="s">
        <v>17</v>
      </c>
      <c r="E2369" t="s">
        <v>18</v>
      </c>
      <c r="F2369" t="s">
        <v>19</v>
      </c>
      <c r="G2369" t="s">
        <v>20</v>
      </c>
      <c r="J2369" t="s">
        <v>17</v>
      </c>
      <c r="K2369" t="str">
        <f>"17230568"</f>
        <v>17230568</v>
      </c>
      <c r="L2369" t="str">
        <f>"17230568"</f>
        <v>17230568</v>
      </c>
      <c r="M2369" t="s">
        <v>75</v>
      </c>
      <c r="N2369" s="1">
        <v>42872.839583333334</v>
      </c>
      <c r="O2369" t="s">
        <v>19</v>
      </c>
    </row>
    <row r="2370" spans="1:15" x14ac:dyDescent="0.25">
      <c r="A2370" t="s">
        <v>2168</v>
      </c>
      <c r="B2370" t="s">
        <v>15</v>
      </c>
      <c r="C2370" t="s">
        <v>2135</v>
      </c>
      <c r="D2370" t="s">
        <v>17</v>
      </c>
      <c r="E2370" t="s">
        <v>18</v>
      </c>
      <c r="F2370" t="s">
        <v>19</v>
      </c>
      <c r="G2370" t="s">
        <v>20</v>
      </c>
      <c r="J2370" t="s">
        <v>17</v>
      </c>
      <c r="K2370" t="str">
        <f>"76230568"</f>
        <v>76230568</v>
      </c>
      <c r="L2370" t="str">
        <f>"76230568"</f>
        <v>76230568</v>
      </c>
      <c r="M2370" t="s">
        <v>75</v>
      </c>
      <c r="N2370" s="1">
        <v>42872.847222222219</v>
      </c>
      <c r="O2370" t="s">
        <v>19</v>
      </c>
    </row>
    <row r="2371" spans="1:15" x14ac:dyDescent="0.25">
      <c r="A2371" t="s">
        <v>2168</v>
      </c>
      <c r="B2371" t="s">
        <v>15</v>
      </c>
      <c r="C2371" t="s">
        <v>2135</v>
      </c>
      <c r="D2371" t="s">
        <v>17</v>
      </c>
      <c r="E2371" t="s">
        <v>18</v>
      </c>
      <c r="F2371" t="s">
        <v>19</v>
      </c>
      <c r="G2371" t="s">
        <v>20</v>
      </c>
      <c r="J2371" t="s">
        <v>17</v>
      </c>
      <c r="K2371" t="str">
        <f>"76630568"</f>
        <v>76630568</v>
      </c>
      <c r="L2371" t="str">
        <f>"76630568"</f>
        <v>76630568</v>
      </c>
      <c r="M2371" t="s">
        <v>75</v>
      </c>
      <c r="N2371" s="1">
        <v>42872.847222222219</v>
      </c>
      <c r="O2371" t="s">
        <v>19</v>
      </c>
    </row>
    <row r="2372" spans="1:15" x14ac:dyDescent="0.25">
      <c r="A2372" t="s">
        <v>2169</v>
      </c>
      <c r="B2372" t="s">
        <v>15</v>
      </c>
      <c r="C2372" t="s">
        <v>2135</v>
      </c>
      <c r="D2372" t="s">
        <v>17</v>
      </c>
      <c r="E2372" t="s">
        <v>18</v>
      </c>
      <c r="F2372" t="s">
        <v>19</v>
      </c>
      <c r="G2372" t="s">
        <v>20</v>
      </c>
      <c r="J2372" t="s">
        <v>17</v>
      </c>
      <c r="K2372" t="str">
        <f>"34230969"</f>
        <v>34230969</v>
      </c>
      <c r="L2372" t="str">
        <f>"34230969"</f>
        <v>34230969</v>
      </c>
      <c r="M2372" t="s">
        <v>75</v>
      </c>
      <c r="N2372" s="1">
        <v>42872.839583333334</v>
      </c>
      <c r="O2372" t="s">
        <v>19</v>
      </c>
    </row>
    <row r="2373" spans="1:15" x14ac:dyDescent="0.25">
      <c r="A2373" t="s">
        <v>2169</v>
      </c>
      <c r="B2373" t="s">
        <v>15</v>
      </c>
      <c r="C2373" t="s">
        <v>2135</v>
      </c>
      <c r="D2373" t="s">
        <v>17</v>
      </c>
      <c r="E2373" t="s">
        <v>18</v>
      </c>
      <c r="F2373" t="s">
        <v>19</v>
      </c>
      <c r="G2373" t="s">
        <v>20</v>
      </c>
      <c r="J2373" t="s">
        <v>17</v>
      </c>
      <c r="K2373" t="str">
        <f>"76230569"</f>
        <v>76230569</v>
      </c>
      <c r="L2373" t="str">
        <f>"76230569"</f>
        <v>76230569</v>
      </c>
      <c r="M2373" t="s">
        <v>75</v>
      </c>
      <c r="N2373" s="1">
        <v>42872.847222222219</v>
      </c>
      <c r="O2373" t="s">
        <v>19</v>
      </c>
    </row>
    <row r="2374" spans="1:15" x14ac:dyDescent="0.25">
      <c r="A2374" t="s">
        <v>2169</v>
      </c>
      <c r="B2374" t="s">
        <v>15</v>
      </c>
      <c r="C2374" t="s">
        <v>2135</v>
      </c>
      <c r="D2374" t="s">
        <v>17</v>
      </c>
      <c r="E2374" t="s">
        <v>18</v>
      </c>
      <c r="F2374" t="s">
        <v>19</v>
      </c>
      <c r="G2374" t="s">
        <v>20</v>
      </c>
      <c r="J2374" t="s">
        <v>17</v>
      </c>
      <c r="K2374" t="str">
        <f>"76600569"</f>
        <v>76600569</v>
      </c>
      <c r="L2374" t="str">
        <f>"76600569"</f>
        <v>76600569</v>
      </c>
      <c r="M2374" t="s">
        <v>75</v>
      </c>
      <c r="N2374" s="1">
        <v>42872.847222222219</v>
      </c>
      <c r="O2374" t="s">
        <v>19</v>
      </c>
    </row>
    <row r="2375" spans="1:15" x14ac:dyDescent="0.25">
      <c r="A2375" t="s">
        <v>2169</v>
      </c>
      <c r="B2375" t="s">
        <v>15</v>
      </c>
      <c r="C2375" t="s">
        <v>2135</v>
      </c>
      <c r="D2375" t="s">
        <v>17</v>
      </c>
      <c r="E2375" t="s">
        <v>18</v>
      </c>
      <c r="F2375" t="s">
        <v>19</v>
      </c>
      <c r="G2375" t="s">
        <v>20</v>
      </c>
      <c r="J2375" t="s">
        <v>17</v>
      </c>
      <c r="K2375" t="str">
        <f>"76630569"</f>
        <v>76630569</v>
      </c>
      <c r="L2375" t="str">
        <f>"76630569"</f>
        <v>76630569</v>
      </c>
      <c r="M2375" t="s">
        <v>75</v>
      </c>
      <c r="N2375" s="1">
        <v>42872.847222222219</v>
      </c>
      <c r="O2375" t="s">
        <v>19</v>
      </c>
    </row>
    <row r="2376" spans="1:15" x14ac:dyDescent="0.25">
      <c r="A2376" t="s">
        <v>2169</v>
      </c>
      <c r="B2376" t="s">
        <v>15</v>
      </c>
      <c r="C2376" t="s">
        <v>2135</v>
      </c>
      <c r="D2376" t="s">
        <v>17</v>
      </c>
      <c r="E2376" t="s">
        <v>18</v>
      </c>
      <c r="F2376" t="s">
        <v>19</v>
      </c>
      <c r="G2376" t="s">
        <v>20</v>
      </c>
      <c r="J2376" t="s">
        <v>17</v>
      </c>
      <c r="K2376" t="str">
        <f>"76720569"</f>
        <v>76720569</v>
      </c>
      <c r="L2376" t="str">
        <f>"76720569"</f>
        <v>76720569</v>
      </c>
      <c r="M2376" t="s">
        <v>75</v>
      </c>
      <c r="N2376" s="1">
        <v>42872.847222222219</v>
      </c>
      <c r="O2376" t="s">
        <v>19</v>
      </c>
    </row>
    <row r="2377" spans="1:15" x14ac:dyDescent="0.25">
      <c r="A2377" t="s">
        <v>2170</v>
      </c>
      <c r="B2377" t="s">
        <v>15</v>
      </c>
      <c r="C2377" t="s">
        <v>2135</v>
      </c>
      <c r="D2377" t="s">
        <v>17</v>
      </c>
      <c r="E2377" t="s">
        <v>18</v>
      </c>
      <c r="F2377" t="s">
        <v>19</v>
      </c>
      <c r="G2377" t="s">
        <v>20</v>
      </c>
      <c r="J2377" t="s">
        <v>17</v>
      </c>
      <c r="K2377" t="str">
        <f>"76230570"</f>
        <v>76230570</v>
      </c>
      <c r="L2377" t="str">
        <f>"76230570"</f>
        <v>76230570</v>
      </c>
      <c r="M2377" t="s">
        <v>75</v>
      </c>
      <c r="N2377" s="1">
        <v>42872.847222222219</v>
      </c>
      <c r="O2377" t="s">
        <v>19</v>
      </c>
    </row>
    <row r="2378" spans="1:15" x14ac:dyDescent="0.25">
      <c r="A2378" t="s">
        <v>2170</v>
      </c>
      <c r="B2378" t="s">
        <v>15</v>
      </c>
      <c r="C2378" t="s">
        <v>2135</v>
      </c>
      <c r="D2378" t="s">
        <v>17</v>
      </c>
      <c r="E2378" t="s">
        <v>18</v>
      </c>
      <c r="F2378" t="s">
        <v>19</v>
      </c>
      <c r="G2378" t="s">
        <v>20</v>
      </c>
      <c r="J2378" t="s">
        <v>17</v>
      </c>
      <c r="K2378" t="str">
        <f>"76550570"</f>
        <v>76550570</v>
      </c>
      <c r="L2378" t="str">
        <f>"76550570"</f>
        <v>76550570</v>
      </c>
      <c r="M2378" t="s">
        <v>75</v>
      </c>
      <c r="N2378" s="1">
        <v>42872.847222222219</v>
      </c>
      <c r="O2378" t="s">
        <v>19</v>
      </c>
    </row>
    <row r="2379" spans="1:15" x14ac:dyDescent="0.25">
      <c r="A2379" t="s">
        <v>2170</v>
      </c>
      <c r="B2379" t="s">
        <v>15</v>
      </c>
      <c r="C2379" t="s">
        <v>2135</v>
      </c>
      <c r="D2379" t="s">
        <v>17</v>
      </c>
      <c r="E2379" t="s">
        <v>18</v>
      </c>
      <c r="F2379" t="s">
        <v>19</v>
      </c>
      <c r="G2379" t="s">
        <v>20</v>
      </c>
      <c r="J2379" t="s">
        <v>17</v>
      </c>
      <c r="K2379" t="str">
        <f>"76600568"</f>
        <v>76600568</v>
      </c>
      <c r="L2379" t="str">
        <f>"76600568"</f>
        <v>76600568</v>
      </c>
      <c r="M2379" t="s">
        <v>75</v>
      </c>
      <c r="N2379" s="1">
        <v>42872.847222222219</v>
      </c>
      <c r="O2379" t="s">
        <v>19</v>
      </c>
    </row>
    <row r="2380" spans="1:15" x14ac:dyDescent="0.25">
      <c r="A2380" t="s">
        <v>2170</v>
      </c>
      <c r="B2380" t="s">
        <v>15</v>
      </c>
      <c r="C2380" t="s">
        <v>2135</v>
      </c>
      <c r="D2380" t="s">
        <v>17</v>
      </c>
      <c r="E2380" t="s">
        <v>18</v>
      </c>
      <c r="F2380" t="s">
        <v>19</v>
      </c>
      <c r="G2380" t="s">
        <v>20</v>
      </c>
      <c r="J2380" t="s">
        <v>17</v>
      </c>
      <c r="K2380" t="str">
        <f>"76720570"</f>
        <v>76720570</v>
      </c>
      <c r="L2380" t="str">
        <f>"76720570"</f>
        <v>76720570</v>
      </c>
      <c r="M2380" t="s">
        <v>75</v>
      </c>
      <c r="N2380" s="1">
        <v>42872.847222222219</v>
      </c>
      <c r="O2380" t="s">
        <v>19</v>
      </c>
    </row>
    <row r="2381" spans="1:15" x14ac:dyDescent="0.25">
      <c r="A2381" t="s">
        <v>2170</v>
      </c>
      <c r="B2381" t="s">
        <v>15</v>
      </c>
      <c r="C2381" t="s">
        <v>2135</v>
      </c>
      <c r="D2381" t="s">
        <v>17</v>
      </c>
      <c r="E2381" t="s">
        <v>18</v>
      </c>
      <c r="F2381" t="s">
        <v>19</v>
      </c>
      <c r="G2381" t="s">
        <v>20</v>
      </c>
      <c r="J2381" t="s">
        <v>17</v>
      </c>
      <c r="K2381" t="str">
        <f>"76600570"</f>
        <v>76600570</v>
      </c>
      <c r="L2381" t="str">
        <f>"76600570"</f>
        <v>76600570</v>
      </c>
      <c r="M2381" t="s">
        <v>75</v>
      </c>
      <c r="N2381" s="1">
        <v>42872.847222222219</v>
      </c>
      <c r="O2381" t="s">
        <v>19</v>
      </c>
    </row>
    <row r="2382" spans="1:15" x14ac:dyDescent="0.25">
      <c r="A2382" t="s">
        <v>2170</v>
      </c>
      <c r="B2382" t="s">
        <v>15</v>
      </c>
      <c r="C2382" t="s">
        <v>2135</v>
      </c>
      <c r="D2382" t="s">
        <v>17</v>
      </c>
      <c r="E2382" t="s">
        <v>18</v>
      </c>
      <c r="F2382" t="s">
        <v>19</v>
      </c>
      <c r="G2382" t="s">
        <v>20</v>
      </c>
      <c r="J2382" t="s">
        <v>17</v>
      </c>
      <c r="K2382" t="str">
        <f>"76630570"</f>
        <v>76630570</v>
      </c>
      <c r="L2382" t="str">
        <f>"76630570"</f>
        <v>76630570</v>
      </c>
      <c r="M2382" t="s">
        <v>75</v>
      </c>
      <c r="N2382" s="1">
        <v>42872.847222222219</v>
      </c>
      <c r="O2382" t="s">
        <v>19</v>
      </c>
    </row>
    <row r="2383" spans="1:15" x14ac:dyDescent="0.25">
      <c r="A2383" t="s">
        <v>2171</v>
      </c>
      <c r="B2383" t="s">
        <v>15</v>
      </c>
      <c r="C2383" t="s">
        <v>2135</v>
      </c>
      <c r="D2383" t="s">
        <v>17</v>
      </c>
      <c r="E2383" t="s">
        <v>18</v>
      </c>
      <c r="F2383" t="s">
        <v>19</v>
      </c>
      <c r="G2383" t="s">
        <v>20</v>
      </c>
      <c r="J2383" t="s">
        <v>17</v>
      </c>
      <c r="K2383" t="str">
        <f>"76631450"</f>
        <v>76631450</v>
      </c>
      <c r="L2383" t="str">
        <f>"76631450"</f>
        <v>76631450</v>
      </c>
      <c r="M2383" t="s">
        <v>75</v>
      </c>
      <c r="N2383" s="1">
        <v>42872.847222222219</v>
      </c>
      <c r="O2383" t="s">
        <v>19</v>
      </c>
    </row>
    <row r="2384" spans="1:15" x14ac:dyDescent="0.25">
      <c r="A2384" t="s">
        <v>2172</v>
      </c>
      <c r="B2384" t="s">
        <v>15</v>
      </c>
      <c r="C2384" t="s">
        <v>2135</v>
      </c>
      <c r="D2384" t="s">
        <v>17</v>
      </c>
      <c r="E2384" t="s">
        <v>18</v>
      </c>
      <c r="F2384" t="s">
        <v>19</v>
      </c>
      <c r="G2384" t="s">
        <v>20</v>
      </c>
      <c r="J2384" t="s">
        <v>17</v>
      </c>
      <c r="K2384" t="str">
        <f>"172305216"</f>
        <v>172305216</v>
      </c>
      <c r="L2384" t="str">
        <f>"172305216"</f>
        <v>172305216</v>
      </c>
      <c r="M2384" t="s">
        <v>75</v>
      </c>
      <c r="N2384" s="1">
        <v>42872.847222222219</v>
      </c>
      <c r="O2384" t="s">
        <v>19</v>
      </c>
    </row>
    <row r="2385" spans="1:15" x14ac:dyDescent="0.25">
      <c r="A2385" t="s">
        <v>2172</v>
      </c>
      <c r="B2385" t="s">
        <v>15</v>
      </c>
      <c r="C2385" t="s">
        <v>2135</v>
      </c>
      <c r="D2385" t="s">
        <v>17</v>
      </c>
      <c r="E2385" t="s">
        <v>18</v>
      </c>
      <c r="F2385" t="s">
        <v>19</v>
      </c>
      <c r="G2385" t="s">
        <v>20</v>
      </c>
      <c r="J2385" t="s">
        <v>17</v>
      </c>
      <c r="K2385" t="str">
        <f>"346005216"</f>
        <v>346005216</v>
      </c>
      <c r="L2385" t="str">
        <f>"346005216"</f>
        <v>346005216</v>
      </c>
      <c r="M2385" t="s">
        <v>75</v>
      </c>
      <c r="N2385" s="1">
        <v>42872.849305555559</v>
      </c>
      <c r="O2385" t="s">
        <v>19</v>
      </c>
    </row>
    <row r="2386" spans="1:15" x14ac:dyDescent="0.25">
      <c r="A2386" t="s">
        <v>2172</v>
      </c>
      <c r="B2386" t="s">
        <v>15</v>
      </c>
      <c r="C2386" t="s">
        <v>2135</v>
      </c>
      <c r="D2386" t="s">
        <v>17</v>
      </c>
      <c r="E2386" t="s">
        <v>18</v>
      </c>
      <c r="F2386" t="s">
        <v>19</v>
      </c>
      <c r="G2386" t="s">
        <v>20</v>
      </c>
      <c r="J2386" t="s">
        <v>17</v>
      </c>
      <c r="K2386" t="str">
        <f>"762305216"</f>
        <v>762305216</v>
      </c>
      <c r="L2386" t="str">
        <f>"762305216"</f>
        <v>762305216</v>
      </c>
      <c r="M2386" t="s">
        <v>75</v>
      </c>
      <c r="N2386" s="1">
        <v>42872.849305555559</v>
      </c>
      <c r="O2386" t="s">
        <v>19</v>
      </c>
    </row>
    <row r="2387" spans="1:15" x14ac:dyDescent="0.25">
      <c r="A2387" t="s">
        <v>2172</v>
      </c>
      <c r="B2387" t="s">
        <v>15</v>
      </c>
      <c r="C2387" t="s">
        <v>2135</v>
      </c>
      <c r="D2387" t="s">
        <v>17</v>
      </c>
      <c r="E2387" t="s">
        <v>18</v>
      </c>
      <c r="F2387" t="s">
        <v>19</v>
      </c>
      <c r="G2387" t="s">
        <v>20</v>
      </c>
      <c r="J2387" t="s">
        <v>17</v>
      </c>
      <c r="K2387" t="str">
        <f>"766005216"</f>
        <v>766005216</v>
      </c>
      <c r="L2387" t="str">
        <f>"766005216"</f>
        <v>766005216</v>
      </c>
      <c r="M2387" t="s">
        <v>75</v>
      </c>
      <c r="N2387" s="1">
        <v>42872.849305555559</v>
      </c>
      <c r="O2387" t="s">
        <v>19</v>
      </c>
    </row>
    <row r="2388" spans="1:15" x14ac:dyDescent="0.25">
      <c r="A2388" t="s">
        <v>2173</v>
      </c>
      <c r="B2388" t="s">
        <v>15</v>
      </c>
      <c r="C2388" t="s">
        <v>2135</v>
      </c>
      <c r="D2388" t="s">
        <v>17</v>
      </c>
      <c r="E2388" t="s">
        <v>18</v>
      </c>
      <c r="F2388" t="s">
        <v>19</v>
      </c>
      <c r="G2388" t="s">
        <v>20</v>
      </c>
      <c r="J2388" t="s">
        <v>17</v>
      </c>
      <c r="K2388" t="str">
        <f>"172305196"</f>
        <v>172305196</v>
      </c>
      <c r="L2388" t="str">
        <f>"172305196"</f>
        <v>172305196</v>
      </c>
      <c r="M2388" t="s">
        <v>75</v>
      </c>
      <c r="N2388" s="1">
        <v>42872.847222222219</v>
      </c>
      <c r="O2388" t="s">
        <v>19</v>
      </c>
    </row>
    <row r="2389" spans="1:15" x14ac:dyDescent="0.25">
      <c r="A2389" t="s">
        <v>2173</v>
      </c>
      <c r="B2389" t="s">
        <v>15</v>
      </c>
      <c r="C2389" t="s">
        <v>2135</v>
      </c>
      <c r="D2389" t="s">
        <v>17</v>
      </c>
      <c r="E2389" t="s">
        <v>18</v>
      </c>
      <c r="F2389" t="s">
        <v>19</v>
      </c>
      <c r="G2389" t="s">
        <v>20</v>
      </c>
      <c r="J2389" t="s">
        <v>17</v>
      </c>
      <c r="K2389" t="str">
        <f>"766005196"</f>
        <v>766005196</v>
      </c>
      <c r="L2389" t="str">
        <f>"766005196"</f>
        <v>766005196</v>
      </c>
      <c r="M2389" t="s">
        <v>75</v>
      </c>
      <c r="N2389" s="1">
        <v>42872.849305555559</v>
      </c>
      <c r="O2389" t="s">
        <v>19</v>
      </c>
    </row>
    <row r="2390" spans="1:15" x14ac:dyDescent="0.25">
      <c r="A2390" t="s">
        <v>2174</v>
      </c>
      <c r="B2390" t="s">
        <v>15</v>
      </c>
      <c r="C2390" t="s">
        <v>2135</v>
      </c>
      <c r="D2390" t="s">
        <v>17</v>
      </c>
      <c r="E2390" t="s">
        <v>18</v>
      </c>
      <c r="F2390" t="s">
        <v>19</v>
      </c>
      <c r="G2390" t="s">
        <v>20</v>
      </c>
      <c r="J2390" t="s">
        <v>17</v>
      </c>
      <c r="K2390" t="str">
        <f>"862305321"</f>
        <v>862305321</v>
      </c>
      <c r="L2390" t="str">
        <f>"862305321"</f>
        <v>862305321</v>
      </c>
      <c r="M2390" t="s">
        <v>84</v>
      </c>
      <c r="N2390" s="1">
        <v>43280.708333333336</v>
      </c>
      <c r="O2390" t="s">
        <v>19</v>
      </c>
    </row>
    <row r="2391" spans="1:15" x14ac:dyDescent="0.25">
      <c r="A2391" t="s">
        <v>2174</v>
      </c>
      <c r="B2391" t="s">
        <v>15</v>
      </c>
      <c r="C2391" t="s">
        <v>2135</v>
      </c>
      <c r="D2391" t="s">
        <v>17</v>
      </c>
      <c r="E2391" t="s">
        <v>18</v>
      </c>
      <c r="F2391" t="s">
        <v>19</v>
      </c>
      <c r="G2391" t="s">
        <v>20</v>
      </c>
      <c r="J2391" t="s">
        <v>17</v>
      </c>
      <c r="K2391" t="str">
        <f>"616005321"</f>
        <v>616005321</v>
      </c>
      <c r="L2391" t="str">
        <f>"616005321"</f>
        <v>616005321</v>
      </c>
      <c r="M2391" t="s">
        <v>84</v>
      </c>
      <c r="N2391" s="1">
        <v>43420.703472222223</v>
      </c>
      <c r="O2391" t="s">
        <v>19</v>
      </c>
    </row>
    <row r="2392" spans="1:15" x14ac:dyDescent="0.25">
      <c r="A2392" t="s">
        <v>2174</v>
      </c>
      <c r="B2392" t="s">
        <v>15</v>
      </c>
      <c r="C2392" t="s">
        <v>2135</v>
      </c>
      <c r="D2392" t="s">
        <v>17</v>
      </c>
      <c r="E2392" t="s">
        <v>18</v>
      </c>
      <c r="F2392" t="s">
        <v>19</v>
      </c>
      <c r="G2392" t="s">
        <v>20</v>
      </c>
      <c r="J2392" t="s">
        <v>17</v>
      </c>
      <c r="K2392" t="str">
        <f>"672305321"</f>
        <v>672305321</v>
      </c>
      <c r="L2392" t="str">
        <f>"672305321"</f>
        <v>672305321</v>
      </c>
      <c r="M2392" t="s">
        <v>84</v>
      </c>
      <c r="N2392" s="1">
        <v>43546.948611111111</v>
      </c>
      <c r="O2392" t="s">
        <v>19</v>
      </c>
    </row>
    <row r="2393" spans="1:15" x14ac:dyDescent="0.25">
      <c r="A2393" t="s">
        <v>2175</v>
      </c>
      <c r="B2393" t="s">
        <v>15</v>
      </c>
      <c r="C2393" t="s">
        <v>2135</v>
      </c>
      <c r="D2393" t="s">
        <v>17</v>
      </c>
      <c r="E2393" t="s">
        <v>18</v>
      </c>
      <c r="F2393" t="s">
        <v>19</v>
      </c>
      <c r="G2393" t="s">
        <v>20</v>
      </c>
      <c r="J2393" t="s">
        <v>17</v>
      </c>
      <c r="K2393" t="str">
        <f>"672305307"</f>
        <v>672305307</v>
      </c>
      <c r="L2393" t="str">
        <f>"672305307"</f>
        <v>672305307</v>
      </c>
      <c r="M2393" t="s">
        <v>84</v>
      </c>
      <c r="N2393" s="1">
        <v>43546.949305555558</v>
      </c>
      <c r="O2393" t="s">
        <v>19</v>
      </c>
    </row>
    <row r="2394" spans="1:15" x14ac:dyDescent="0.25">
      <c r="A2394" t="s">
        <v>2175</v>
      </c>
      <c r="B2394" t="s">
        <v>15</v>
      </c>
      <c r="C2394" t="s">
        <v>2135</v>
      </c>
      <c r="D2394" t="s">
        <v>17</v>
      </c>
      <c r="E2394" t="s">
        <v>18</v>
      </c>
      <c r="F2394" t="s">
        <v>19</v>
      </c>
      <c r="G2394" t="s">
        <v>20</v>
      </c>
      <c r="J2394" t="s">
        <v>17</v>
      </c>
      <c r="K2394" t="str">
        <f>"762305307"</f>
        <v>762305307</v>
      </c>
      <c r="L2394" t="str">
        <f>"762305307"</f>
        <v>762305307</v>
      </c>
      <c r="M2394" t="s">
        <v>21</v>
      </c>
      <c r="N2394" s="1">
        <v>43719.815972222219</v>
      </c>
      <c r="O2394" t="s">
        <v>19</v>
      </c>
    </row>
    <row r="2395" spans="1:15" x14ac:dyDescent="0.25">
      <c r="A2395" t="s">
        <v>2176</v>
      </c>
      <c r="B2395" t="s">
        <v>15</v>
      </c>
      <c r="C2395" t="s">
        <v>2135</v>
      </c>
      <c r="D2395" t="s">
        <v>17</v>
      </c>
      <c r="E2395" t="s">
        <v>18</v>
      </c>
      <c r="F2395" t="s">
        <v>19</v>
      </c>
      <c r="G2395" t="s">
        <v>20</v>
      </c>
      <c r="J2395" t="s">
        <v>17</v>
      </c>
      <c r="K2395" t="str">
        <f>"76630529"</f>
        <v>76630529</v>
      </c>
      <c r="L2395" t="str">
        <f>"76630529"</f>
        <v>76630529</v>
      </c>
      <c r="M2395" t="s">
        <v>75</v>
      </c>
      <c r="N2395" s="1">
        <v>42872.847222222219</v>
      </c>
      <c r="O2395" t="s">
        <v>19</v>
      </c>
    </row>
    <row r="2396" spans="1:15" x14ac:dyDescent="0.25">
      <c r="A2396" t="s">
        <v>2176</v>
      </c>
      <c r="B2396" t="s">
        <v>15</v>
      </c>
      <c r="C2396" t="s">
        <v>2135</v>
      </c>
      <c r="D2396" t="s">
        <v>17</v>
      </c>
      <c r="E2396" t="s">
        <v>18</v>
      </c>
      <c r="F2396" t="s">
        <v>19</v>
      </c>
      <c r="G2396" t="s">
        <v>20</v>
      </c>
      <c r="J2396" t="s">
        <v>17</v>
      </c>
      <c r="K2396" t="str">
        <f>"110762163"</f>
        <v>110762163</v>
      </c>
      <c r="L2396" t="str">
        <f>"110762163"</f>
        <v>110762163</v>
      </c>
      <c r="M2396" t="s">
        <v>75</v>
      </c>
      <c r="N2396" s="1">
        <v>42872.847222222219</v>
      </c>
      <c r="O2396" t="s">
        <v>19</v>
      </c>
    </row>
    <row r="2397" spans="1:15" x14ac:dyDescent="0.25">
      <c r="A2397" t="s">
        <v>2177</v>
      </c>
      <c r="B2397" t="s">
        <v>15</v>
      </c>
      <c r="C2397" t="s">
        <v>2135</v>
      </c>
      <c r="D2397" t="s">
        <v>17</v>
      </c>
      <c r="E2397" t="s">
        <v>18</v>
      </c>
      <c r="F2397" t="s">
        <v>19</v>
      </c>
      <c r="G2397" t="s">
        <v>20</v>
      </c>
      <c r="J2397" t="s">
        <v>17</v>
      </c>
      <c r="K2397" t="str">
        <f>"172305210"</f>
        <v>172305210</v>
      </c>
      <c r="L2397" t="str">
        <f>"172305210"</f>
        <v>172305210</v>
      </c>
      <c r="M2397" t="s">
        <v>75</v>
      </c>
      <c r="N2397" s="1">
        <v>42872.847222222219</v>
      </c>
      <c r="O2397" t="s">
        <v>19</v>
      </c>
    </row>
    <row r="2398" spans="1:15" x14ac:dyDescent="0.25">
      <c r="A2398" t="s">
        <v>2177</v>
      </c>
      <c r="B2398" t="s">
        <v>15</v>
      </c>
      <c r="C2398" t="s">
        <v>2135</v>
      </c>
      <c r="D2398" t="s">
        <v>17</v>
      </c>
      <c r="E2398" t="s">
        <v>18</v>
      </c>
      <c r="F2398" t="s">
        <v>19</v>
      </c>
      <c r="G2398" t="s">
        <v>20</v>
      </c>
      <c r="J2398" t="s">
        <v>17</v>
      </c>
      <c r="K2398" t="str">
        <f>"346005210"</f>
        <v>346005210</v>
      </c>
      <c r="L2398" t="str">
        <f>"346005210"</f>
        <v>346005210</v>
      </c>
      <c r="M2398" t="s">
        <v>75</v>
      </c>
      <c r="N2398" s="1">
        <v>42872.849305555559</v>
      </c>
      <c r="O2398" t="s">
        <v>19</v>
      </c>
    </row>
    <row r="2399" spans="1:15" x14ac:dyDescent="0.25">
      <c r="A2399" t="s">
        <v>2178</v>
      </c>
      <c r="B2399" t="s">
        <v>15</v>
      </c>
      <c r="C2399" t="s">
        <v>2135</v>
      </c>
      <c r="D2399" t="s">
        <v>17</v>
      </c>
      <c r="E2399" t="s">
        <v>18</v>
      </c>
      <c r="F2399" t="s">
        <v>19</v>
      </c>
      <c r="G2399" t="s">
        <v>20</v>
      </c>
      <c r="J2399" t="s">
        <v>17</v>
      </c>
      <c r="K2399" t="str">
        <f>"766305294"</f>
        <v>766305294</v>
      </c>
      <c r="L2399" t="str">
        <f>"766305294"</f>
        <v>766305294</v>
      </c>
      <c r="M2399" t="s">
        <v>75</v>
      </c>
      <c r="N2399" s="1">
        <v>43148.645138888889</v>
      </c>
      <c r="O2399" t="s">
        <v>19</v>
      </c>
    </row>
    <row r="2400" spans="1:15" x14ac:dyDescent="0.25">
      <c r="A2400" t="s">
        <v>2178</v>
      </c>
      <c r="B2400" t="s">
        <v>15</v>
      </c>
      <c r="C2400" t="s">
        <v>2135</v>
      </c>
      <c r="D2400" t="s">
        <v>17</v>
      </c>
      <c r="E2400" t="s">
        <v>18</v>
      </c>
      <c r="F2400" t="s">
        <v>19</v>
      </c>
      <c r="G2400" t="s">
        <v>20</v>
      </c>
      <c r="J2400" t="s">
        <v>17</v>
      </c>
      <c r="K2400" t="str">
        <f>"762305294"</f>
        <v>762305294</v>
      </c>
      <c r="L2400" t="str">
        <f>"762305294"</f>
        <v>762305294</v>
      </c>
      <c r="M2400" t="s">
        <v>75</v>
      </c>
      <c r="N2400" s="1">
        <v>43176.695138888892</v>
      </c>
      <c r="O2400" t="s">
        <v>19</v>
      </c>
    </row>
    <row r="2401" spans="1:15" x14ac:dyDescent="0.25">
      <c r="A2401" t="s">
        <v>2179</v>
      </c>
      <c r="B2401" t="s">
        <v>15</v>
      </c>
      <c r="C2401" t="s">
        <v>2135</v>
      </c>
      <c r="D2401" t="s">
        <v>17</v>
      </c>
      <c r="E2401" t="s">
        <v>18</v>
      </c>
      <c r="F2401" t="s">
        <v>19</v>
      </c>
      <c r="G2401" t="s">
        <v>20</v>
      </c>
      <c r="J2401" t="s">
        <v>17</v>
      </c>
      <c r="K2401" t="str">
        <f>"762305295"</f>
        <v>762305295</v>
      </c>
      <c r="L2401" t="str">
        <f>"762305295"</f>
        <v>762305295</v>
      </c>
      <c r="M2401" t="s">
        <v>75</v>
      </c>
      <c r="N2401" s="1">
        <v>42872.849305555559</v>
      </c>
      <c r="O2401" t="s">
        <v>19</v>
      </c>
    </row>
    <row r="2402" spans="1:15" x14ac:dyDescent="0.25">
      <c r="A2402" t="s">
        <v>2179</v>
      </c>
      <c r="B2402" t="s">
        <v>15</v>
      </c>
      <c r="C2402" t="s">
        <v>2135</v>
      </c>
      <c r="D2402" t="s">
        <v>17</v>
      </c>
      <c r="E2402" t="s">
        <v>18</v>
      </c>
      <c r="F2402" t="s">
        <v>19</v>
      </c>
      <c r="G2402" t="s">
        <v>20</v>
      </c>
      <c r="J2402" t="s">
        <v>17</v>
      </c>
      <c r="K2402" t="str">
        <f>"766005295"</f>
        <v>766005295</v>
      </c>
      <c r="L2402" t="str">
        <f>"766005295"</f>
        <v>766005295</v>
      </c>
      <c r="M2402" t="s">
        <v>75</v>
      </c>
      <c r="N2402" s="1">
        <v>42872.849305555559</v>
      </c>
      <c r="O2402" t="s">
        <v>19</v>
      </c>
    </row>
    <row r="2403" spans="1:15" x14ac:dyDescent="0.25">
      <c r="A2403" t="s">
        <v>2179</v>
      </c>
      <c r="B2403" t="s">
        <v>15</v>
      </c>
      <c r="C2403" t="s">
        <v>2135</v>
      </c>
      <c r="D2403" t="s">
        <v>17</v>
      </c>
      <c r="E2403" t="s">
        <v>18</v>
      </c>
      <c r="F2403" t="s">
        <v>19</v>
      </c>
      <c r="G2403" t="s">
        <v>20</v>
      </c>
      <c r="J2403" t="s">
        <v>17</v>
      </c>
      <c r="K2403" t="str">
        <f>"176005295"</f>
        <v>176005295</v>
      </c>
      <c r="L2403" t="str">
        <f>"176005295"</f>
        <v>176005295</v>
      </c>
      <c r="M2403" t="s">
        <v>75</v>
      </c>
      <c r="N2403" s="1">
        <v>42895.956250000003</v>
      </c>
      <c r="O2403" t="s">
        <v>19</v>
      </c>
    </row>
    <row r="2404" spans="1:15" x14ac:dyDescent="0.25">
      <c r="A2404" t="s">
        <v>2179</v>
      </c>
      <c r="B2404" t="s">
        <v>15</v>
      </c>
      <c r="C2404" t="s">
        <v>2135</v>
      </c>
      <c r="D2404" t="s">
        <v>17</v>
      </c>
      <c r="E2404" t="s">
        <v>18</v>
      </c>
      <c r="F2404" t="s">
        <v>19</v>
      </c>
      <c r="G2404" t="s">
        <v>20</v>
      </c>
      <c r="J2404" t="s">
        <v>17</v>
      </c>
      <c r="K2404" t="str">
        <f>"766305295"</f>
        <v>766305295</v>
      </c>
      <c r="L2404" t="str">
        <f>"766305295"</f>
        <v>766305295</v>
      </c>
      <c r="M2404" t="s">
        <v>75</v>
      </c>
      <c r="N2404" s="1">
        <v>43005.763194444444</v>
      </c>
      <c r="O2404" t="s">
        <v>19</v>
      </c>
    </row>
    <row r="2405" spans="1:15" x14ac:dyDescent="0.25">
      <c r="A2405" t="s">
        <v>2180</v>
      </c>
      <c r="B2405" t="s">
        <v>15</v>
      </c>
      <c r="C2405" t="s">
        <v>2135</v>
      </c>
      <c r="D2405" t="s">
        <v>17</v>
      </c>
      <c r="E2405" t="s">
        <v>18</v>
      </c>
      <c r="F2405" t="s">
        <v>19</v>
      </c>
      <c r="G2405" t="s">
        <v>20</v>
      </c>
      <c r="J2405" t="s">
        <v>17</v>
      </c>
      <c r="K2405" t="str">
        <f>"172305297"</f>
        <v>172305297</v>
      </c>
      <c r="L2405" t="str">
        <f>"172305297"</f>
        <v>172305297</v>
      </c>
      <c r="M2405" t="s">
        <v>75</v>
      </c>
      <c r="N2405" s="1">
        <v>42930.957638888889</v>
      </c>
      <c r="O2405" t="s">
        <v>19</v>
      </c>
    </row>
    <row r="2406" spans="1:15" x14ac:dyDescent="0.25">
      <c r="A2406" t="s">
        <v>2181</v>
      </c>
      <c r="B2406" t="s">
        <v>15</v>
      </c>
      <c r="C2406" t="s">
        <v>2135</v>
      </c>
      <c r="D2406" t="s">
        <v>17</v>
      </c>
      <c r="E2406" t="s">
        <v>18</v>
      </c>
      <c r="F2406" t="s">
        <v>19</v>
      </c>
      <c r="G2406" t="s">
        <v>20</v>
      </c>
      <c r="J2406" t="s">
        <v>17</v>
      </c>
      <c r="K2406" t="str">
        <f>"172305298"</f>
        <v>172305298</v>
      </c>
      <c r="L2406" t="str">
        <f>"172305298"</f>
        <v>172305298</v>
      </c>
      <c r="M2406" t="s">
        <v>75</v>
      </c>
      <c r="N2406" s="1">
        <v>42930.959722222222</v>
      </c>
      <c r="O2406" t="s">
        <v>19</v>
      </c>
    </row>
    <row r="2407" spans="1:15" x14ac:dyDescent="0.25">
      <c r="A2407" t="s">
        <v>2182</v>
      </c>
      <c r="B2407" t="s">
        <v>15</v>
      </c>
      <c r="C2407" t="s">
        <v>2135</v>
      </c>
      <c r="D2407" t="s">
        <v>17</v>
      </c>
      <c r="E2407" t="s">
        <v>18</v>
      </c>
      <c r="F2407" t="s">
        <v>19</v>
      </c>
      <c r="G2407" t="s">
        <v>20</v>
      </c>
      <c r="J2407" t="s">
        <v>17</v>
      </c>
      <c r="K2407" t="str">
        <f>"866005300"</f>
        <v>866005300</v>
      </c>
      <c r="L2407" t="str">
        <f>"866005300"</f>
        <v>866005300</v>
      </c>
      <c r="M2407" t="s">
        <v>84</v>
      </c>
      <c r="N2407" s="1">
        <v>43367.581250000003</v>
      </c>
      <c r="O2407" t="s">
        <v>19</v>
      </c>
    </row>
    <row r="2408" spans="1:15" x14ac:dyDescent="0.25">
      <c r="A2408" t="s">
        <v>2183</v>
      </c>
      <c r="B2408" t="s">
        <v>15</v>
      </c>
      <c r="C2408" t="s">
        <v>2135</v>
      </c>
      <c r="D2408" t="s">
        <v>17</v>
      </c>
      <c r="E2408" t="s">
        <v>18</v>
      </c>
      <c r="F2408" t="s">
        <v>19</v>
      </c>
      <c r="G2408" t="s">
        <v>20</v>
      </c>
      <c r="J2408" t="s">
        <v>17</v>
      </c>
      <c r="K2408" t="str">
        <f>"762305303"</f>
        <v>762305303</v>
      </c>
      <c r="L2408" t="str">
        <f>"762305303"</f>
        <v>762305303</v>
      </c>
      <c r="M2408" t="s">
        <v>84</v>
      </c>
      <c r="N2408" s="1">
        <v>43258.725694444445</v>
      </c>
      <c r="O2408" t="s">
        <v>19</v>
      </c>
    </row>
    <row r="2409" spans="1:15" x14ac:dyDescent="0.25">
      <c r="A2409" t="s">
        <v>2183</v>
      </c>
      <c r="B2409" t="s">
        <v>15</v>
      </c>
      <c r="C2409" t="s">
        <v>2135</v>
      </c>
      <c r="D2409" t="s">
        <v>17</v>
      </c>
      <c r="E2409" t="s">
        <v>18</v>
      </c>
      <c r="F2409" t="s">
        <v>19</v>
      </c>
      <c r="G2409" t="s">
        <v>20</v>
      </c>
      <c r="J2409" t="s">
        <v>17</v>
      </c>
      <c r="K2409" t="str">
        <f>"612305303"</f>
        <v>612305303</v>
      </c>
      <c r="L2409" t="str">
        <f>"612305303"</f>
        <v>612305303</v>
      </c>
      <c r="M2409" t="s">
        <v>84</v>
      </c>
      <c r="N2409" s="1">
        <v>43320.713194444441</v>
      </c>
      <c r="O2409" t="s">
        <v>19</v>
      </c>
    </row>
    <row r="2410" spans="1:15" x14ac:dyDescent="0.25">
      <c r="A2410" t="s">
        <v>2183</v>
      </c>
      <c r="B2410" t="s">
        <v>15</v>
      </c>
      <c r="C2410" t="s">
        <v>2135</v>
      </c>
      <c r="D2410" t="s">
        <v>17</v>
      </c>
      <c r="E2410" t="s">
        <v>18</v>
      </c>
      <c r="F2410" t="s">
        <v>19</v>
      </c>
      <c r="G2410" t="s">
        <v>20</v>
      </c>
      <c r="J2410" t="s">
        <v>17</v>
      </c>
      <c r="K2410" t="str">
        <f>"766005303"</f>
        <v>766005303</v>
      </c>
      <c r="L2410" t="str">
        <f>"766005303"</f>
        <v>766005303</v>
      </c>
      <c r="M2410" t="s">
        <v>84</v>
      </c>
      <c r="N2410" s="1">
        <v>43335.65625</v>
      </c>
      <c r="O2410" t="s">
        <v>19</v>
      </c>
    </row>
    <row r="2411" spans="1:15" x14ac:dyDescent="0.25">
      <c r="A2411" t="s">
        <v>2183</v>
      </c>
      <c r="B2411" t="s">
        <v>15</v>
      </c>
      <c r="C2411" t="s">
        <v>2135</v>
      </c>
      <c r="D2411" t="s">
        <v>17</v>
      </c>
      <c r="E2411" t="s">
        <v>18</v>
      </c>
      <c r="F2411" t="s">
        <v>19</v>
      </c>
      <c r="G2411" t="s">
        <v>20</v>
      </c>
      <c r="J2411" t="s">
        <v>17</v>
      </c>
      <c r="K2411" t="str">
        <f>"672305303"</f>
        <v>672305303</v>
      </c>
      <c r="L2411" t="str">
        <f>"672305303"</f>
        <v>672305303</v>
      </c>
      <c r="M2411" t="s">
        <v>84</v>
      </c>
      <c r="N2411" s="1">
        <v>43546.948611111111</v>
      </c>
      <c r="O2411" t="s">
        <v>19</v>
      </c>
    </row>
    <row r="2412" spans="1:15" x14ac:dyDescent="0.25">
      <c r="A2412" t="s">
        <v>2184</v>
      </c>
      <c r="B2412" t="s">
        <v>15</v>
      </c>
      <c r="C2412" t="s">
        <v>2135</v>
      </c>
      <c r="D2412" t="s">
        <v>17</v>
      </c>
      <c r="E2412" t="s">
        <v>18</v>
      </c>
      <c r="F2412" t="s">
        <v>19</v>
      </c>
      <c r="G2412" t="s">
        <v>20</v>
      </c>
      <c r="J2412" t="s">
        <v>17</v>
      </c>
      <c r="K2412" t="str">
        <f>"992305305"</f>
        <v>992305305</v>
      </c>
      <c r="L2412" t="str">
        <f>"992305305"</f>
        <v>992305305</v>
      </c>
      <c r="M2412" t="s">
        <v>75</v>
      </c>
      <c r="N2412" s="1">
        <v>43244.881249999999</v>
      </c>
      <c r="O2412" t="s">
        <v>19</v>
      </c>
    </row>
    <row r="2413" spans="1:15" x14ac:dyDescent="0.25">
      <c r="A2413" t="s">
        <v>2184</v>
      </c>
      <c r="B2413" t="s">
        <v>15</v>
      </c>
      <c r="C2413" t="s">
        <v>2135</v>
      </c>
      <c r="D2413" t="s">
        <v>17</v>
      </c>
      <c r="E2413" t="s">
        <v>18</v>
      </c>
      <c r="F2413" t="s">
        <v>19</v>
      </c>
      <c r="G2413" t="s">
        <v>20</v>
      </c>
      <c r="J2413" t="s">
        <v>17</v>
      </c>
      <c r="K2413" t="str">
        <f>"866005305"</f>
        <v>866005305</v>
      </c>
      <c r="L2413" t="str">
        <f>"866005305"</f>
        <v>866005305</v>
      </c>
      <c r="M2413" t="s">
        <v>84</v>
      </c>
      <c r="N2413" s="1">
        <v>43367.581944444442</v>
      </c>
      <c r="O2413" t="s">
        <v>19</v>
      </c>
    </row>
    <row r="2414" spans="1:15" x14ac:dyDescent="0.25">
      <c r="A2414" t="s">
        <v>2184</v>
      </c>
      <c r="B2414" t="s">
        <v>15</v>
      </c>
      <c r="C2414" t="s">
        <v>2135</v>
      </c>
      <c r="D2414" t="s">
        <v>17</v>
      </c>
      <c r="E2414" t="s">
        <v>18</v>
      </c>
      <c r="F2414" t="s">
        <v>19</v>
      </c>
      <c r="G2414" t="s">
        <v>20</v>
      </c>
      <c r="J2414" t="s">
        <v>17</v>
      </c>
      <c r="K2414" t="str">
        <f>"7290112300171"</f>
        <v>7290112300171</v>
      </c>
      <c r="L2414" t="str">
        <f>"342305305"</f>
        <v>342305305</v>
      </c>
      <c r="M2414" t="s">
        <v>84</v>
      </c>
      <c r="N2414" s="1">
        <v>43370.879166666666</v>
      </c>
      <c r="O2414" t="s">
        <v>19</v>
      </c>
    </row>
    <row r="2415" spans="1:15" x14ac:dyDescent="0.25">
      <c r="A2415" t="s">
        <v>2185</v>
      </c>
      <c r="B2415" t="s">
        <v>15</v>
      </c>
      <c r="C2415" t="s">
        <v>2135</v>
      </c>
      <c r="D2415" t="s">
        <v>17</v>
      </c>
      <c r="E2415" t="s">
        <v>18</v>
      </c>
      <c r="F2415" t="s">
        <v>19</v>
      </c>
      <c r="G2415" t="s">
        <v>20</v>
      </c>
      <c r="J2415" t="s">
        <v>17</v>
      </c>
      <c r="K2415" t="str">
        <f>"612305316"</f>
        <v>612305316</v>
      </c>
      <c r="L2415" t="str">
        <f>"612305316"</f>
        <v>612305316</v>
      </c>
      <c r="M2415" t="s">
        <v>21</v>
      </c>
      <c r="N2415" s="1">
        <v>44252.862500000003</v>
      </c>
      <c r="O2415" t="s">
        <v>19</v>
      </c>
    </row>
    <row r="2416" spans="1:15" x14ac:dyDescent="0.25">
      <c r="A2416" t="s">
        <v>2186</v>
      </c>
      <c r="B2416" t="s">
        <v>15</v>
      </c>
      <c r="C2416" t="s">
        <v>2135</v>
      </c>
      <c r="D2416" t="s">
        <v>17</v>
      </c>
      <c r="E2416" t="s">
        <v>18</v>
      </c>
      <c r="F2416" t="s">
        <v>19</v>
      </c>
      <c r="G2416" t="s">
        <v>20</v>
      </c>
      <c r="J2416" t="s">
        <v>17</v>
      </c>
      <c r="K2416" t="str">
        <f>"612305328"</f>
        <v>612305328</v>
      </c>
      <c r="L2416" t="str">
        <f>"612305328"</f>
        <v>612305328</v>
      </c>
      <c r="M2416" t="s">
        <v>21</v>
      </c>
      <c r="N2416" s="1">
        <v>44252.865972222222</v>
      </c>
      <c r="O2416" t="s">
        <v>19</v>
      </c>
    </row>
    <row r="2417" spans="1:15" x14ac:dyDescent="0.25">
      <c r="A2417" t="s">
        <v>2187</v>
      </c>
      <c r="B2417" t="s">
        <v>15</v>
      </c>
      <c r="C2417" t="s">
        <v>2135</v>
      </c>
      <c r="D2417" t="s">
        <v>17</v>
      </c>
      <c r="E2417" t="s">
        <v>18</v>
      </c>
      <c r="F2417" t="s">
        <v>19</v>
      </c>
      <c r="G2417" t="s">
        <v>20</v>
      </c>
      <c r="J2417" t="s">
        <v>17</v>
      </c>
      <c r="K2417" t="str">
        <f>"17230598"</f>
        <v>17230598</v>
      </c>
      <c r="L2417" t="str">
        <f>"17230598"</f>
        <v>17230598</v>
      </c>
      <c r="M2417" t="s">
        <v>75</v>
      </c>
      <c r="N2417" s="1">
        <v>42872.839583333334</v>
      </c>
      <c r="O2417" t="s">
        <v>19</v>
      </c>
    </row>
    <row r="2418" spans="1:15" x14ac:dyDescent="0.25">
      <c r="A2418" t="s">
        <v>2187</v>
      </c>
      <c r="B2418" t="s">
        <v>15</v>
      </c>
      <c r="C2418" t="s">
        <v>2135</v>
      </c>
      <c r="D2418" t="s">
        <v>17</v>
      </c>
      <c r="E2418" t="s">
        <v>18</v>
      </c>
      <c r="F2418" t="s">
        <v>19</v>
      </c>
      <c r="G2418" t="s">
        <v>20</v>
      </c>
      <c r="J2418" t="s">
        <v>17</v>
      </c>
      <c r="K2418" t="str">
        <f>"76230598"</f>
        <v>76230598</v>
      </c>
      <c r="L2418" t="str">
        <f>"76230598"</f>
        <v>76230598</v>
      </c>
      <c r="M2418" t="s">
        <v>75</v>
      </c>
      <c r="N2418" s="1">
        <v>42872.847222222219</v>
      </c>
      <c r="O2418" t="s">
        <v>19</v>
      </c>
    </row>
    <row r="2419" spans="1:15" x14ac:dyDescent="0.25">
      <c r="A2419" t="s">
        <v>2187</v>
      </c>
      <c r="B2419" t="s">
        <v>15</v>
      </c>
      <c r="C2419" t="s">
        <v>2135</v>
      </c>
      <c r="D2419" t="s">
        <v>17</v>
      </c>
      <c r="E2419" t="s">
        <v>18</v>
      </c>
      <c r="F2419" t="s">
        <v>19</v>
      </c>
      <c r="G2419" t="s">
        <v>20</v>
      </c>
      <c r="J2419" t="s">
        <v>17</v>
      </c>
      <c r="K2419" t="str">
        <f>"76600598"</f>
        <v>76600598</v>
      </c>
      <c r="L2419" t="str">
        <f>"76600598"</f>
        <v>76600598</v>
      </c>
      <c r="M2419" t="s">
        <v>75</v>
      </c>
      <c r="N2419" s="1">
        <v>42872.847222222219</v>
      </c>
      <c r="O2419" t="s">
        <v>19</v>
      </c>
    </row>
    <row r="2420" spans="1:15" x14ac:dyDescent="0.25">
      <c r="A2420" t="s">
        <v>2188</v>
      </c>
      <c r="B2420" t="s">
        <v>15</v>
      </c>
      <c r="C2420" t="s">
        <v>2135</v>
      </c>
      <c r="D2420" t="s">
        <v>17</v>
      </c>
      <c r="E2420" t="s">
        <v>18</v>
      </c>
      <c r="F2420" t="s">
        <v>19</v>
      </c>
      <c r="G2420" t="s">
        <v>20</v>
      </c>
      <c r="J2420" t="s">
        <v>17</v>
      </c>
      <c r="K2420" t="str">
        <f>"17600548"</f>
        <v>17600548</v>
      </c>
      <c r="L2420" t="str">
        <f>"17600548"</f>
        <v>17600548</v>
      </c>
      <c r="M2420" t="s">
        <v>75</v>
      </c>
      <c r="N2420" s="1">
        <v>42872.839583333334</v>
      </c>
      <c r="O2420" t="s">
        <v>19</v>
      </c>
    </row>
    <row r="2421" spans="1:15" x14ac:dyDescent="0.25">
      <c r="A2421" t="s">
        <v>2188</v>
      </c>
      <c r="B2421" t="s">
        <v>15</v>
      </c>
      <c r="C2421" t="s">
        <v>2135</v>
      </c>
      <c r="D2421" t="s">
        <v>17</v>
      </c>
      <c r="E2421" t="s">
        <v>18</v>
      </c>
      <c r="F2421" t="s">
        <v>19</v>
      </c>
      <c r="G2421" t="s">
        <v>20</v>
      </c>
      <c r="J2421" t="s">
        <v>17</v>
      </c>
      <c r="K2421" t="str">
        <f>"68600548"</f>
        <v>68600548</v>
      </c>
      <c r="L2421" t="str">
        <f>"68600548"</f>
        <v>68600548</v>
      </c>
      <c r="M2421" t="s">
        <v>75</v>
      </c>
      <c r="N2421" s="1">
        <v>42872.847222222219</v>
      </c>
      <c r="O2421" t="s">
        <v>19</v>
      </c>
    </row>
    <row r="2422" spans="1:15" x14ac:dyDescent="0.25">
      <c r="A2422" t="s">
        <v>2188</v>
      </c>
      <c r="B2422" t="s">
        <v>15</v>
      </c>
      <c r="C2422" t="s">
        <v>2135</v>
      </c>
      <c r="D2422" t="s">
        <v>17</v>
      </c>
      <c r="E2422" t="s">
        <v>18</v>
      </c>
      <c r="F2422" t="s">
        <v>19</v>
      </c>
      <c r="G2422" t="s">
        <v>20</v>
      </c>
      <c r="J2422" t="s">
        <v>17</v>
      </c>
      <c r="K2422" t="str">
        <f>"76600548"</f>
        <v>76600548</v>
      </c>
      <c r="L2422" t="str">
        <f>"76600548"</f>
        <v>76600548</v>
      </c>
      <c r="M2422" t="s">
        <v>75</v>
      </c>
      <c r="N2422" s="1">
        <v>42872.847222222219</v>
      </c>
      <c r="O2422" t="s">
        <v>19</v>
      </c>
    </row>
    <row r="2423" spans="1:15" x14ac:dyDescent="0.25">
      <c r="A2423" t="s">
        <v>2188</v>
      </c>
      <c r="B2423" t="s">
        <v>15</v>
      </c>
      <c r="C2423" t="s">
        <v>2135</v>
      </c>
      <c r="D2423" t="s">
        <v>17</v>
      </c>
      <c r="E2423" t="s">
        <v>18</v>
      </c>
      <c r="F2423" t="s">
        <v>19</v>
      </c>
      <c r="G2423" t="s">
        <v>20</v>
      </c>
      <c r="J2423" t="s">
        <v>17</v>
      </c>
      <c r="K2423" t="str">
        <f>"76230548"</f>
        <v>76230548</v>
      </c>
      <c r="L2423" t="str">
        <f>"76230548"</f>
        <v>76230548</v>
      </c>
      <c r="M2423" t="s">
        <v>75</v>
      </c>
      <c r="N2423" s="1">
        <v>42872.847222222219</v>
      </c>
      <c r="O2423" t="s">
        <v>19</v>
      </c>
    </row>
    <row r="2424" spans="1:15" x14ac:dyDescent="0.25">
      <c r="A2424" t="s">
        <v>2188</v>
      </c>
      <c r="B2424" t="s">
        <v>15</v>
      </c>
      <c r="C2424" t="s">
        <v>2135</v>
      </c>
      <c r="D2424" t="s">
        <v>17</v>
      </c>
      <c r="E2424" t="s">
        <v>18</v>
      </c>
      <c r="F2424" t="s">
        <v>19</v>
      </c>
      <c r="G2424" t="s">
        <v>20</v>
      </c>
      <c r="J2424" t="s">
        <v>17</v>
      </c>
      <c r="K2424" t="str">
        <f>"76630548"</f>
        <v>76630548</v>
      </c>
      <c r="L2424" t="str">
        <f>"76630548"</f>
        <v>76630548</v>
      </c>
      <c r="M2424" t="s">
        <v>75</v>
      </c>
      <c r="N2424" s="1">
        <v>42872.847222222219</v>
      </c>
      <c r="O2424" t="s">
        <v>19</v>
      </c>
    </row>
    <row r="2425" spans="1:15" x14ac:dyDescent="0.25">
      <c r="A2425" t="s">
        <v>2188</v>
      </c>
      <c r="B2425" t="s">
        <v>15</v>
      </c>
      <c r="C2425" t="s">
        <v>2135</v>
      </c>
      <c r="D2425" t="s">
        <v>17</v>
      </c>
      <c r="E2425" t="s">
        <v>18</v>
      </c>
      <c r="F2425" t="s">
        <v>19</v>
      </c>
      <c r="G2425" t="s">
        <v>20</v>
      </c>
      <c r="J2425" t="s">
        <v>17</v>
      </c>
      <c r="K2425" t="str">
        <f>"762305103"</f>
        <v>762305103</v>
      </c>
      <c r="L2425" t="str">
        <f>"762305103"</f>
        <v>762305103</v>
      </c>
      <c r="M2425" t="s">
        <v>75</v>
      </c>
      <c r="N2425" s="1">
        <v>42872.849305555559</v>
      </c>
      <c r="O2425" t="s">
        <v>19</v>
      </c>
    </row>
    <row r="2426" spans="1:15" x14ac:dyDescent="0.25">
      <c r="A2426" t="s">
        <v>2188</v>
      </c>
      <c r="B2426" t="s">
        <v>15</v>
      </c>
      <c r="C2426" t="s">
        <v>2135</v>
      </c>
      <c r="D2426" t="s">
        <v>17</v>
      </c>
      <c r="E2426" t="s">
        <v>18</v>
      </c>
      <c r="F2426" t="s">
        <v>19</v>
      </c>
      <c r="G2426" t="s">
        <v>20</v>
      </c>
      <c r="J2426" t="s">
        <v>17</v>
      </c>
      <c r="K2426" t="str">
        <f>"766005103"</f>
        <v>766005103</v>
      </c>
      <c r="L2426" t="str">
        <f>"766005103"</f>
        <v>766005103</v>
      </c>
      <c r="M2426" t="s">
        <v>75</v>
      </c>
      <c r="N2426" s="1">
        <v>42872.849305555559</v>
      </c>
      <c r="O2426" t="s">
        <v>19</v>
      </c>
    </row>
    <row r="2427" spans="1:15" x14ac:dyDescent="0.25">
      <c r="A2427" t="s">
        <v>2189</v>
      </c>
      <c r="B2427" t="s">
        <v>15</v>
      </c>
      <c r="C2427" t="s">
        <v>2135</v>
      </c>
      <c r="D2427" t="s">
        <v>17</v>
      </c>
      <c r="E2427" t="s">
        <v>18</v>
      </c>
      <c r="F2427" t="s">
        <v>19</v>
      </c>
      <c r="G2427" t="s">
        <v>20</v>
      </c>
      <c r="J2427" t="s">
        <v>17</v>
      </c>
      <c r="K2427" t="str">
        <f>"766305302"</f>
        <v>766305302</v>
      </c>
      <c r="L2427" t="str">
        <f>"766305302"</f>
        <v>766305302</v>
      </c>
      <c r="M2427" t="s">
        <v>75</v>
      </c>
      <c r="N2427" s="1">
        <v>42987.912499999999</v>
      </c>
      <c r="O2427" t="s">
        <v>19</v>
      </c>
    </row>
    <row r="2428" spans="1:15" x14ac:dyDescent="0.25">
      <c r="A2428" t="s">
        <v>2189</v>
      </c>
      <c r="B2428" t="s">
        <v>15</v>
      </c>
      <c r="C2428" t="s">
        <v>2135</v>
      </c>
      <c r="D2428" t="s">
        <v>17</v>
      </c>
      <c r="E2428" t="s">
        <v>18</v>
      </c>
      <c r="F2428" t="s">
        <v>19</v>
      </c>
      <c r="G2428" t="s">
        <v>20</v>
      </c>
      <c r="J2428" t="s">
        <v>17</v>
      </c>
      <c r="K2428" t="str">
        <f>"766005302"</f>
        <v>766005302</v>
      </c>
      <c r="L2428" t="str">
        <f>"766005302"</f>
        <v>766005302</v>
      </c>
      <c r="M2428" t="s">
        <v>75</v>
      </c>
      <c r="N2428" s="1">
        <v>42992.697222222225</v>
      </c>
      <c r="O2428" t="s">
        <v>19</v>
      </c>
    </row>
    <row r="2429" spans="1:15" x14ac:dyDescent="0.25">
      <c r="A2429" t="s">
        <v>2189</v>
      </c>
      <c r="B2429" t="s">
        <v>15</v>
      </c>
      <c r="C2429" t="s">
        <v>2135</v>
      </c>
      <c r="D2429" t="s">
        <v>17</v>
      </c>
      <c r="E2429" t="s">
        <v>18</v>
      </c>
      <c r="F2429" t="s">
        <v>19</v>
      </c>
      <c r="G2429" t="s">
        <v>20</v>
      </c>
      <c r="J2429" t="s">
        <v>17</v>
      </c>
      <c r="K2429" t="str">
        <f>"762305302"</f>
        <v>762305302</v>
      </c>
      <c r="L2429" t="str">
        <f>"762305302"</f>
        <v>762305302</v>
      </c>
      <c r="M2429" t="s">
        <v>75</v>
      </c>
      <c r="N2429" s="1">
        <v>43132.95416666667</v>
      </c>
      <c r="O2429" t="s">
        <v>19</v>
      </c>
    </row>
    <row r="2430" spans="1:15" x14ac:dyDescent="0.25">
      <c r="A2430" t="s">
        <v>2190</v>
      </c>
      <c r="B2430" t="s">
        <v>15</v>
      </c>
      <c r="C2430" t="s">
        <v>2135</v>
      </c>
      <c r="D2430" t="s">
        <v>17</v>
      </c>
      <c r="E2430" t="s">
        <v>18</v>
      </c>
      <c r="F2430" t="s">
        <v>19</v>
      </c>
      <c r="G2430" t="s">
        <v>20</v>
      </c>
      <c r="J2430" t="s">
        <v>17</v>
      </c>
      <c r="K2430" t="str">
        <f>"322305238"</f>
        <v>322305238</v>
      </c>
      <c r="L2430" t="str">
        <f>"322305238"</f>
        <v>322305238</v>
      </c>
      <c r="M2430" t="s">
        <v>75</v>
      </c>
      <c r="N2430" s="1">
        <v>42872.849305555559</v>
      </c>
      <c r="O2430" t="s">
        <v>19</v>
      </c>
    </row>
    <row r="2431" spans="1:15" x14ac:dyDescent="0.25">
      <c r="A2431" t="s">
        <v>2190</v>
      </c>
      <c r="B2431" t="s">
        <v>15</v>
      </c>
      <c r="C2431" t="s">
        <v>2135</v>
      </c>
      <c r="D2431" t="s">
        <v>17</v>
      </c>
      <c r="E2431" t="s">
        <v>18</v>
      </c>
      <c r="F2431" t="s">
        <v>19</v>
      </c>
      <c r="G2431" t="s">
        <v>20</v>
      </c>
      <c r="J2431" t="s">
        <v>17</v>
      </c>
      <c r="K2431" t="str">
        <f>"762305238"</f>
        <v>762305238</v>
      </c>
      <c r="L2431" t="str">
        <f>"762305238"</f>
        <v>762305238</v>
      </c>
      <c r="M2431" t="s">
        <v>75</v>
      </c>
      <c r="N2431" s="1">
        <v>42872.849305555559</v>
      </c>
      <c r="O2431" t="s">
        <v>19</v>
      </c>
    </row>
    <row r="2432" spans="1:15" x14ac:dyDescent="0.25">
      <c r="A2432" t="s">
        <v>2190</v>
      </c>
      <c r="B2432" t="s">
        <v>15</v>
      </c>
      <c r="C2432" t="s">
        <v>2135</v>
      </c>
      <c r="D2432" t="s">
        <v>17</v>
      </c>
      <c r="E2432" t="s">
        <v>18</v>
      </c>
      <c r="F2432" t="s">
        <v>19</v>
      </c>
      <c r="G2432" t="s">
        <v>20</v>
      </c>
      <c r="J2432" t="s">
        <v>17</v>
      </c>
      <c r="K2432" t="str">
        <f>"766005238"</f>
        <v>766005238</v>
      </c>
      <c r="L2432" t="str">
        <f>"766005238"</f>
        <v>766005238</v>
      </c>
      <c r="M2432" t="s">
        <v>75</v>
      </c>
      <c r="N2432" s="1">
        <v>42872.849305555559</v>
      </c>
      <c r="O2432" t="s">
        <v>19</v>
      </c>
    </row>
    <row r="2433" spans="1:15" x14ac:dyDescent="0.25">
      <c r="A2433" t="s">
        <v>2191</v>
      </c>
      <c r="B2433" t="s">
        <v>15</v>
      </c>
      <c r="C2433" t="s">
        <v>2135</v>
      </c>
      <c r="D2433" t="s">
        <v>17</v>
      </c>
      <c r="E2433" t="s">
        <v>18</v>
      </c>
      <c r="F2433" t="s">
        <v>19</v>
      </c>
      <c r="G2433" t="s">
        <v>20</v>
      </c>
      <c r="J2433" t="s">
        <v>17</v>
      </c>
      <c r="K2433" t="str">
        <f>"322305247"</f>
        <v>322305247</v>
      </c>
      <c r="L2433" t="str">
        <f>"322305247"</f>
        <v>322305247</v>
      </c>
      <c r="M2433" t="s">
        <v>75</v>
      </c>
      <c r="N2433" s="1">
        <v>42872.849305555559</v>
      </c>
      <c r="O2433" t="s">
        <v>19</v>
      </c>
    </row>
    <row r="2434" spans="1:15" x14ac:dyDescent="0.25">
      <c r="A2434" t="s">
        <v>2191</v>
      </c>
      <c r="B2434" t="s">
        <v>15</v>
      </c>
      <c r="C2434" t="s">
        <v>2135</v>
      </c>
      <c r="D2434" t="s">
        <v>17</v>
      </c>
      <c r="E2434" t="s">
        <v>18</v>
      </c>
      <c r="F2434" t="s">
        <v>19</v>
      </c>
      <c r="G2434" t="s">
        <v>20</v>
      </c>
      <c r="J2434" t="s">
        <v>17</v>
      </c>
      <c r="K2434" t="str">
        <f>"762305247"</f>
        <v>762305247</v>
      </c>
      <c r="L2434" t="str">
        <f>"762305247"</f>
        <v>762305247</v>
      </c>
      <c r="M2434" t="s">
        <v>75</v>
      </c>
      <c r="N2434" s="1">
        <v>42872.849305555559</v>
      </c>
      <c r="O2434" t="s">
        <v>19</v>
      </c>
    </row>
    <row r="2435" spans="1:15" x14ac:dyDescent="0.25">
      <c r="A2435" t="s">
        <v>2191</v>
      </c>
      <c r="B2435" t="s">
        <v>15</v>
      </c>
      <c r="C2435" t="s">
        <v>2135</v>
      </c>
      <c r="D2435" t="s">
        <v>17</v>
      </c>
      <c r="E2435" t="s">
        <v>18</v>
      </c>
      <c r="F2435" t="s">
        <v>19</v>
      </c>
      <c r="G2435" t="s">
        <v>20</v>
      </c>
      <c r="J2435" t="s">
        <v>17</v>
      </c>
      <c r="K2435" t="str">
        <f>"766005247"</f>
        <v>766005247</v>
      </c>
      <c r="L2435" t="str">
        <f>"766005247"</f>
        <v>766005247</v>
      </c>
      <c r="M2435" t="s">
        <v>75</v>
      </c>
      <c r="N2435" s="1">
        <v>42872.849305555559</v>
      </c>
      <c r="O2435" t="s">
        <v>19</v>
      </c>
    </row>
    <row r="2436" spans="1:15" x14ac:dyDescent="0.25">
      <c r="A2436" t="s">
        <v>2192</v>
      </c>
      <c r="B2436" t="s">
        <v>15</v>
      </c>
      <c r="C2436" t="s">
        <v>2135</v>
      </c>
      <c r="D2436" t="s">
        <v>17</v>
      </c>
      <c r="E2436" t="s">
        <v>18</v>
      </c>
      <c r="F2436" t="s">
        <v>19</v>
      </c>
      <c r="G2436" t="s">
        <v>20</v>
      </c>
      <c r="J2436" t="s">
        <v>17</v>
      </c>
      <c r="K2436" t="str">
        <f>"176005247"</f>
        <v>176005247</v>
      </c>
      <c r="L2436" t="str">
        <f>"176005247"</f>
        <v>176005247</v>
      </c>
      <c r="M2436" t="s">
        <v>75</v>
      </c>
      <c r="N2436" s="1">
        <v>42895.958333333336</v>
      </c>
      <c r="O2436" t="s">
        <v>19</v>
      </c>
    </row>
    <row r="2437" spans="1:15" x14ac:dyDescent="0.25">
      <c r="A2437" t="s">
        <v>2193</v>
      </c>
      <c r="B2437" t="s">
        <v>15</v>
      </c>
      <c r="C2437" t="s">
        <v>2135</v>
      </c>
      <c r="D2437" t="s">
        <v>17</v>
      </c>
      <c r="E2437" t="s">
        <v>18</v>
      </c>
      <c r="F2437" t="s">
        <v>19</v>
      </c>
      <c r="G2437" t="s">
        <v>20</v>
      </c>
      <c r="J2437" t="s">
        <v>17</v>
      </c>
      <c r="K2437" t="str">
        <f>"172305299"</f>
        <v>172305299</v>
      </c>
      <c r="L2437" t="str">
        <f>"172309299"</f>
        <v>172309299</v>
      </c>
      <c r="M2437" t="s">
        <v>75</v>
      </c>
      <c r="N2437" s="1">
        <v>42930.965277777781</v>
      </c>
      <c r="O2437" t="s">
        <v>19</v>
      </c>
    </row>
    <row r="2438" spans="1:15" x14ac:dyDescent="0.25">
      <c r="A2438" t="s">
        <v>2193</v>
      </c>
      <c r="B2438" t="s">
        <v>15</v>
      </c>
      <c r="C2438" t="s">
        <v>2135</v>
      </c>
      <c r="D2438" t="s">
        <v>17</v>
      </c>
      <c r="E2438" t="s">
        <v>18</v>
      </c>
      <c r="F2438" t="s">
        <v>19</v>
      </c>
      <c r="G2438" t="s">
        <v>20</v>
      </c>
      <c r="J2438" t="s">
        <v>17</v>
      </c>
      <c r="K2438" t="str">
        <f>"766305299"</f>
        <v>766305299</v>
      </c>
      <c r="L2438" t="str">
        <f>"766305299"</f>
        <v>766305299</v>
      </c>
      <c r="M2438" t="s">
        <v>75</v>
      </c>
      <c r="N2438" s="1">
        <v>42987.911805555559</v>
      </c>
      <c r="O2438" t="s">
        <v>19</v>
      </c>
    </row>
    <row r="2439" spans="1:15" x14ac:dyDescent="0.25">
      <c r="A2439" t="s">
        <v>2193</v>
      </c>
      <c r="B2439" t="s">
        <v>15</v>
      </c>
      <c r="C2439" t="s">
        <v>2135</v>
      </c>
      <c r="D2439" t="s">
        <v>17</v>
      </c>
      <c r="E2439" t="s">
        <v>18</v>
      </c>
      <c r="F2439" t="s">
        <v>19</v>
      </c>
      <c r="G2439" t="s">
        <v>20</v>
      </c>
      <c r="J2439" t="s">
        <v>17</v>
      </c>
      <c r="K2439" t="str">
        <f>"762305299"</f>
        <v>762305299</v>
      </c>
      <c r="L2439" t="str">
        <f>"762305299"</f>
        <v>762305299</v>
      </c>
      <c r="M2439" t="s">
        <v>84</v>
      </c>
      <c r="N2439" s="1">
        <v>43335.655555555553</v>
      </c>
      <c r="O2439" t="s">
        <v>19</v>
      </c>
    </row>
    <row r="2440" spans="1:15" x14ac:dyDescent="0.25">
      <c r="A2440" t="s">
        <v>2194</v>
      </c>
      <c r="B2440" t="s">
        <v>15</v>
      </c>
      <c r="C2440" t="s">
        <v>2135</v>
      </c>
      <c r="D2440" t="s">
        <v>17</v>
      </c>
      <c r="E2440" t="s">
        <v>18</v>
      </c>
      <c r="F2440" t="s">
        <v>19</v>
      </c>
      <c r="G2440" t="s">
        <v>20</v>
      </c>
      <c r="J2440" t="s">
        <v>17</v>
      </c>
      <c r="K2440" t="str">
        <f>"762305248"</f>
        <v>762305248</v>
      </c>
      <c r="L2440" t="str">
        <f>"762305248"</f>
        <v>762305248</v>
      </c>
      <c r="M2440" t="s">
        <v>75</v>
      </c>
      <c r="N2440" s="1">
        <v>43083.632638888892</v>
      </c>
      <c r="O2440" t="s">
        <v>19</v>
      </c>
    </row>
    <row r="2441" spans="1:15" x14ac:dyDescent="0.25">
      <c r="A2441" t="s">
        <v>2195</v>
      </c>
      <c r="B2441" t="s">
        <v>15</v>
      </c>
      <c r="C2441" t="s">
        <v>2135</v>
      </c>
      <c r="D2441" t="s">
        <v>17</v>
      </c>
      <c r="E2441" t="s">
        <v>18</v>
      </c>
      <c r="F2441" t="s">
        <v>19</v>
      </c>
      <c r="G2441" t="s">
        <v>20</v>
      </c>
      <c r="J2441" t="s">
        <v>17</v>
      </c>
      <c r="K2441" t="str">
        <f>"332305304"</f>
        <v>332305304</v>
      </c>
      <c r="L2441" t="str">
        <f>"332305304"</f>
        <v>332305304</v>
      </c>
      <c r="M2441" t="s">
        <v>75</v>
      </c>
      <c r="N2441" s="1">
        <v>43244.715277777781</v>
      </c>
      <c r="O2441" t="s">
        <v>19</v>
      </c>
    </row>
    <row r="2442" spans="1:15" x14ac:dyDescent="0.25">
      <c r="A2442" t="s">
        <v>2195</v>
      </c>
      <c r="B2442" t="s">
        <v>15</v>
      </c>
      <c r="C2442" t="s">
        <v>2135</v>
      </c>
      <c r="D2442" t="s">
        <v>17</v>
      </c>
      <c r="E2442" t="s">
        <v>18</v>
      </c>
      <c r="F2442" t="s">
        <v>19</v>
      </c>
      <c r="G2442" t="s">
        <v>20</v>
      </c>
      <c r="J2442" t="s">
        <v>17</v>
      </c>
      <c r="K2442" t="str">
        <f>"766005304"</f>
        <v>766005304</v>
      </c>
      <c r="L2442" t="str">
        <f>"766005304"</f>
        <v>766005304</v>
      </c>
      <c r="M2442" t="s">
        <v>84</v>
      </c>
      <c r="N2442" s="1">
        <v>43335.657638888886</v>
      </c>
      <c r="O2442" t="s">
        <v>19</v>
      </c>
    </row>
    <row r="2443" spans="1:15" x14ac:dyDescent="0.25">
      <c r="A2443" t="s">
        <v>2195</v>
      </c>
      <c r="B2443" t="s">
        <v>15</v>
      </c>
      <c r="C2443" t="s">
        <v>2135</v>
      </c>
      <c r="D2443" t="s">
        <v>17</v>
      </c>
      <c r="E2443" t="s">
        <v>18</v>
      </c>
      <c r="F2443" t="s">
        <v>19</v>
      </c>
      <c r="G2443" t="s">
        <v>20</v>
      </c>
      <c r="J2443" t="s">
        <v>17</v>
      </c>
      <c r="K2443" t="str">
        <f>"672305304"</f>
        <v>672305304</v>
      </c>
      <c r="L2443" t="str">
        <f>"672305304"</f>
        <v>672305304</v>
      </c>
      <c r="M2443" t="s">
        <v>84</v>
      </c>
      <c r="N2443" s="1">
        <v>43546.951388888891</v>
      </c>
      <c r="O2443" t="s">
        <v>19</v>
      </c>
    </row>
    <row r="2444" spans="1:15" x14ac:dyDescent="0.25">
      <c r="A2444" t="s">
        <v>2196</v>
      </c>
      <c r="B2444" t="s">
        <v>15</v>
      </c>
      <c r="C2444" t="s">
        <v>2135</v>
      </c>
      <c r="D2444" t="s">
        <v>17</v>
      </c>
      <c r="E2444" t="s">
        <v>18</v>
      </c>
      <c r="F2444" t="s">
        <v>19</v>
      </c>
      <c r="G2444" t="s">
        <v>20</v>
      </c>
      <c r="J2444" t="s">
        <v>17</v>
      </c>
      <c r="K2444" t="str">
        <f>"762305313"</f>
        <v>762305313</v>
      </c>
      <c r="L2444" t="str">
        <f>"762305313"</f>
        <v>762305313</v>
      </c>
      <c r="M2444" t="s">
        <v>21</v>
      </c>
      <c r="N2444" s="1">
        <v>43754.870833333334</v>
      </c>
      <c r="O2444" t="s">
        <v>19</v>
      </c>
    </row>
    <row r="2445" spans="1:15" x14ac:dyDescent="0.25">
      <c r="A2445" t="s">
        <v>2197</v>
      </c>
      <c r="B2445" t="s">
        <v>15</v>
      </c>
      <c r="C2445" t="s">
        <v>2135</v>
      </c>
      <c r="D2445" t="s">
        <v>17</v>
      </c>
      <c r="E2445" t="s">
        <v>18</v>
      </c>
      <c r="F2445" t="s">
        <v>19</v>
      </c>
      <c r="G2445" t="s">
        <v>20</v>
      </c>
      <c r="J2445" t="s">
        <v>17</v>
      </c>
      <c r="K2445" t="str">
        <f>"172305152"</f>
        <v>172305152</v>
      </c>
      <c r="L2445" t="str">
        <f>"172305152"</f>
        <v>172305152</v>
      </c>
      <c r="M2445" t="s">
        <v>75</v>
      </c>
      <c r="N2445" s="1">
        <v>42872.847222222219</v>
      </c>
      <c r="O2445" t="s">
        <v>19</v>
      </c>
    </row>
    <row r="2446" spans="1:15" x14ac:dyDescent="0.25">
      <c r="A2446" t="s">
        <v>2197</v>
      </c>
      <c r="B2446" t="s">
        <v>15</v>
      </c>
      <c r="C2446" t="s">
        <v>2135</v>
      </c>
      <c r="D2446" t="s">
        <v>17</v>
      </c>
      <c r="E2446" t="s">
        <v>18</v>
      </c>
      <c r="F2446" t="s">
        <v>19</v>
      </c>
      <c r="G2446" t="s">
        <v>20</v>
      </c>
      <c r="J2446" t="s">
        <v>17</v>
      </c>
      <c r="K2446" t="str">
        <f>"762305152"</f>
        <v>762305152</v>
      </c>
      <c r="L2446" t="str">
        <f>"762305152"</f>
        <v>762305152</v>
      </c>
      <c r="M2446" t="s">
        <v>75</v>
      </c>
      <c r="N2446" s="1">
        <v>42872.849305555559</v>
      </c>
      <c r="O2446" t="s">
        <v>19</v>
      </c>
    </row>
    <row r="2447" spans="1:15" x14ac:dyDescent="0.25">
      <c r="A2447" t="s">
        <v>2197</v>
      </c>
      <c r="B2447" t="s">
        <v>15</v>
      </c>
      <c r="C2447" t="s">
        <v>2135</v>
      </c>
      <c r="D2447" t="s">
        <v>17</v>
      </c>
      <c r="E2447" t="s">
        <v>18</v>
      </c>
      <c r="F2447" t="s">
        <v>19</v>
      </c>
      <c r="G2447" t="s">
        <v>20</v>
      </c>
      <c r="J2447" t="s">
        <v>17</v>
      </c>
      <c r="K2447" t="str">
        <f>"766005152"</f>
        <v>766005152</v>
      </c>
      <c r="L2447" t="str">
        <f>"766005152"</f>
        <v>766005152</v>
      </c>
      <c r="M2447" t="s">
        <v>75</v>
      </c>
      <c r="N2447" s="1">
        <v>42872.849305555559</v>
      </c>
      <c r="O2447" t="s">
        <v>19</v>
      </c>
    </row>
    <row r="2448" spans="1:15" x14ac:dyDescent="0.25">
      <c r="A2448" t="s">
        <v>2198</v>
      </c>
      <c r="B2448" t="s">
        <v>15</v>
      </c>
      <c r="C2448" t="s">
        <v>2135</v>
      </c>
      <c r="D2448" t="s">
        <v>17</v>
      </c>
      <c r="E2448" t="s">
        <v>18</v>
      </c>
      <c r="F2448" t="s">
        <v>19</v>
      </c>
      <c r="G2448" t="s">
        <v>20</v>
      </c>
      <c r="J2448" t="s">
        <v>17</v>
      </c>
      <c r="K2448" t="str">
        <f>"762305208"</f>
        <v>762305208</v>
      </c>
      <c r="L2448" t="str">
        <f>"762305208"</f>
        <v>762305208</v>
      </c>
      <c r="M2448" t="s">
        <v>75</v>
      </c>
      <c r="N2448" s="1">
        <v>42872.849305555559</v>
      </c>
      <c r="O2448" t="s">
        <v>19</v>
      </c>
    </row>
    <row r="2449" spans="1:15" x14ac:dyDescent="0.25">
      <c r="A2449" t="s">
        <v>2199</v>
      </c>
      <c r="B2449" t="s">
        <v>15</v>
      </c>
      <c r="C2449" t="s">
        <v>2135</v>
      </c>
      <c r="D2449" t="s">
        <v>17</v>
      </c>
      <c r="E2449" t="s">
        <v>18</v>
      </c>
      <c r="F2449" t="s">
        <v>19</v>
      </c>
      <c r="G2449" t="s">
        <v>20</v>
      </c>
      <c r="J2449" t="s">
        <v>17</v>
      </c>
      <c r="K2449" t="str">
        <f>"762305229"</f>
        <v>762305229</v>
      </c>
      <c r="L2449" t="str">
        <f>"762305229"</f>
        <v>762305229</v>
      </c>
      <c r="M2449" t="s">
        <v>75</v>
      </c>
      <c r="N2449" s="1">
        <v>42872.849305555559</v>
      </c>
      <c r="O2449" t="s">
        <v>19</v>
      </c>
    </row>
    <row r="2450" spans="1:15" x14ac:dyDescent="0.25">
      <c r="A2450" t="s">
        <v>2199</v>
      </c>
      <c r="B2450" t="s">
        <v>15</v>
      </c>
      <c r="C2450" t="s">
        <v>2135</v>
      </c>
      <c r="D2450" t="s">
        <v>17</v>
      </c>
      <c r="E2450" t="s">
        <v>18</v>
      </c>
      <c r="F2450" t="s">
        <v>19</v>
      </c>
      <c r="G2450" t="s">
        <v>20</v>
      </c>
      <c r="J2450" t="s">
        <v>17</v>
      </c>
      <c r="K2450" t="str">
        <f>"766005229"</f>
        <v>766005229</v>
      </c>
      <c r="L2450" t="str">
        <f>"766005229"</f>
        <v>766005229</v>
      </c>
      <c r="M2450" t="s">
        <v>75</v>
      </c>
      <c r="N2450" s="1">
        <v>42872.849305555559</v>
      </c>
      <c r="O2450" t="s">
        <v>19</v>
      </c>
    </row>
    <row r="2451" spans="1:15" x14ac:dyDescent="0.25">
      <c r="A2451" t="s">
        <v>2200</v>
      </c>
      <c r="B2451" t="s">
        <v>15</v>
      </c>
      <c r="C2451" t="s">
        <v>2135</v>
      </c>
      <c r="D2451" t="s">
        <v>17</v>
      </c>
      <c r="E2451" t="s">
        <v>18</v>
      </c>
      <c r="F2451" t="s">
        <v>19</v>
      </c>
      <c r="G2451" t="s">
        <v>20</v>
      </c>
      <c r="J2451" t="s">
        <v>17</v>
      </c>
      <c r="K2451" t="str">
        <f>"76235208"</f>
        <v>76235208</v>
      </c>
      <c r="L2451" t="str">
        <f>"76235208"</f>
        <v>76235208</v>
      </c>
      <c r="M2451" t="s">
        <v>75</v>
      </c>
      <c r="N2451" s="1">
        <v>42872.849305555559</v>
      </c>
      <c r="O2451" t="s">
        <v>19</v>
      </c>
    </row>
    <row r="2452" spans="1:15" x14ac:dyDescent="0.25">
      <c r="A2452" t="s">
        <v>2201</v>
      </c>
      <c r="B2452" t="s">
        <v>15</v>
      </c>
      <c r="C2452" t="s">
        <v>2135</v>
      </c>
      <c r="D2452" t="s">
        <v>17</v>
      </c>
      <c r="E2452" t="s">
        <v>18</v>
      </c>
      <c r="F2452" t="s">
        <v>19</v>
      </c>
      <c r="G2452" t="s">
        <v>20</v>
      </c>
      <c r="J2452" t="s">
        <v>17</v>
      </c>
      <c r="K2452" t="str">
        <f>"672305306"</f>
        <v>672305306</v>
      </c>
      <c r="L2452" t="str">
        <f>"672305306"</f>
        <v>672305306</v>
      </c>
      <c r="M2452" t="s">
        <v>84</v>
      </c>
      <c r="N2452" s="1">
        <v>43502.65347222222</v>
      </c>
      <c r="O2452" t="s">
        <v>19</v>
      </c>
    </row>
    <row r="2453" spans="1:15" x14ac:dyDescent="0.25">
      <c r="A2453" t="s">
        <v>2202</v>
      </c>
      <c r="B2453" t="s">
        <v>15</v>
      </c>
      <c r="C2453" t="s">
        <v>2135</v>
      </c>
      <c r="D2453" t="s">
        <v>17</v>
      </c>
      <c r="E2453" t="s">
        <v>18</v>
      </c>
      <c r="F2453" t="s">
        <v>19</v>
      </c>
      <c r="G2453" t="s">
        <v>20</v>
      </c>
      <c r="J2453" t="s">
        <v>17</v>
      </c>
      <c r="K2453" t="str">
        <f>"172305260"</f>
        <v>172305260</v>
      </c>
      <c r="L2453" t="str">
        <f>"172305260"</f>
        <v>172305260</v>
      </c>
      <c r="M2453" t="s">
        <v>75</v>
      </c>
      <c r="N2453" s="1">
        <v>42872.847222222219</v>
      </c>
      <c r="O2453" t="s">
        <v>19</v>
      </c>
    </row>
    <row r="2454" spans="1:15" x14ac:dyDescent="0.25">
      <c r="A2454" t="s">
        <v>2202</v>
      </c>
      <c r="B2454" t="s">
        <v>15</v>
      </c>
      <c r="C2454" t="s">
        <v>2135</v>
      </c>
      <c r="D2454" t="s">
        <v>17</v>
      </c>
      <c r="E2454" t="s">
        <v>18</v>
      </c>
      <c r="F2454" t="s">
        <v>19</v>
      </c>
      <c r="G2454" t="s">
        <v>20</v>
      </c>
      <c r="J2454" t="s">
        <v>17</v>
      </c>
      <c r="K2454" t="str">
        <f>"322305249"</f>
        <v>322305249</v>
      </c>
      <c r="L2454" t="str">
        <f>"322305249"</f>
        <v>322305249</v>
      </c>
      <c r="M2454" t="s">
        <v>75</v>
      </c>
      <c r="N2454" s="1">
        <v>42872.849305555559</v>
      </c>
      <c r="O2454" t="s">
        <v>19</v>
      </c>
    </row>
    <row r="2455" spans="1:15" x14ac:dyDescent="0.25">
      <c r="A2455" t="s">
        <v>2202</v>
      </c>
      <c r="B2455" t="s">
        <v>15</v>
      </c>
      <c r="C2455" t="s">
        <v>2135</v>
      </c>
      <c r="D2455" t="s">
        <v>17</v>
      </c>
      <c r="E2455" t="s">
        <v>18</v>
      </c>
      <c r="F2455" t="s">
        <v>19</v>
      </c>
      <c r="G2455" t="s">
        <v>20</v>
      </c>
      <c r="J2455" t="s">
        <v>17</v>
      </c>
      <c r="K2455" t="str">
        <f>"762305157"</f>
        <v>762305157</v>
      </c>
      <c r="L2455" t="str">
        <f>"762305157"</f>
        <v>762305157</v>
      </c>
      <c r="M2455" t="s">
        <v>75</v>
      </c>
      <c r="N2455" s="1">
        <v>42872.849305555559</v>
      </c>
      <c r="O2455" t="s">
        <v>19</v>
      </c>
    </row>
    <row r="2456" spans="1:15" x14ac:dyDescent="0.25">
      <c r="A2456" t="s">
        <v>2202</v>
      </c>
      <c r="B2456" t="s">
        <v>15</v>
      </c>
      <c r="C2456" t="s">
        <v>2135</v>
      </c>
      <c r="D2456" t="s">
        <v>17</v>
      </c>
      <c r="E2456" t="s">
        <v>18</v>
      </c>
      <c r="F2456" t="s">
        <v>19</v>
      </c>
      <c r="G2456" t="s">
        <v>20</v>
      </c>
      <c r="J2456" t="s">
        <v>17</v>
      </c>
      <c r="K2456" t="str">
        <f>"762305260"</f>
        <v>762305260</v>
      </c>
      <c r="L2456" t="str">
        <f>"762305260"</f>
        <v>762305260</v>
      </c>
      <c r="M2456" t="s">
        <v>75</v>
      </c>
      <c r="N2456" s="1">
        <v>42872.849305555559</v>
      </c>
      <c r="O2456" t="s">
        <v>19</v>
      </c>
    </row>
    <row r="2457" spans="1:15" x14ac:dyDescent="0.25">
      <c r="A2457" t="s">
        <v>2202</v>
      </c>
      <c r="B2457" t="s">
        <v>15</v>
      </c>
      <c r="C2457" t="s">
        <v>2135</v>
      </c>
      <c r="D2457" t="s">
        <v>17</v>
      </c>
      <c r="E2457" t="s">
        <v>18</v>
      </c>
      <c r="F2457" t="s">
        <v>19</v>
      </c>
      <c r="G2457" t="s">
        <v>20</v>
      </c>
      <c r="J2457" t="s">
        <v>17</v>
      </c>
      <c r="K2457" t="str">
        <f>"766005260"</f>
        <v>766005260</v>
      </c>
      <c r="L2457" t="str">
        <f>"766005260"</f>
        <v>766005260</v>
      </c>
      <c r="M2457" t="s">
        <v>75</v>
      </c>
      <c r="N2457" s="1">
        <v>42872.849305555559</v>
      </c>
      <c r="O2457" t="s">
        <v>19</v>
      </c>
    </row>
    <row r="2458" spans="1:15" x14ac:dyDescent="0.25">
      <c r="A2458" t="s">
        <v>2202</v>
      </c>
      <c r="B2458" t="s">
        <v>15</v>
      </c>
      <c r="C2458" t="s">
        <v>2135</v>
      </c>
      <c r="D2458" t="s">
        <v>17</v>
      </c>
      <c r="E2458" t="s">
        <v>18</v>
      </c>
      <c r="F2458" t="s">
        <v>19</v>
      </c>
      <c r="G2458" t="s">
        <v>20</v>
      </c>
      <c r="J2458" t="s">
        <v>17</v>
      </c>
      <c r="K2458" t="str">
        <f>"768505260"</f>
        <v>768505260</v>
      </c>
      <c r="L2458" t="str">
        <f>"768505260"</f>
        <v>768505260</v>
      </c>
      <c r="M2458" t="s">
        <v>75</v>
      </c>
      <c r="N2458" s="1">
        <v>42872.849305555559</v>
      </c>
      <c r="O2458" t="s">
        <v>19</v>
      </c>
    </row>
    <row r="2459" spans="1:15" x14ac:dyDescent="0.25">
      <c r="A2459" t="s">
        <v>2203</v>
      </c>
      <c r="B2459" t="s">
        <v>15</v>
      </c>
      <c r="C2459" t="s">
        <v>2135</v>
      </c>
      <c r="D2459" t="s">
        <v>17</v>
      </c>
      <c r="E2459" t="s">
        <v>18</v>
      </c>
      <c r="F2459" t="s">
        <v>19</v>
      </c>
      <c r="G2459" t="s">
        <v>20</v>
      </c>
      <c r="J2459" t="s">
        <v>17</v>
      </c>
      <c r="K2459" t="str">
        <f>"17235159"</f>
        <v>17235159</v>
      </c>
      <c r="L2459" t="str">
        <f>"17235159"</f>
        <v>17235159</v>
      </c>
      <c r="M2459" t="s">
        <v>75</v>
      </c>
      <c r="N2459" s="1">
        <v>42872.839583333334</v>
      </c>
      <c r="O2459" t="s">
        <v>19</v>
      </c>
    </row>
    <row r="2460" spans="1:15" x14ac:dyDescent="0.25">
      <c r="A2460" t="s">
        <v>2203</v>
      </c>
      <c r="B2460" t="s">
        <v>15</v>
      </c>
      <c r="C2460" t="s">
        <v>2135</v>
      </c>
      <c r="D2460" t="s">
        <v>17</v>
      </c>
      <c r="E2460" t="s">
        <v>18</v>
      </c>
      <c r="F2460" t="s">
        <v>19</v>
      </c>
      <c r="G2460" t="s">
        <v>20</v>
      </c>
      <c r="J2460" t="s">
        <v>17</v>
      </c>
      <c r="K2460" t="str">
        <f>"762305159"</f>
        <v>762305159</v>
      </c>
      <c r="L2460" t="str">
        <f>"762305159"</f>
        <v>762305159</v>
      </c>
      <c r="M2460" t="s">
        <v>75</v>
      </c>
      <c r="N2460" s="1">
        <v>42872.849305555559</v>
      </c>
      <c r="O2460" t="s">
        <v>19</v>
      </c>
    </row>
    <row r="2461" spans="1:15" x14ac:dyDescent="0.25">
      <c r="A2461" t="s">
        <v>2203</v>
      </c>
      <c r="B2461" t="s">
        <v>15</v>
      </c>
      <c r="C2461" t="s">
        <v>2135</v>
      </c>
      <c r="D2461" t="s">
        <v>17</v>
      </c>
      <c r="E2461" t="s">
        <v>18</v>
      </c>
      <c r="F2461" t="s">
        <v>19</v>
      </c>
      <c r="G2461" t="s">
        <v>20</v>
      </c>
      <c r="J2461" t="s">
        <v>17</v>
      </c>
      <c r="K2461" t="str">
        <f>"766005159"</f>
        <v>766005159</v>
      </c>
      <c r="L2461" t="str">
        <f>"766005159"</f>
        <v>766005159</v>
      </c>
      <c r="M2461" t="s">
        <v>75</v>
      </c>
      <c r="N2461" s="1">
        <v>42872.849305555559</v>
      </c>
      <c r="O2461" t="s">
        <v>19</v>
      </c>
    </row>
    <row r="2462" spans="1:15" x14ac:dyDescent="0.25">
      <c r="A2462" t="s">
        <v>2204</v>
      </c>
      <c r="B2462" t="s">
        <v>15</v>
      </c>
      <c r="C2462" t="s">
        <v>2135</v>
      </c>
      <c r="D2462" t="s">
        <v>17</v>
      </c>
      <c r="E2462" t="s">
        <v>18</v>
      </c>
      <c r="F2462" t="s">
        <v>19</v>
      </c>
      <c r="G2462" t="s">
        <v>20</v>
      </c>
      <c r="J2462" t="s">
        <v>17</v>
      </c>
      <c r="K2462" t="str">
        <f>"992305282"</f>
        <v>992305282</v>
      </c>
      <c r="L2462" t="str">
        <f>"992305282"</f>
        <v>992305282</v>
      </c>
      <c r="M2462" t="s">
        <v>75</v>
      </c>
      <c r="N2462" s="1">
        <v>43244.881944444445</v>
      </c>
      <c r="O2462" t="s">
        <v>19</v>
      </c>
    </row>
    <row r="2463" spans="1:15" x14ac:dyDescent="0.25">
      <c r="A2463" t="s">
        <v>2204</v>
      </c>
      <c r="B2463" t="s">
        <v>15</v>
      </c>
      <c r="C2463" t="s">
        <v>2135</v>
      </c>
      <c r="D2463" t="s">
        <v>17</v>
      </c>
      <c r="E2463" t="s">
        <v>18</v>
      </c>
      <c r="F2463" t="s">
        <v>19</v>
      </c>
      <c r="G2463" t="s">
        <v>20</v>
      </c>
      <c r="J2463" t="s">
        <v>17</v>
      </c>
      <c r="K2463" t="str">
        <f>"762305282"</f>
        <v>762305282</v>
      </c>
      <c r="L2463" t="str">
        <f>"762305282"</f>
        <v>762305282</v>
      </c>
      <c r="M2463" t="s">
        <v>84</v>
      </c>
      <c r="N2463" s="1">
        <v>43307.663194444445</v>
      </c>
      <c r="O2463" t="s">
        <v>19</v>
      </c>
    </row>
    <row r="2464" spans="1:15" x14ac:dyDescent="0.25">
      <c r="A2464" t="s">
        <v>2204</v>
      </c>
      <c r="B2464" t="s">
        <v>15</v>
      </c>
      <c r="C2464" t="s">
        <v>2135</v>
      </c>
      <c r="D2464" t="s">
        <v>17</v>
      </c>
      <c r="E2464" t="s">
        <v>18</v>
      </c>
      <c r="F2464" t="s">
        <v>19</v>
      </c>
      <c r="G2464" t="s">
        <v>20</v>
      </c>
      <c r="J2464" t="s">
        <v>17</v>
      </c>
      <c r="K2464" t="str">
        <f>"612305282"</f>
        <v>612305282</v>
      </c>
      <c r="L2464" t="str">
        <f>"612305282"</f>
        <v>612305282</v>
      </c>
      <c r="M2464" t="s">
        <v>84</v>
      </c>
      <c r="N2464" s="1">
        <v>43320.679166666669</v>
      </c>
      <c r="O2464" t="s">
        <v>19</v>
      </c>
    </row>
    <row r="2465" spans="1:15" x14ac:dyDescent="0.25">
      <c r="A2465" t="s">
        <v>2204</v>
      </c>
      <c r="B2465" t="s">
        <v>15</v>
      </c>
      <c r="C2465" t="s">
        <v>2135</v>
      </c>
      <c r="D2465" t="s">
        <v>17</v>
      </c>
      <c r="E2465" t="s">
        <v>18</v>
      </c>
      <c r="F2465" t="s">
        <v>19</v>
      </c>
      <c r="G2465" t="s">
        <v>20</v>
      </c>
      <c r="J2465" t="s">
        <v>17</v>
      </c>
      <c r="K2465" t="str">
        <f>"616005282"</f>
        <v>616005282</v>
      </c>
      <c r="L2465" t="str">
        <f>"616005282"</f>
        <v>616005282</v>
      </c>
      <c r="M2465" t="s">
        <v>84</v>
      </c>
      <c r="N2465" s="1">
        <v>43320.712500000001</v>
      </c>
      <c r="O2465" t="s">
        <v>19</v>
      </c>
    </row>
    <row r="2466" spans="1:15" x14ac:dyDescent="0.25">
      <c r="A2466" t="s">
        <v>2204</v>
      </c>
      <c r="B2466" t="s">
        <v>15</v>
      </c>
      <c r="C2466" t="s">
        <v>2135</v>
      </c>
      <c r="D2466" t="s">
        <v>17</v>
      </c>
      <c r="E2466" t="s">
        <v>18</v>
      </c>
      <c r="F2466" t="s">
        <v>19</v>
      </c>
      <c r="G2466" t="s">
        <v>20</v>
      </c>
      <c r="J2466" t="s">
        <v>18</v>
      </c>
      <c r="K2466" t="str">
        <f>"1000001013527"</f>
        <v>1000001013527</v>
      </c>
      <c r="L2466" t="str">
        <f>"766005282"</f>
        <v>766005282</v>
      </c>
      <c r="M2466" t="s">
        <v>84</v>
      </c>
      <c r="N2466" s="1">
        <v>43320.917361111111</v>
      </c>
      <c r="O2466" t="s">
        <v>19</v>
      </c>
    </row>
    <row r="2467" spans="1:15" x14ac:dyDescent="0.25">
      <c r="A2467" t="s">
        <v>2204</v>
      </c>
      <c r="B2467" t="s">
        <v>15</v>
      </c>
      <c r="C2467" t="s">
        <v>2135</v>
      </c>
      <c r="D2467" t="s">
        <v>17</v>
      </c>
      <c r="E2467" t="s">
        <v>18</v>
      </c>
      <c r="F2467" t="s">
        <v>19</v>
      </c>
      <c r="G2467" t="s">
        <v>20</v>
      </c>
      <c r="J2467" t="s">
        <v>17</v>
      </c>
      <c r="K2467" t="str">
        <f>"672305282"</f>
        <v>672305282</v>
      </c>
      <c r="L2467" t="str">
        <f>"672305282"</f>
        <v>672305282</v>
      </c>
      <c r="M2467" t="s">
        <v>84</v>
      </c>
      <c r="N2467" s="1">
        <v>43546.95208333333</v>
      </c>
      <c r="O2467" t="s">
        <v>19</v>
      </c>
    </row>
    <row r="2468" spans="1:15" x14ac:dyDescent="0.25">
      <c r="A2468" t="s">
        <v>2205</v>
      </c>
      <c r="B2468" t="s">
        <v>15</v>
      </c>
      <c r="C2468" t="s">
        <v>2135</v>
      </c>
      <c r="D2468" t="s">
        <v>17</v>
      </c>
      <c r="E2468" t="s">
        <v>18</v>
      </c>
      <c r="F2468" t="s">
        <v>19</v>
      </c>
      <c r="G2468" t="s">
        <v>20</v>
      </c>
      <c r="J2468" t="s">
        <v>17</v>
      </c>
      <c r="K2468" t="str">
        <f>"672305317"</f>
        <v>672305317</v>
      </c>
      <c r="L2468" t="str">
        <f>"672305317"</f>
        <v>672305317</v>
      </c>
      <c r="M2468" t="s">
        <v>21</v>
      </c>
      <c r="N2468" s="1">
        <v>43873.772916666669</v>
      </c>
      <c r="O2468" t="s">
        <v>19</v>
      </c>
    </row>
    <row r="2469" spans="1:15" x14ac:dyDescent="0.25">
      <c r="A2469" t="s">
        <v>2205</v>
      </c>
      <c r="B2469" t="s">
        <v>15</v>
      </c>
      <c r="C2469" t="s">
        <v>2135</v>
      </c>
      <c r="D2469" t="s">
        <v>17</v>
      </c>
      <c r="E2469" t="s">
        <v>18</v>
      </c>
      <c r="F2469" t="s">
        <v>19</v>
      </c>
      <c r="G2469" t="s">
        <v>20</v>
      </c>
      <c r="J2469" t="s">
        <v>17</v>
      </c>
      <c r="K2469" t="str">
        <f>"612305317"</f>
        <v>612305317</v>
      </c>
      <c r="L2469" t="str">
        <f>"612305317"</f>
        <v>612305317</v>
      </c>
      <c r="M2469" t="s">
        <v>21</v>
      </c>
      <c r="N2469" s="1">
        <v>44252.865972222222</v>
      </c>
      <c r="O2469" t="s">
        <v>19</v>
      </c>
    </row>
    <row r="2470" spans="1:15" x14ac:dyDescent="0.25">
      <c r="A2470" t="s">
        <v>2206</v>
      </c>
      <c r="B2470" t="s">
        <v>15</v>
      </c>
      <c r="C2470" t="s">
        <v>2135</v>
      </c>
      <c r="D2470" t="s">
        <v>17</v>
      </c>
      <c r="E2470" t="s">
        <v>18</v>
      </c>
      <c r="F2470" t="s">
        <v>19</v>
      </c>
      <c r="G2470" t="s">
        <v>20</v>
      </c>
      <c r="J2470" t="s">
        <v>17</v>
      </c>
      <c r="K2470" t="str">
        <f>"1000001011790"</f>
        <v>1000001011790</v>
      </c>
      <c r="L2470" t="str">
        <f>"762305280"</f>
        <v>762305280</v>
      </c>
      <c r="M2470" t="s">
        <v>75</v>
      </c>
      <c r="N2470" s="1">
        <v>42872.849305555559</v>
      </c>
      <c r="O2470" t="s">
        <v>19</v>
      </c>
    </row>
    <row r="2471" spans="1:15" x14ac:dyDescent="0.25">
      <c r="A2471" t="s">
        <v>2207</v>
      </c>
      <c r="B2471" t="s">
        <v>15</v>
      </c>
      <c r="C2471" t="s">
        <v>2135</v>
      </c>
      <c r="D2471" t="s">
        <v>17</v>
      </c>
      <c r="E2471" t="s">
        <v>18</v>
      </c>
      <c r="F2471" t="s">
        <v>19</v>
      </c>
      <c r="G2471" t="s">
        <v>20</v>
      </c>
      <c r="J2471" t="s">
        <v>17</v>
      </c>
      <c r="K2471" t="str">
        <f>"176005280"</f>
        <v>176005280</v>
      </c>
      <c r="L2471" t="str">
        <f>"176005280"</f>
        <v>176005280</v>
      </c>
      <c r="M2471" t="s">
        <v>75</v>
      </c>
      <c r="N2471" s="1">
        <v>42895.955555555556</v>
      </c>
      <c r="O2471" t="s">
        <v>19</v>
      </c>
    </row>
    <row r="2472" spans="1:15" x14ac:dyDescent="0.25">
      <c r="A2472" t="s">
        <v>2206</v>
      </c>
      <c r="B2472" t="s">
        <v>15</v>
      </c>
      <c r="C2472" t="s">
        <v>2135</v>
      </c>
      <c r="D2472" t="s">
        <v>17</v>
      </c>
      <c r="E2472" t="s">
        <v>18</v>
      </c>
      <c r="F2472" t="s">
        <v>19</v>
      </c>
      <c r="G2472" t="s">
        <v>20</v>
      </c>
      <c r="J2472" t="s">
        <v>17</v>
      </c>
      <c r="K2472" t="str">
        <f>"172305280"</f>
        <v>172305280</v>
      </c>
      <c r="L2472" t="str">
        <f>"172305280"</f>
        <v>172305280</v>
      </c>
      <c r="M2472" t="s">
        <v>75</v>
      </c>
      <c r="N2472" s="1">
        <v>42930.956944444442</v>
      </c>
      <c r="O2472" t="s">
        <v>19</v>
      </c>
    </row>
    <row r="2473" spans="1:15" x14ac:dyDescent="0.25">
      <c r="A2473" t="s">
        <v>2206</v>
      </c>
      <c r="B2473" t="s">
        <v>15</v>
      </c>
      <c r="C2473" t="s">
        <v>2135</v>
      </c>
      <c r="D2473" t="s">
        <v>17</v>
      </c>
      <c r="E2473" t="s">
        <v>18</v>
      </c>
      <c r="F2473" t="s">
        <v>19</v>
      </c>
      <c r="G2473" t="s">
        <v>20</v>
      </c>
      <c r="J2473" t="s">
        <v>17</v>
      </c>
      <c r="K2473" t="str">
        <f>"766005280"</f>
        <v>766005280</v>
      </c>
      <c r="L2473" t="str">
        <f>"766005280"</f>
        <v>766005280</v>
      </c>
      <c r="M2473" t="s">
        <v>75</v>
      </c>
      <c r="N2473" s="1">
        <v>43006.620833333334</v>
      </c>
      <c r="O2473" t="s">
        <v>19</v>
      </c>
    </row>
    <row r="2474" spans="1:15" x14ac:dyDescent="0.25">
      <c r="A2474" t="s">
        <v>2206</v>
      </c>
      <c r="B2474" t="s">
        <v>15</v>
      </c>
      <c r="C2474" t="s">
        <v>2135</v>
      </c>
      <c r="D2474" t="s">
        <v>17</v>
      </c>
      <c r="E2474" t="s">
        <v>18</v>
      </c>
      <c r="F2474" t="s">
        <v>19</v>
      </c>
      <c r="G2474" t="s">
        <v>20</v>
      </c>
      <c r="J2474" t="s">
        <v>17</v>
      </c>
      <c r="K2474" t="str">
        <f>"992305280"</f>
        <v>992305280</v>
      </c>
      <c r="L2474" t="str">
        <f>"992305280"</f>
        <v>992305280</v>
      </c>
      <c r="M2474" t="s">
        <v>75</v>
      </c>
      <c r="N2474" s="1">
        <v>43236.82916666667</v>
      </c>
      <c r="O2474" t="s">
        <v>19</v>
      </c>
    </row>
    <row r="2475" spans="1:15" x14ac:dyDescent="0.25">
      <c r="A2475" t="s">
        <v>2206</v>
      </c>
      <c r="B2475" t="s">
        <v>15</v>
      </c>
      <c r="C2475" t="s">
        <v>2135</v>
      </c>
      <c r="D2475" t="s">
        <v>17</v>
      </c>
      <c r="E2475" t="s">
        <v>18</v>
      </c>
      <c r="F2475" t="s">
        <v>19</v>
      </c>
      <c r="G2475" t="s">
        <v>20</v>
      </c>
      <c r="J2475" t="s">
        <v>17</v>
      </c>
      <c r="K2475" t="str">
        <f>"612305280"</f>
        <v>612305280</v>
      </c>
      <c r="L2475" t="str">
        <f>"612305280"</f>
        <v>612305280</v>
      </c>
      <c r="M2475" t="s">
        <v>21</v>
      </c>
      <c r="N2475" s="1">
        <v>44252.867361111108</v>
      </c>
      <c r="O2475" t="s">
        <v>19</v>
      </c>
    </row>
    <row r="2476" spans="1:15" x14ac:dyDescent="0.25">
      <c r="A2476" t="s">
        <v>2208</v>
      </c>
      <c r="B2476" t="s">
        <v>15</v>
      </c>
      <c r="C2476" t="s">
        <v>2135</v>
      </c>
      <c r="D2476" t="s">
        <v>17</v>
      </c>
      <c r="E2476" t="s">
        <v>18</v>
      </c>
      <c r="F2476" t="s">
        <v>19</v>
      </c>
      <c r="G2476" t="s">
        <v>20</v>
      </c>
      <c r="J2476" t="s">
        <v>17</v>
      </c>
      <c r="K2476" t="str">
        <f>"76230549"</f>
        <v>76230549</v>
      </c>
      <c r="L2476" t="str">
        <f>"76230549"</f>
        <v>76230549</v>
      </c>
      <c r="M2476" t="s">
        <v>75</v>
      </c>
      <c r="N2476" s="1">
        <v>42872.847222222219</v>
      </c>
      <c r="O2476" t="s">
        <v>19</v>
      </c>
    </row>
    <row r="2477" spans="1:15" x14ac:dyDescent="0.25">
      <c r="A2477" t="s">
        <v>2208</v>
      </c>
      <c r="B2477" t="s">
        <v>15</v>
      </c>
      <c r="C2477" t="s">
        <v>2135</v>
      </c>
      <c r="D2477" t="s">
        <v>17</v>
      </c>
      <c r="E2477" t="s">
        <v>18</v>
      </c>
      <c r="F2477" t="s">
        <v>19</v>
      </c>
      <c r="G2477" t="s">
        <v>20</v>
      </c>
      <c r="J2477" t="s">
        <v>17</v>
      </c>
      <c r="K2477" t="str">
        <f>"110760602"</f>
        <v>110760602</v>
      </c>
      <c r="L2477" t="str">
        <f>"110760602"</f>
        <v>110760602</v>
      </c>
      <c r="M2477" t="s">
        <v>75</v>
      </c>
      <c r="N2477" s="1">
        <v>42872.847222222219</v>
      </c>
      <c r="O2477" t="s">
        <v>19</v>
      </c>
    </row>
    <row r="2478" spans="1:15" x14ac:dyDescent="0.25">
      <c r="A2478" t="s">
        <v>2209</v>
      </c>
      <c r="B2478" t="s">
        <v>15</v>
      </c>
      <c r="C2478" t="s">
        <v>2135</v>
      </c>
      <c r="D2478" t="s">
        <v>17</v>
      </c>
      <c r="E2478" t="s">
        <v>18</v>
      </c>
      <c r="F2478" t="s">
        <v>19</v>
      </c>
      <c r="G2478" t="s">
        <v>20</v>
      </c>
      <c r="J2478" t="s">
        <v>17</v>
      </c>
      <c r="K2478" t="str">
        <f>"17230572"</f>
        <v>17230572</v>
      </c>
      <c r="L2478" t="str">
        <f>"17230572"</f>
        <v>17230572</v>
      </c>
      <c r="M2478" t="s">
        <v>75</v>
      </c>
      <c r="N2478" s="1">
        <v>42872.839583333334</v>
      </c>
      <c r="O2478" t="s">
        <v>19</v>
      </c>
    </row>
    <row r="2479" spans="1:15" x14ac:dyDescent="0.25">
      <c r="A2479" t="s">
        <v>2209</v>
      </c>
      <c r="B2479" t="s">
        <v>15</v>
      </c>
      <c r="C2479" t="s">
        <v>2135</v>
      </c>
      <c r="D2479" t="s">
        <v>17</v>
      </c>
      <c r="E2479" t="s">
        <v>18</v>
      </c>
      <c r="F2479" t="s">
        <v>19</v>
      </c>
      <c r="G2479" t="s">
        <v>20</v>
      </c>
      <c r="J2479" t="s">
        <v>17</v>
      </c>
      <c r="K2479" t="str">
        <f>"76230572"</f>
        <v>76230572</v>
      </c>
      <c r="L2479" t="str">
        <f>"76230572"</f>
        <v>76230572</v>
      </c>
      <c r="M2479" t="s">
        <v>75</v>
      </c>
      <c r="N2479" s="1">
        <v>42872.847222222219</v>
      </c>
      <c r="O2479" t="s">
        <v>19</v>
      </c>
    </row>
    <row r="2480" spans="1:15" x14ac:dyDescent="0.25">
      <c r="A2480" t="s">
        <v>2209</v>
      </c>
      <c r="B2480" t="s">
        <v>15</v>
      </c>
      <c r="C2480" t="s">
        <v>2135</v>
      </c>
      <c r="D2480" t="s">
        <v>17</v>
      </c>
      <c r="E2480" t="s">
        <v>18</v>
      </c>
      <c r="F2480" t="s">
        <v>19</v>
      </c>
      <c r="G2480" t="s">
        <v>20</v>
      </c>
      <c r="J2480" t="s">
        <v>17</v>
      </c>
      <c r="K2480" t="str">
        <f>"76230574"</f>
        <v>76230574</v>
      </c>
      <c r="L2480" t="str">
        <f>"76230574"</f>
        <v>76230574</v>
      </c>
      <c r="M2480" t="s">
        <v>75</v>
      </c>
      <c r="N2480" s="1">
        <v>42872.847222222219</v>
      </c>
      <c r="O2480" t="s">
        <v>19</v>
      </c>
    </row>
    <row r="2481" spans="1:15" x14ac:dyDescent="0.25">
      <c r="A2481" t="s">
        <v>2209</v>
      </c>
      <c r="B2481" t="s">
        <v>15</v>
      </c>
      <c r="C2481" t="s">
        <v>2135</v>
      </c>
      <c r="D2481" t="s">
        <v>17</v>
      </c>
      <c r="E2481" t="s">
        <v>18</v>
      </c>
      <c r="F2481" t="s">
        <v>19</v>
      </c>
      <c r="G2481" t="s">
        <v>20</v>
      </c>
      <c r="J2481" t="s">
        <v>17</v>
      </c>
      <c r="K2481" t="str">
        <f>"76550572"</f>
        <v>76550572</v>
      </c>
      <c r="L2481" t="str">
        <f>"76550572"</f>
        <v>76550572</v>
      </c>
      <c r="M2481" t="s">
        <v>75</v>
      </c>
      <c r="N2481" s="1">
        <v>42872.847222222219</v>
      </c>
      <c r="O2481" t="s">
        <v>19</v>
      </c>
    </row>
    <row r="2482" spans="1:15" x14ac:dyDescent="0.25">
      <c r="A2482" t="s">
        <v>2209</v>
      </c>
      <c r="B2482" t="s">
        <v>15</v>
      </c>
      <c r="C2482" t="s">
        <v>2135</v>
      </c>
      <c r="D2482" t="s">
        <v>17</v>
      </c>
      <c r="E2482" t="s">
        <v>18</v>
      </c>
      <c r="F2482" t="s">
        <v>19</v>
      </c>
      <c r="G2482" t="s">
        <v>20</v>
      </c>
      <c r="J2482" t="s">
        <v>17</v>
      </c>
      <c r="K2482" t="str">
        <f>"76600572"</f>
        <v>76600572</v>
      </c>
      <c r="L2482" t="str">
        <f>"76600572"</f>
        <v>76600572</v>
      </c>
      <c r="M2482" t="s">
        <v>75</v>
      </c>
      <c r="N2482" s="1">
        <v>42872.847222222219</v>
      </c>
      <c r="O2482" t="s">
        <v>19</v>
      </c>
    </row>
    <row r="2483" spans="1:15" x14ac:dyDescent="0.25">
      <c r="A2483" t="s">
        <v>2209</v>
      </c>
      <c r="B2483" t="s">
        <v>15</v>
      </c>
      <c r="C2483" t="s">
        <v>2135</v>
      </c>
      <c r="D2483" t="s">
        <v>17</v>
      </c>
      <c r="E2483" t="s">
        <v>18</v>
      </c>
      <c r="F2483" t="s">
        <v>19</v>
      </c>
      <c r="G2483" t="s">
        <v>20</v>
      </c>
      <c r="J2483" t="s">
        <v>17</v>
      </c>
      <c r="K2483" t="str">
        <f>"76600574"</f>
        <v>76600574</v>
      </c>
      <c r="L2483" t="str">
        <f>"76600574"</f>
        <v>76600574</v>
      </c>
      <c r="M2483" t="s">
        <v>75</v>
      </c>
      <c r="N2483" s="1">
        <v>42872.847222222219</v>
      </c>
      <c r="O2483" t="s">
        <v>19</v>
      </c>
    </row>
    <row r="2484" spans="1:15" x14ac:dyDescent="0.25">
      <c r="A2484" t="s">
        <v>2209</v>
      </c>
      <c r="B2484" t="s">
        <v>15</v>
      </c>
      <c r="C2484" t="s">
        <v>2135</v>
      </c>
      <c r="D2484" t="s">
        <v>17</v>
      </c>
      <c r="E2484" t="s">
        <v>18</v>
      </c>
      <c r="F2484" t="s">
        <v>19</v>
      </c>
      <c r="G2484" t="s">
        <v>20</v>
      </c>
      <c r="J2484" t="s">
        <v>17</v>
      </c>
      <c r="K2484" t="str">
        <f>"76550574"</f>
        <v>76550574</v>
      </c>
      <c r="L2484" t="str">
        <f>"76550574"</f>
        <v>76550574</v>
      </c>
      <c r="M2484" t="s">
        <v>75</v>
      </c>
      <c r="N2484" s="1">
        <v>42872.847222222219</v>
      </c>
      <c r="O2484" t="s">
        <v>19</v>
      </c>
    </row>
    <row r="2485" spans="1:15" x14ac:dyDescent="0.25">
      <c r="A2485" t="s">
        <v>2209</v>
      </c>
      <c r="B2485" t="s">
        <v>15</v>
      </c>
      <c r="C2485" t="s">
        <v>2135</v>
      </c>
      <c r="D2485" t="s">
        <v>17</v>
      </c>
      <c r="E2485" t="s">
        <v>18</v>
      </c>
      <c r="F2485" t="s">
        <v>19</v>
      </c>
      <c r="G2485" t="s">
        <v>20</v>
      </c>
      <c r="J2485" t="s">
        <v>17</v>
      </c>
      <c r="K2485" t="str">
        <f>"76630572"</f>
        <v>76630572</v>
      </c>
      <c r="L2485" t="str">
        <f>"76630572"</f>
        <v>76630572</v>
      </c>
      <c r="M2485" t="s">
        <v>75</v>
      </c>
      <c r="N2485" s="1">
        <v>42872.847222222219</v>
      </c>
      <c r="O2485" t="s">
        <v>19</v>
      </c>
    </row>
    <row r="2486" spans="1:15" x14ac:dyDescent="0.25">
      <c r="A2486" t="s">
        <v>2209</v>
      </c>
      <c r="B2486" t="s">
        <v>15</v>
      </c>
      <c r="C2486" t="s">
        <v>2135</v>
      </c>
      <c r="D2486" t="s">
        <v>17</v>
      </c>
      <c r="E2486" t="s">
        <v>18</v>
      </c>
      <c r="F2486" t="s">
        <v>19</v>
      </c>
      <c r="G2486" t="s">
        <v>20</v>
      </c>
      <c r="J2486" t="s">
        <v>17</v>
      </c>
      <c r="K2486" t="str">
        <f>"76630574"</f>
        <v>76630574</v>
      </c>
      <c r="L2486" t="str">
        <f>"76630574"</f>
        <v>76630574</v>
      </c>
      <c r="M2486" t="s">
        <v>75</v>
      </c>
      <c r="N2486" s="1">
        <v>42872.847222222219</v>
      </c>
      <c r="O2486" t="s">
        <v>19</v>
      </c>
    </row>
    <row r="2487" spans="1:15" x14ac:dyDescent="0.25">
      <c r="A2487" t="s">
        <v>2210</v>
      </c>
      <c r="B2487" t="s">
        <v>15</v>
      </c>
      <c r="C2487" t="s">
        <v>2135</v>
      </c>
      <c r="D2487" t="s">
        <v>17</v>
      </c>
      <c r="E2487" t="s">
        <v>18</v>
      </c>
      <c r="F2487" t="s">
        <v>19</v>
      </c>
      <c r="G2487" t="s">
        <v>20</v>
      </c>
      <c r="J2487" t="s">
        <v>17</v>
      </c>
      <c r="K2487" t="str">
        <f>"172305118"</f>
        <v>172305118</v>
      </c>
      <c r="L2487" t="str">
        <f>"172305118"</f>
        <v>172305118</v>
      </c>
      <c r="M2487" t="s">
        <v>75</v>
      </c>
      <c r="N2487" s="1">
        <v>42872.847222222219</v>
      </c>
      <c r="O2487" t="s">
        <v>19</v>
      </c>
    </row>
    <row r="2488" spans="1:15" x14ac:dyDescent="0.25">
      <c r="A2488" t="s">
        <v>2211</v>
      </c>
      <c r="B2488" t="s">
        <v>15</v>
      </c>
      <c r="C2488" t="s">
        <v>2135</v>
      </c>
      <c r="D2488" t="s">
        <v>17</v>
      </c>
      <c r="E2488" t="s">
        <v>18</v>
      </c>
      <c r="F2488" t="s">
        <v>19</v>
      </c>
      <c r="G2488" t="s">
        <v>20</v>
      </c>
      <c r="J2488" t="s">
        <v>17</v>
      </c>
      <c r="K2488" t="str">
        <f>"762305329"</f>
        <v>762305329</v>
      </c>
      <c r="L2488" t="str">
        <f>"762305329"</f>
        <v>762305329</v>
      </c>
      <c r="M2488" t="s">
        <v>21</v>
      </c>
      <c r="N2488" s="1">
        <v>44210.927083333336</v>
      </c>
      <c r="O2488" t="s">
        <v>19</v>
      </c>
    </row>
    <row r="2489" spans="1:15" x14ac:dyDescent="0.25">
      <c r="A2489" t="s">
        <v>2212</v>
      </c>
      <c r="B2489" t="s">
        <v>15</v>
      </c>
      <c r="C2489" t="s">
        <v>2135</v>
      </c>
      <c r="D2489" t="s">
        <v>17</v>
      </c>
      <c r="E2489" t="s">
        <v>18</v>
      </c>
      <c r="F2489" t="s">
        <v>19</v>
      </c>
      <c r="G2489" t="s">
        <v>20</v>
      </c>
      <c r="J2489" t="s">
        <v>17</v>
      </c>
      <c r="K2489" t="str">
        <f>"766005160"</f>
        <v>766005160</v>
      </c>
      <c r="L2489" t="str">
        <f>"766005160"</f>
        <v>766005160</v>
      </c>
      <c r="M2489" t="s">
        <v>75</v>
      </c>
      <c r="N2489" s="1">
        <v>43045.738194444442</v>
      </c>
      <c r="O2489" t="s">
        <v>19</v>
      </c>
    </row>
    <row r="2490" spans="1:15" x14ac:dyDescent="0.25">
      <c r="A2490" t="s">
        <v>2212</v>
      </c>
      <c r="B2490" t="s">
        <v>15</v>
      </c>
      <c r="C2490" t="s">
        <v>2135</v>
      </c>
      <c r="D2490" t="s">
        <v>17</v>
      </c>
      <c r="E2490" t="s">
        <v>18</v>
      </c>
      <c r="F2490" t="s">
        <v>19</v>
      </c>
      <c r="G2490" t="s">
        <v>20</v>
      </c>
      <c r="J2490" t="s">
        <v>17</v>
      </c>
      <c r="K2490" t="str">
        <f>"762305160"</f>
        <v>762305160</v>
      </c>
      <c r="L2490" t="str">
        <f>"762305160"</f>
        <v>762305160</v>
      </c>
      <c r="M2490" t="s">
        <v>84</v>
      </c>
      <c r="N2490" s="1">
        <v>43307.663194444445</v>
      </c>
      <c r="O2490" t="s">
        <v>19</v>
      </c>
    </row>
    <row r="2491" spans="1:15" x14ac:dyDescent="0.25">
      <c r="A2491" t="s">
        <v>2213</v>
      </c>
      <c r="B2491" t="s">
        <v>15</v>
      </c>
      <c r="C2491" t="s">
        <v>2135</v>
      </c>
      <c r="D2491" t="s">
        <v>17</v>
      </c>
      <c r="E2491" t="s">
        <v>18</v>
      </c>
      <c r="F2491" t="s">
        <v>19</v>
      </c>
      <c r="G2491" t="s">
        <v>20</v>
      </c>
      <c r="J2491" t="s">
        <v>17</v>
      </c>
      <c r="K2491" t="str">
        <f>"992305162"</f>
        <v>992305162</v>
      </c>
      <c r="L2491" t="str">
        <f>"992305162"</f>
        <v>992305162</v>
      </c>
      <c r="M2491" t="s">
        <v>75</v>
      </c>
      <c r="N2491" s="1">
        <v>43244.879861111112</v>
      </c>
      <c r="O2491" t="s">
        <v>19</v>
      </c>
    </row>
    <row r="2492" spans="1:15" x14ac:dyDescent="0.25">
      <c r="A2492" t="s">
        <v>2213</v>
      </c>
      <c r="B2492" t="s">
        <v>15</v>
      </c>
      <c r="C2492" t="s">
        <v>2135</v>
      </c>
      <c r="D2492" t="s">
        <v>17</v>
      </c>
      <c r="E2492" t="s">
        <v>18</v>
      </c>
      <c r="F2492" t="s">
        <v>19</v>
      </c>
      <c r="G2492" t="s">
        <v>20</v>
      </c>
      <c r="J2492" t="s">
        <v>17</v>
      </c>
      <c r="K2492" t="str">
        <f>"762305162"</f>
        <v>762305162</v>
      </c>
      <c r="L2492" t="str">
        <f>"762305162"</f>
        <v>762305162</v>
      </c>
      <c r="M2492" t="s">
        <v>84</v>
      </c>
      <c r="N2492" s="1">
        <v>43258.792361111111</v>
      </c>
      <c r="O2492" t="s">
        <v>19</v>
      </c>
    </row>
    <row r="2493" spans="1:15" x14ac:dyDescent="0.25">
      <c r="A2493" t="s">
        <v>2213</v>
      </c>
      <c r="B2493" t="s">
        <v>15</v>
      </c>
      <c r="C2493" t="s">
        <v>2135</v>
      </c>
      <c r="D2493" t="s">
        <v>17</v>
      </c>
      <c r="E2493" t="s">
        <v>18</v>
      </c>
      <c r="F2493" t="s">
        <v>19</v>
      </c>
      <c r="G2493" t="s">
        <v>20</v>
      </c>
      <c r="J2493" t="s">
        <v>17</v>
      </c>
      <c r="K2493" t="str">
        <f>"612305162"</f>
        <v>612305162</v>
      </c>
      <c r="L2493" t="str">
        <f>"612305162"</f>
        <v>612305162</v>
      </c>
      <c r="M2493" t="s">
        <v>84</v>
      </c>
      <c r="N2493" s="1">
        <v>43320.712500000001</v>
      </c>
      <c r="O2493" t="s">
        <v>19</v>
      </c>
    </row>
    <row r="2494" spans="1:15" x14ac:dyDescent="0.25">
      <c r="A2494" t="s">
        <v>2213</v>
      </c>
      <c r="B2494" t="s">
        <v>15</v>
      </c>
      <c r="C2494" t="s">
        <v>2135</v>
      </c>
      <c r="D2494" t="s">
        <v>17</v>
      </c>
      <c r="E2494" t="s">
        <v>18</v>
      </c>
      <c r="F2494" t="s">
        <v>19</v>
      </c>
      <c r="G2494" t="s">
        <v>20</v>
      </c>
      <c r="J2494" t="s">
        <v>17</v>
      </c>
      <c r="K2494" t="str">
        <f>"616005162"</f>
        <v>616005162</v>
      </c>
      <c r="L2494" t="str">
        <f>"616005162"</f>
        <v>616005162</v>
      </c>
      <c r="M2494" t="s">
        <v>84</v>
      </c>
      <c r="N2494" s="1">
        <v>43420.702777777777</v>
      </c>
      <c r="O2494" t="s">
        <v>19</v>
      </c>
    </row>
    <row r="2495" spans="1:15" x14ac:dyDescent="0.25">
      <c r="A2495" t="s">
        <v>2213</v>
      </c>
      <c r="B2495" t="s">
        <v>15</v>
      </c>
      <c r="C2495" t="s">
        <v>2135</v>
      </c>
      <c r="D2495" t="s">
        <v>17</v>
      </c>
      <c r="E2495" t="s">
        <v>18</v>
      </c>
      <c r="F2495" t="s">
        <v>19</v>
      </c>
      <c r="G2495" t="s">
        <v>20</v>
      </c>
      <c r="J2495" t="s">
        <v>17</v>
      </c>
      <c r="K2495" t="str">
        <f>"322305162"</f>
        <v>322305162</v>
      </c>
      <c r="L2495" t="str">
        <f>"322305162"</f>
        <v>322305162</v>
      </c>
      <c r="M2495" t="s">
        <v>84</v>
      </c>
      <c r="N2495" s="1">
        <v>43502.781944444447</v>
      </c>
      <c r="O2495" t="s">
        <v>19</v>
      </c>
    </row>
    <row r="2496" spans="1:15" x14ac:dyDescent="0.25">
      <c r="A2496" t="s">
        <v>2213</v>
      </c>
      <c r="B2496" t="s">
        <v>15</v>
      </c>
      <c r="C2496" t="s">
        <v>2135</v>
      </c>
      <c r="D2496" t="s">
        <v>17</v>
      </c>
      <c r="E2496" t="s">
        <v>18</v>
      </c>
      <c r="F2496" t="s">
        <v>19</v>
      </c>
      <c r="G2496" t="s">
        <v>20</v>
      </c>
      <c r="J2496" t="s">
        <v>17</v>
      </c>
      <c r="K2496" t="str">
        <f>"672305162"</f>
        <v>672305162</v>
      </c>
      <c r="L2496" t="str">
        <f>"672305162"</f>
        <v>672305162</v>
      </c>
      <c r="M2496" t="s">
        <v>21</v>
      </c>
      <c r="N2496" s="1">
        <v>43873.773611111108</v>
      </c>
      <c r="O2496" t="s">
        <v>19</v>
      </c>
    </row>
    <row r="2497" spans="1:15" x14ac:dyDescent="0.25">
      <c r="A2497" t="s">
        <v>2214</v>
      </c>
      <c r="B2497" t="s">
        <v>15</v>
      </c>
      <c r="C2497" t="s">
        <v>2135</v>
      </c>
      <c r="D2497" t="s">
        <v>17</v>
      </c>
      <c r="E2497" t="s">
        <v>18</v>
      </c>
      <c r="F2497" t="s">
        <v>19</v>
      </c>
      <c r="G2497" t="s">
        <v>20</v>
      </c>
      <c r="J2497" t="s">
        <v>17</v>
      </c>
      <c r="K2497" t="str">
        <f>"762305317"</f>
        <v>762305317</v>
      </c>
      <c r="L2497" t="str">
        <f>"762305317"</f>
        <v>762305317</v>
      </c>
      <c r="M2497" t="s">
        <v>75</v>
      </c>
      <c r="N2497" s="1">
        <v>43176.695833333331</v>
      </c>
      <c r="O2497" t="s">
        <v>19</v>
      </c>
    </row>
    <row r="2498" spans="1:15" x14ac:dyDescent="0.25">
      <c r="A2498" t="s">
        <v>2214</v>
      </c>
      <c r="B2498" t="s">
        <v>15</v>
      </c>
      <c r="C2498" t="s">
        <v>2135</v>
      </c>
      <c r="D2498" t="s">
        <v>17</v>
      </c>
      <c r="E2498" t="s">
        <v>18</v>
      </c>
      <c r="F2498" t="s">
        <v>19</v>
      </c>
      <c r="G2498" t="s">
        <v>20</v>
      </c>
      <c r="J2498" t="s">
        <v>17</v>
      </c>
      <c r="K2498" t="str">
        <f>"762305315"</f>
        <v>762305315</v>
      </c>
      <c r="L2498" t="str">
        <f>"762305315"</f>
        <v>762305315</v>
      </c>
      <c r="M2498" t="s">
        <v>21</v>
      </c>
      <c r="N2498" s="1">
        <v>43754.869444444441</v>
      </c>
      <c r="O2498" t="s">
        <v>19</v>
      </c>
    </row>
    <row r="2499" spans="1:15" x14ac:dyDescent="0.25">
      <c r="A2499" t="s">
        <v>2214</v>
      </c>
      <c r="B2499" t="s">
        <v>15</v>
      </c>
      <c r="C2499" t="s">
        <v>2135</v>
      </c>
      <c r="D2499" t="s">
        <v>17</v>
      </c>
      <c r="E2499" t="s">
        <v>18</v>
      </c>
      <c r="F2499" t="s">
        <v>19</v>
      </c>
      <c r="G2499" t="s">
        <v>20</v>
      </c>
      <c r="J2499" t="s">
        <v>17</v>
      </c>
      <c r="K2499" t="str">
        <f>"672305315"</f>
        <v>672305315</v>
      </c>
      <c r="L2499" t="str">
        <f>"672305315"</f>
        <v>672305315</v>
      </c>
      <c r="M2499" t="s">
        <v>21</v>
      </c>
      <c r="N2499" s="1">
        <v>43873.767361111109</v>
      </c>
      <c r="O2499" t="s">
        <v>19</v>
      </c>
    </row>
    <row r="2500" spans="1:15" x14ac:dyDescent="0.25">
      <c r="A2500" t="s">
        <v>2215</v>
      </c>
      <c r="B2500" t="s">
        <v>15</v>
      </c>
      <c r="C2500" t="s">
        <v>2135</v>
      </c>
      <c r="D2500" t="s">
        <v>17</v>
      </c>
      <c r="E2500" t="s">
        <v>18</v>
      </c>
      <c r="F2500" t="s">
        <v>19</v>
      </c>
      <c r="G2500" t="s">
        <v>20</v>
      </c>
      <c r="J2500" t="s">
        <v>17</v>
      </c>
      <c r="K2500" t="str">
        <f>"762305324"</f>
        <v>762305324</v>
      </c>
      <c r="L2500" t="str">
        <f>"762305324"</f>
        <v>762305324</v>
      </c>
      <c r="M2500" t="s">
        <v>21</v>
      </c>
      <c r="N2500" s="1">
        <v>44210.929861111108</v>
      </c>
      <c r="O2500" t="s">
        <v>19</v>
      </c>
    </row>
    <row r="2501" spans="1:15" x14ac:dyDescent="0.25">
      <c r="A2501" t="s">
        <v>2216</v>
      </c>
      <c r="B2501" t="s">
        <v>15</v>
      </c>
      <c r="C2501" t="s">
        <v>2135</v>
      </c>
      <c r="D2501" t="s">
        <v>17</v>
      </c>
      <c r="E2501" t="s">
        <v>18</v>
      </c>
      <c r="F2501" t="s">
        <v>19</v>
      </c>
      <c r="G2501" t="s">
        <v>20</v>
      </c>
      <c r="J2501" t="s">
        <v>17</v>
      </c>
      <c r="K2501" t="str">
        <f>"672305310"</f>
        <v>672305310</v>
      </c>
      <c r="L2501" t="str">
        <f>"672305310"</f>
        <v>672305310</v>
      </c>
      <c r="M2501" t="s">
        <v>84</v>
      </c>
      <c r="N2501" s="1">
        <v>43502.654166666667</v>
      </c>
      <c r="O2501" t="s">
        <v>19</v>
      </c>
    </row>
    <row r="2502" spans="1:15" x14ac:dyDescent="0.25">
      <c r="A2502" t="s">
        <v>2216</v>
      </c>
      <c r="B2502" t="s">
        <v>15</v>
      </c>
      <c r="C2502" t="s">
        <v>2135</v>
      </c>
      <c r="D2502" t="s">
        <v>17</v>
      </c>
      <c r="E2502" t="s">
        <v>18</v>
      </c>
      <c r="F2502" t="s">
        <v>19</v>
      </c>
      <c r="G2502" t="s">
        <v>20</v>
      </c>
      <c r="J2502" t="s">
        <v>17</v>
      </c>
      <c r="K2502" t="str">
        <f>"762305310"</f>
        <v>762305310</v>
      </c>
      <c r="L2502" t="str">
        <f>"762305310"</f>
        <v>762305310</v>
      </c>
      <c r="M2502" t="s">
        <v>21</v>
      </c>
      <c r="N2502" s="1">
        <v>43719.823611111111</v>
      </c>
      <c r="O2502" t="s">
        <v>19</v>
      </c>
    </row>
    <row r="2503" spans="1:15" x14ac:dyDescent="0.25">
      <c r="A2503" t="s">
        <v>2216</v>
      </c>
      <c r="B2503" t="s">
        <v>15</v>
      </c>
      <c r="C2503" t="s">
        <v>2135</v>
      </c>
      <c r="D2503" t="s">
        <v>17</v>
      </c>
      <c r="E2503" t="s">
        <v>18</v>
      </c>
      <c r="F2503" t="s">
        <v>19</v>
      </c>
      <c r="G2503" t="s">
        <v>20</v>
      </c>
      <c r="J2503" t="s">
        <v>17</v>
      </c>
      <c r="K2503" t="str">
        <f>"612305310"</f>
        <v>612305310</v>
      </c>
      <c r="L2503" t="str">
        <f>"612305310"</f>
        <v>612305310</v>
      </c>
      <c r="M2503" t="s">
        <v>21</v>
      </c>
      <c r="N2503" s="1">
        <v>44252.865277777775</v>
      </c>
      <c r="O2503" t="s">
        <v>19</v>
      </c>
    </row>
    <row r="2504" spans="1:15" x14ac:dyDescent="0.25">
      <c r="A2504" t="s">
        <v>2217</v>
      </c>
      <c r="B2504" t="s">
        <v>15</v>
      </c>
      <c r="C2504" t="s">
        <v>2135</v>
      </c>
      <c r="D2504" t="s">
        <v>17</v>
      </c>
      <c r="E2504" t="s">
        <v>18</v>
      </c>
      <c r="F2504" t="s">
        <v>19</v>
      </c>
      <c r="G2504" t="s">
        <v>20</v>
      </c>
      <c r="J2504" t="s">
        <v>17</v>
      </c>
      <c r="K2504" t="str">
        <f>"762305319"</f>
        <v>762305319</v>
      </c>
      <c r="L2504" t="str">
        <f>"612305319"</f>
        <v>612305319</v>
      </c>
      <c r="M2504" t="s">
        <v>21</v>
      </c>
      <c r="N2504" s="1">
        <v>43873.659722222219</v>
      </c>
      <c r="O2504" t="s">
        <v>19</v>
      </c>
    </row>
    <row r="2505" spans="1:15" x14ac:dyDescent="0.25">
      <c r="A2505" t="s">
        <v>2218</v>
      </c>
      <c r="B2505" t="s">
        <v>15</v>
      </c>
      <c r="C2505" t="s">
        <v>2135</v>
      </c>
      <c r="D2505" t="s">
        <v>17</v>
      </c>
      <c r="E2505" t="s">
        <v>18</v>
      </c>
      <c r="F2505" t="s">
        <v>19</v>
      </c>
      <c r="G2505" t="s">
        <v>20</v>
      </c>
      <c r="J2505" t="s">
        <v>17</v>
      </c>
      <c r="K2505" t="str">
        <f>"992305161"</f>
        <v>992305161</v>
      </c>
      <c r="L2505" t="str">
        <f>"612305161"</f>
        <v>612305161</v>
      </c>
      <c r="M2505" t="s">
        <v>21</v>
      </c>
      <c r="N2505" s="1">
        <v>43244.879166666666</v>
      </c>
      <c r="O2505" t="s">
        <v>19</v>
      </c>
    </row>
    <row r="2506" spans="1:15" x14ac:dyDescent="0.25">
      <c r="A2506" t="s">
        <v>2218</v>
      </c>
      <c r="B2506" t="s">
        <v>15</v>
      </c>
      <c r="C2506" t="s">
        <v>2135</v>
      </c>
      <c r="D2506" t="s">
        <v>17</v>
      </c>
      <c r="E2506" t="s">
        <v>18</v>
      </c>
      <c r="F2506" t="s">
        <v>19</v>
      </c>
      <c r="G2506" t="s">
        <v>20</v>
      </c>
      <c r="J2506" t="s">
        <v>17</v>
      </c>
      <c r="K2506" t="str">
        <f>"762305161"</f>
        <v>762305161</v>
      </c>
      <c r="L2506" t="str">
        <f>"762305161"</f>
        <v>762305161</v>
      </c>
      <c r="M2506" t="s">
        <v>84</v>
      </c>
      <c r="N2506" s="1">
        <v>43258.789583333331</v>
      </c>
      <c r="O2506" t="s">
        <v>19</v>
      </c>
    </row>
    <row r="2507" spans="1:15" x14ac:dyDescent="0.25">
      <c r="A2507" t="s">
        <v>2218</v>
      </c>
      <c r="B2507" t="s">
        <v>15</v>
      </c>
      <c r="C2507" t="s">
        <v>2135</v>
      </c>
      <c r="D2507" t="s">
        <v>17</v>
      </c>
      <c r="E2507" t="s">
        <v>18</v>
      </c>
      <c r="F2507" t="s">
        <v>19</v>
      </c>
      <c r="G2507" t="s">
        <v>20</v>
      </c>
      <c r="J2507" t="s">
        <v>17</v>
      </c>
      <c r="K2507" t="str">
        <f>"762305320"</f>
        <v>762305320</v>
      </c>
      <c r="L2507" t="str">
        <f>"762305320"</f>
        <v>762305320</v>
      </c>
      <c r="M2507" t="s">
        <v>21</v>
      </c>
      <c r="N2507" s="1">
        <v>44210.929166666669</v>
      </c>
      <c r="O2507" t="s">
        <v>19</v>
      </c>
    </row>
    <row r="2508" spans="1:15" x14ac:dyDescent="0.25">
      <c r="A2508" t="s">
        <v>2218</v>
      </c>
      <c r="B2508" t="s">
        <v>15</v>
      </c>
      <c r="C2508" t="s">
        <v>2135</v>
      </c>
      <c r="D2508" t="s">
        <v>17</v>
      </c>
      <c r="E2508" t="s">
        <v>18</v>
      </c>
      <c r="F2508" t="s">
        <v>19</v>
      </c>
      <c r="G2508" t="s">
        <v>20</v>
      </c>
      <c r="J2508" t="s">
        <v>17</v>
      </c>
      <c r="K2508" t="str">
        <f>"612305320"</f>
        <v>612305320</v>
      </c>
      <c r="L2508" t="str">
        <f>"612305320"</f>
        <v>612305320</v>
      </c>
      <c r="M2508" t="s">
        <v>21</v>
      </c>
      <c r="N2508" s="1">
        <v>44252.864583333336</v>
      </c>
      <c r="O2508" t="s">
        <v>19</v>
      </c>
    </row>
    <row r="2509" spans="1:15" x14ac:dyDescent="0.25">
      <c r="A2509" t="s">
        <v>2219</v>
      </c>
      <c r="B2509" t="s">
        <v>15</v>
      </c>
      <c r="C2509" t="s">
        <v>2135</v>
      </c>
      <c r="D2509" t="s">
        <v>17</v>
      </c>
      <c r="E2509" t="s">
        <v>18</v>
      </c>
      <c r="F2509" t="s">
        <v>19</v>
      </c>
      <c r="G2509" t="s">
        <v>20</v>
      </c>
      <c r="J2509" t="s">
        <v>17</v>
      </c>
      <c r="K2509" t="str">
        <f>"172309108"</f>
        <v>172309108</v>
      </c>
      <c r="L2509" t="str">
        <f>"172309108"</f>
        <v>172309108</v>
      </c>
      <c r="M2509" t="s">
        <v>75</v>
      </c>
      <c r="N2509" s="1">
        <v>42872.847222222219</v>
      </c>
      <c r="O2509" t="s">
        <v>19</v>
      </c>
    </row>
    <row r="2510" spans="1:15" x14ac:dyDescent="0.25">
      <c r="A2510" t="s">
        <v>2220</v>
      </c>
      <c r="B2510" t="s">
        <v>15</v>
      </c>
      <c r="C2510" t="s">
        <v>2135</v>
      </c>
      <c r="D2510" t="s">
        <v>17</v>
      </c>
      <c r="E2510" t="s">
        <v>18</v>
      </c>
      <c r="F2510" t="s">
        <v>19</v>
      </c>
      <c r="G2510" t="s">
        <v>20</v>
      </c>
      <c r="J2510" t="s">
        <v>17</v>
      </c>
      <c r="K2510" t="str">
        <f>"32230717"</f>
        <v>32230717</v>
      </c>
      <c r="L2510" t="str">
        <f>"32230717"</f>
        <v>32230717</v>
      </c>
      <c r="M2510" t="s">
        <v>75</v>
      </c>
      <c r="N2510" s="1">
        <v>42872.839583333334</v>
      </c>
      <c r="O2510" t="s">
        <v>19</v>
      </c>
    </row>
    <row r="2511" spans="1:15" x14ac:dyDescent="0.25">
      <c r="A2511" t="s">
        <v>2221</v>
      </c>
      <c r="B2511" t="s">
        <v>15</v>
      </c>
      <c r="C2511" t="s">
        <v>2135</v>
      </c>
      <c r="D2511" t="s">
        <v>17</v>
      </c>
      <c r="E2511" t="s">
        <v>18</v>
      </c>
      <c r="F2511" t="s">
        <v>19</v>
      </c>
      <c r="G2511" t="s">
        <v>20</v>
      </c>
      <c r="J2511" t="s">
        <v>17</v>
      </c>
      <c r="K2511" t="str">
        <f>"17230714"</f>
        <v>17230714</v>
      </c>
      <c r="L2511" t="str">
        <f>"17230714"</f>
        <v>17230714</v>
      </c>
      <c r="M2511" t="s">
        <v>75</v>
      </c>
      <c r="N2511" s="1">
        <v>42872.839583333334</v>
      </c>
      <c r="O2511" t="s">
        <v>19</v>
      </c>
    </row>
    <row r="2512" spans="1:15" x14ac:dyDescent="0.25">
      <c r="A2512" t="s">
        <v>2221</v>
      </c>
      <c r="B2512" t="s">
        <v>15</v>
      </c>
      <c r="C2512" t="s">
        <v>2135</v>
      </c>
      <c r="D2512" t="s">
        <v>17</v>
      </c>
      <c r="E2512" t="s">
        <v>18</v>
      </c>
      <c r="F2512" t="s">
        <v>19</v>
      </c>
      <c r="G2512" t="s">
        <v>20</v>
      </c>
      <c r="J2512" t="s">
        <v>17</v>
      </c>
      <c r="K2512" t="str">
        <f>"76720714"</f>
        <v>76720714</v>
      </c>
      <c r="L2512" t="str">
        <f>"76720714"</f>
        <v>76720714</v>
      </c>
      <c r="M2512" t="s">
        <v>75</v>
      </c>
      <c r="N2512" s="1">
        <v>42872.847222222219</v>
      </c>
      <c r="O2512" t="s">
        <v>19</v>
      </c>
    </row>
    <row r="2513" spans="1:15" x14ac:dyDescent="0.25">
      <c r="A2513" t="s">
        <v>2222</v>
      </c>
      <c r="B2513" t="s">
        <v>15</v>
      </c>
      <c r="C2513" t="s">
        <v>2135</v>
      </c>
      <c r="D2513" t="s">
        <v>17</v>
      </c>
      <c r="E2513" t="s">
        <v>18</v>
      </c>
      <c r="F2513" t="s">
        <v>19</v>
      </c>
      <c r="G2513" t="s">
        <v>20</v>
      </c>
      <c r="J2513" t="s">
        <v>17</v>
      </c>
      <c r="K2513" t="str">
        <f>"76600714"</f>
        <v>76600714</v>
      </c>
      <c r="L2513" t="str">
        <f>"76600714"</f>
        <v>76600714</v>
      </c>
      <c r="M2513" t="s">
        <v>75</v>
      </c>
      <c r="N2513" s="1">
        <v>42872.847222222219</v>
      </c>
      <c r="O2513" t="s">
        <v>19</v>
      </c>
    </row>
    <row r="2514" spans="1:15" x14ac:dyDescent="0.25">
      <c r="A2514" t="s">
        <v>2223</v>
      </c>
      <c r="B2514" t="s">
        <v>15</v>
      </c>
      <c r="C2514" t="s">
        <v>2135</v>
      </c>
      <c r="D2514" t="s">
        <v>17</v>
      </c>
      <c r="E2514" t="s">
        <v>18</v>
      </c>
      <c r="F2514" t="s">
        <v>19</v>
      </c>
      <c r="G2514" t="s">
        <v>20</v>
      </c>
      <c r="J2514" t="s">
        <v>17</v>
      </c>
      <c r="K2514" t="str">
        <f>"76230714"</f>
        <v>76230714</v>
      </c>
      <c r="L2514" t="str">
        <f>"76230714"</f>
        <v>76230714</v>
      </c>
      <c r="M2514" t="s">
        <v>75</v>
      </c>
      <c r="N2514" s="1">
        <v>42872.847222222219</v>
      </c>
      <c r="O2514" t="s">
        <v>19</v>
      </c>
    </row>
    <row r="2515" spans="1:15" x14ac:dyDescent="0.25">
      <c r="A2515" t="s">
        <v>2224</v>
      </c>
      <c r="B2515" t="s">
        <v>15</v>
      </c>
      <c r="C2515" t="s">
        <v>2135</v>
      </c>
      <c r="D2515" t="s">
        <v>17</v>
      </c>
      <c r="E2515" t="s">
        <v>18</v>
      </c>
      <c r="F2515" t="s">
        <v>19</v>
      </c>
      <c r="G2515" t="s">
        <v>20</v>
      </c>
      <c r="J2515" t="s">
        <v>17</v>
      </c>
      <c r="K2515" t="str">
        <f>"17230715"</f>
        <v>17230715</v>
      </c>
      <c r="L2515" t="str">
        <f>"17230715"</f>
        <v>17230715</v>
      </c>
      <c r="M2515" t="s">
        <v>75</v>
      </c>
      <c r="N2515" s="1">
        <v>42872.839583333334</v>
      </c>
      <c r="O2515" t="s">
        <v>19</v>
      </c>
    </row>
    <row r="2516" spans="1:15" x14ac:dyDescent="0.25">
      <c r="A2516" t="s">
        <v>2224</v>
      </c>
      <c r="B2516" t="s">
        <v>15</v>
      </c>
      <c r="C2516" t="s">
        <v>2135</v>
      </c>
      <c r="D2516" t="s">
        <v>17</v>
      </c>
      <c r="E2516" t="s">
        <v>18</v>
      </c>
      <c r="F2516" t="s">
        <v>19</v>
      </c>
      <c r="G2516" t="s">
        <v>20</v>
      </c>
      <c r="J2516" t="s">
        <v>17</v>
      </c>
      <c r="K2516" t="str">
        <f>"32230715"</f>
        <v>32230715</v>
      </c>
      <c r="L2516" t="str">
        <f>"32230715"</f>
        <v>32230715</v>
      </c>
      <c r="M2516" t="s">
        <v>75</v>
      </c>
      <c r="N2516" s="1">
        <v>42872.839583333334</v>
      </c>
      <c r="O2516" t="s">
        <v>19</v>
      </c>
    </row>
    <row r="2517" spans="1:15" x14ac:dyDescent="0.25">
      <c r="A2517" t="s">
        <v>2224</v>
      </c>
      <c r="B2517" t="s">
        <v>15</v>
      </c>
      <c r="C2517" t="s">
        <v>2135</v>
      </c>
      <c r="D2517" t="s">
        <v>17</v>
      </c>
      <c r="E2517" t="s">
        <v>18</v>
      </c>
      <c r="F2517" t="s">
        <v>19</v>
      </c>
      <c r="G2517" t="s">
        <v>20</v>
      </c>
      <c r="J2517" t="s">
        <v>17</v>
      </c>
      <c r="K2517" t="str">
        <f>"76230715"</f>
        <v>76230715</v>
      </c>
      <c r="L2517" t="str">
        <f>"76230715"</f>
        <v>76230715</v>
      </c>
      <c r="M2517" t="s">
        <v>75</v>
      </c>
      <c r="N2517" s="1">
        <v>42872.847222222219</v>
      </c>
      <c r="O2517" t="s">
        <v>19</v>
      </c>
    </row>
    <row r="2518" spans="1:15" x14ac:dyDescent="0.25">
      <c r="A2518" t="s">
        <v>2224</v>
      </c>
      <c r="B2518" t="s">
        <v>15</v>
      </c>
      <c r="C2518" t="s">
        <v>2135</v>
      </c>
      <c r="D2518" t="s">
        <v>17</v>
      </c>
      <c r="E2518" t="s">
        <v>18</v>
      </c>
      <c r="F2518" t="s">
        <v>19</v>
      </c>
      <c r="G2518" t="s">
        <v>20</v>
      </c>
      <c r="J2518" t="s">
        <v>17</v>
      </c>
      <c r="K2518" t="str">
        <f>"76230720"</f>
        <v>76230720</v>
      </c>
      <c r="L2518" t="str">
        <f>"76230720"</f>
        <v>76230720</v>
      </c>
      <c r="M2518" t="s">
        <v>75</v>
      </c>
      <c r="N2518" s="1">
        <v>42872.847222222219</v>
      </c>
      <c r="O2518" t="s">
        <v>19</v>
      </c>
    </row>
    <row r="2519" spans="1:15" x14ac:dyDescent="0.25">
      <c r="A2519" t="s">
        <v>2224</v>
      </c>
      <c r="B2519" t="s">
        <v>15</v>
      </c>
      <c r="C2519" t="s">
        <v>2135</v>
      </c>
      <c r="D2519" t="s">
        <v>17</v>
      </c>
      <c r="E2519" t="s">
        <v>18</v>
      </c>
      <c r="F2519" t="s">
        <v>19</v>
      </c>
      <c r="G2519" t="s">
        <v>20</v>
      </c>
      <c r="J2519" t="s">
        <v>17</v>
      </c>
      <c r="K2519" t="str">
        <f>"76600705"</f>
        <v>76600705</v>
      </c>
      <c r="L2519" t="str">
        <f>"76600705"</f>
        <v>76600705</v>
      </c>
      <c r="M2519" t="s">
        <v>75</v>
      </c>
      <c r="N2519" s="1">
        <v>42872.847222222219</v>
      </c>
      <c r="O2519" t="s">
        <v>19</v>
      </c>
    </row>
    <row r="2520" spans="1:15" x14ac:dyDescent="0.25">
      <c r="A2520" t="s">
        <v>2224</v>
      </c>
      <c r="B2520" t="s">
        <v>15</v>
      </c>
      <c r="C2520" t="s">
        <v>2135</v>
      </c>
      <c r="D2520" t="s">
        <v>17</v>
      </c>
      <c r="E2520" t="s">
        <v>18</v>
      </c>
      <c r="F2520" t="s">
        <v>19</v>
      </c>
      <c r="G2520" t="s">
        <v>20</v>
      </c>
      <c r="J2520" t="s">
        <v>17</v>
      </c>
      <c r="K2520" t="str">
        <f>"76600720"</f>
        <v>76600720</v>
      </c>
      <c r="L2520" t="str">
        <f>"76600720"</f>
        <v>76600720</v>
      </c>
      <c r="M2520" t="s">
        <v>75</v>
      </c>
      <c r="N2520" s="1">
        <v>42872.847222222219</v>
      </c>
      <c r="O2520" t="s">
        <v>19</v>
      </c>
    </row>
    <row r="2521" spans="1:15" x14ac:dyDescent="0.25">
      <c r="A2521" t="s">
        <v>2224</v>
      </c>
      <c r="B2521" t="s">
        <v>15</v>
      </c>
      <c r="C2521" t="s">
        <v>2135</v>
      </c>
      <c r="D2521" t="s">
        <v>17</v>
      </c>
      <c r="E2521" t="s">
        <v>18</v>
      </c>
      <c r="F2521" t="s">
        <v>19</v>
      </c>
      <c r="G2521" t="s">
        <v>20</v>
      </c>
      <c r="J2521" t="s">
        <v>17</v>
      </c>
      <c r="K2521" t="str">
        <f>"76630715"</f>
        <v>76630715</v>
      </c>
      <c r="L2521" t="str">
        <f>"76630715"</f>
        <v>76630715</v>
      </c>
      <c r="M2521" t="s">
        <v>75</v>
      </c>
      <c r="N2521" s="1">
        <v>42872.847222222219</v>
      </c>
      <c r="O2521" t="s">
        <v>19</v>
      </c>
    </row>
    <row r="2522" spans="1:15" x14ac:dyDescent="0.25">
      <c r="A2522" t="s">
        <v>2224</v>
      </c>
      <c r="B2522" t="s">
        <v>15</v>
      </c>
      <c r="C2522" t="s">
        <v>2135</v>
      </c>
      <c r="D2522" t="s">
        <v>17</v>
      </c>
      <c r="E2522" t="s">
        <v>18</v>
      </c>
      <c r="F2522" t="s">
        <v>19</v>
      </c>
      <c r="G2522" t="s">
        <v>20</v>
      </c>
      <c r="J2522" t="s">
        <v>17</v>
      </c>
      <c r="K2522" t="str">
        <f>"76720715"</f>
        <v>76720715</v>
      </c>
      <c r="L2522" t="str">
        <f>"76720715"</f>
        <v>76720715</v>
      </c>
      <c r="M2522" t="s">
        <v>75</v>
      </c>
      <c r="N2522" s="1">
        <v>42872.847222222219</v>
      </c>
      <c r="O2522" t="s">
        <v>19</v>
      </c>
    </row>
    <row r="2523" spans="1:15" x14ac:dyDescent="0.25">
      <c r="A2523" t="s">
        <v>2224</v>
      </c>
      <c r="B2523" t="s">
        <v>15</v>
      </c>
      <c r="C2523" t="s">
        <v>2135</v>
      </c>
      <c r="D2523" t="s">
        <v>17</v>
      </c>
      <c r="E2523" t="s">
        <v>18</v>
      </c>
      <c r="F2523" t="s">
        <v>19</v>
      </c>
      <c r="G2523" t="s">
        <v>20</v>
      </c>
      <c r="J2523" t="s">
        <v>17</v>
      </c>
      <c r="K2523" t="str">
        <f>"76850715"</f>
        <v>76850715</v>
      </c>
      <c r="L2523" t="str">
        <f>"76850715"</f>
        <v>76850715</v>
      </c>
      <c r="M2523" t="s">
        <v>75</v>
      </c>
      <c r="N2523" s="1">
        <v>42872.847222222219</v>
      </c>
      <c r="O2523" t="s">
        <v>19</v>
      </c>
    </row>
    <row r="2524" spans="1:15" x14ac:dyDescent="0.25">
      <c r="A2524" t="s">
        <v>2224</v>
      </c>
      <c r="B2524" t="s">
        <v>15</v>
      </c>
      <c r="C2524" t="s">
        <v>2135</v>
      </c>
      <c r="D2524" t="s">
        <v>17</v>
      </c>
      <c r="E2524" t="s">
        <v>18</v>
      </c>
      <c r="F2524" t="s">
        <v>19</v>
      </c>
      <c r="G2524" t="s">
        <v>20</v>
      </c>
      <c r="J2524" t="s">
        <v>17</v>
      </c>
      <c r="K2524" t="str">
        <f>"110030020"</f>
        <v>110030020</v>
      </c>
      <c r="L2524" t="str">
        <f>"110030020"</f>
        <v>110030020</v>
      </c>
      <c r="M2524" t="s">
        <v>75</v>
      </c>
      <c r="N2524" s="1">
        <v>42872.847222222219</v>
      </c>
      <c r="O2524" t="s">
        <v>19</v>
      </c>
    </row>
    <row r="2525" spans="1:15" x14ac:dyDescent="0.25">
      <c r="A2525" t="s">
        <v>2224</v>
      </c>
      <c r="B2525" t="s">
        <v>15</v>
      </c>
      <c r="C2525" t="s">
        <v>2135</v>
      </c>
      <c r="D2525" t="s">
        <v>17</v>
      </c>
      <c r="E2525" t="s">
        <v>18</v>
      </c>
      <c r="F2525" t="s">
        <v>19</v>
      </c>
      <c r="G2525" t="s">
        <v>20</v>
      </c>
      <c r="J2525" t="s">
        <v>17</v>
      </c>
      <c r="K2525" t="str">
        <f>"17630715"</f>
        <v>17630715</v>
      </c>
      <c r="L2525" t="str">
        <f>"17630715"</f>
        <v>17630715</v>
      </c>
      <c r="M2525" t="s">
        <v>75</v>
      </c>
      <c r="N2525" s="1">
        <v>43043.71875</v>
      </c>
      <c r="O2525" t="s">
        <v>19</v>
      </c>
    </row>
    <row r="2526" spans="1:15" x14ac:dyDescent="0.25">
      <c r="A2526" t="s">
        <v>2224</v>
      </c>
      <c r="B2526" t="s">
        <v>15</v>
      </c>
      <c r="C2526" t="s">
        <v>2135</v>
      </c>
      <c r="D2526" t="s">
        <v>17</v>
      </c>
      <c r="E2526" t="s">
        <v>18</v>
      </c>
      <c r="F2526" t="s">
        <v>19</v>
      </c>
      <c r="G2526" t="s">
        <v>20</v>
      </c>
      <c r="J2526" t="s">
        <v>17</v>
      </c>
      <c r="K2526" t="str">
        <f>"76600715"</f>
        <v>76600715</v>
      </c>
      <c r="L2526" t="str">
        <f>"76600715"</f>
        <v>76600715</v>
      </c>
      <c r="M2526" t="s">
        <v>75</v>
      </c>
      <c r="N2526" s="1">
        <v>43045.738888888889</v>
      </c>
      <c r="O2526" t="s">
        <v>19</v>
      </c>
    </row>
    <row r="2527" spans="1:15" x14ac:dyDescent="0.25">
      <c r="A2527" t="s">
        <v>2224</v>
      </c>
      <c r="B2527" t="s">
        <v>15</v>
      </c>
      <c r="C2527" t="s">
        <v>2135</v>
      </c>
      <c r="D2527" t="s">
        <v>17</v>
      </c>
      <c r="E2527" t="s">
        <v>18</v>
      </c>
      <c r="F2527" t="s">
        <v>19</v>
      </c>
      <c r="G2527" t="s">
        <v>20</v>
      </c>
      <c r="J2527" t="s">
        <v>17</v>
      </c>
      <c r="K2527" t="str">
        <f>"68230715"</f>
        <v>68230715</v>
      </c>
      <c r="L2527" t="str">
        <f>"68230715"</f>
        <v>68230715</v>
      </c>
      <c r="M2527" t="s">
        <v>21</v>
      </c>
      <c r="N2527" s="1">
        <v>43721.588194444441</v>
      </c>
      <c r="O2527" t="s">
        <v>19</v>
      </c>
    </row>
    <row r="2528" spans="1:15" x14ac:dyDescent="0.25">
      <c r="A2528" t="s">
        <v>2225</v>
      </c>
      <c r="B2528" t="s">
        <v>15</v>
      </c>
      <c r="C2528" t="s">
        <v>2135</v>
      </c>
      <c r="D2528" t="s">
        <v>17</v>
      </c>
      <c r="E2528" t="s">
        <v>18</v>
      </c>
      <c r="F2528" t="s">
        <v>19</v>
      </c>
      <c r="G2528" t="s">
        <v>20</v>
      </c>
      <c r="J2528" t="s">
        <v>17</v>
      </c>
      <c r="K2528" t="str">
        <f>"76230716"</f>
        <v>76230716</v>
      </c>
      <c r="L2528" t="str">
        <f>"76230716"</f>
        <v>76230716</v>
      </c>
      <c r="M2528" t="s">
        <v>75</v>
      </c>
      <c r="N2528" s="1">
        <v>42872.847222222219</v>
      </c>
      <c r="O2528" t="s">
        <v>19</v>
      </c>
    </row>
    <row r="2529" spans="1:15" x14ac:dyDescent="0.25">
      <c r="A2529" t="s">
        <v>2225</v>
      </c>
      <c r="B2529" t="s">
        <v>15</v>
      </c>
      <c r="C2529" t="s">
        <v>2135</v>
      </c>
      <c r="D2529" t="s">
        <v>17</v>
      </c>
      <c r="E2529" t="s">
        <v>18</v>
      </c>
      <c r="F2529" t="s">
        <v>19</v>
      </c>
      <c r="G2529" t="s">
        <v>20</v>
      </c>
      <c r="J2529" t="s">
        <v>17</v>
      </c>
      <c r="K2529" t="str">
        <f>"76600716"</f>
        <v>76600716</v>
      </c>
      <c r="L2529" t="str">
        <f>"76600716"</f>
        <v>76600716</v>
      </c>
      <c r="M2529" t="s">
        <v>75</v>
      </c>
      <c r="N2529" s="1">
        <v>42872.847222222219</v>
      </c>
      <c r="O2529" t="s">
        <v>19</v>
      </c>
    </row>
    <row r="2530" spans="1:15" x14ac:dyDescent="0.25">
      <c r="A2530" t="s">
        <v>2225</v>
      </c>
      <c r="B2530" t="s">
        <v>15</v>
      </c>
      <c r="C2530" t="s">
        <v>2135</v>
      </c>
      <c r="D2530" t="s">
        <v>17</v>
      </c>
      <c r="E2530" t="s">
        <v>18</v>
      </c>
      <c r="F2530" t="s">
        <v>19</v>
      </c>
      <c r="G2530" t="s">
        <v>20</v>
      </c>
      <c r="J2530" t="s">
        <v>17</v>
      </c>
      <c r="K2530" t="str">
        <f>"76630716"</f>
        <v>76630716</v>
      </c>
      <c r="L2530" t="str">
        <f>"76630716"</f>
        <v>76630716</v>
      </c>
      <c r="M2530" t="s">
        <v>75</v>
      </c>
      <c r="N2530" s="1">
        <v>42872.847222222219</v>
      </c>
      <c r="O2530" t="s">
        <v>19</v>
      </c>
    </row>
    <row r="2531" spans="1:15" x14ac:dyDescent="0.25">
      <c r="A2531" t="s">
        <v>2225</v>
      </c>
      <c r="B2531" t="s">
        <v>15</v>
      </c>
      <c r="C2531" t="s">
        <v>2135</v>
      </c>
      <c r="D2531" t="s">
        <v>17</v>
      </c>
      <c r="E2531" t="s">
        <v>18</v>
      </c>
      <c r="F2531" t="s">
        <v>19</v>
      </c>
      <c r="G2531" t="s">
        <v>20</v>
      </c>
      <c r="J2531" t="s">
        <v>17</v>
      </c>
      <c r="K2531" t="str">
        <f>"76850716"</f>
        <v>76850716</v>
      </c>
      <c r="L2531" t="str">
        <f>"76850716"</f>
        <v>76850716</v>
      </c>
      <c r="M2531" t="s">
        <v>75</v>
      </c>
      <c r="N2531" s="1">
        <v>42872.847222222219</v>
      </c>
      <c r="O2531" t="s">
        <v>19</v>
      </c>
    </row>
    <row r="2532" spans="1:15" x14ac:dyDescent="0.25">
      <c r="A2532" t="s">
        <v>2225</v>
      </c>
      <c r="B2532" t="s">
        <v>15</v>
      </c>
      <c r="C2532" t="s">
        <v>2135</v>
      </c>
      <c r="D2532" t="s">
        <v>17</v>
      </c>
      <c r="E2532" t="s">
        <v>18</v>
      </c>
      <c r="F2532" t="s">
        <v>19</v>
      </c>
      <c r="G2532" t="s">
        <v>20</v>
      </c>
      <c r="J2532" t="s">
        <v>17</v>
      </c>
      <c r="K2532" t="str">
        <f>"86230716"</f>
        <v>86230716</v>
      </c>
      <c r="L2532" t="str">
        <f>"86230716"</f>
        <v>86230716</v>
      </c>
      <c r="M2532" t="s">
        <v>84</v>
      </c>
      <c r="N2532" s="1">
        <v>43314.936111111114</v>
      </c>
      <c r="O2532" t="s">
        <v>19</v>
      </c>
    </row>
    <row r="2533" spans="1:15" x14ac:dyDescent="0.25">
      <c r="A2533" t="s">
        <v>2225</v>
      </c>
      <c r="B2533" t="s">
        <v>15</v>
      </c>
      <c r="C2533" t="s">
        <v>2135</v>
      </c>
      <c r="D2533" t="s">
        <v>17</v>
      </c>
      <c r="E2533" t="s">
        <v>18</v>
      </c>
      <c r="F2533" t="s">
        <v>19</v>
      </c>
      <c r="G2533" t="s">
        <v>20</v>
      </c>
      <c r="J2533" t="s">
        <v>17</v>
      </c>
      <c r="K2533" t="str">
        <f>"32230716"</f>
        <v>32230716</v>
      </c>
      <c r="L2533" t="str">
        <f>"32230716"</f>
        <v>32230716</v>
      </c>
      <c r="M2533" t="s">
        <v>84</v>
      </c>
      <c r="N2533" s="1">
        <v>43502.779166666667</v>
      </c>
      <c r="O2533" t="s">
        <v>19</v>
      </c>
    </row>
    <row r="2534" spans="1:15" x14ac:dyDescent="0.25">
      <c r="A2534" t="s">
        <v>2225</v>
      </c>
      <c r="B2534" t="s">
        <v>15</v>
      </c>
      <c r="C2534" t="s">
        <v>2135</v>
      </c>
      <c r="D2534" t="s">
        <v>17</v>
      </c>
      <c r="E2534" t="s">
        <v>18</v>
      </c>
      <c r="F2534" t="s">
        <v>19</v>
      </c>
      <c r="G2534" t="s">
        <v>20</v>
      </c>
      <c r="J2534" t="s">
        <v>17</v>
      </c>
      <c r="K2534" t="str">
        <f>"68230716"</f>
        <v>68230716</v>
      </c>
      <c r="L2534" t="str">
        <f>"68230716"</f>
        <v>68230716</v>
      </c>
      <c r="M2534" t="s">
        <v>21</v>
      </c>
      <c r="N2534" s="1">
        <v>43721.588194444441</v>
      </c>
      <c r="O2534" t="s">
        <v>19</v>
      </c>
    </row>
    <row r="2535" spans="1:15" x14ac:dyDescent="0.25">
      <c r="A2535" t="s">
        <v>2226</v>
      </c>
      <c r="B2535" t="s">
        <v>15</v>
      </c>
      <c r="C2535" t="s">
        <v>2135</v>
      </c>
      <c r="D2535" t="s">
        <v>17</v>
      </c>
      <c r="E2535" t="s">
        <v>18</v>
      </c>
      <c r="F2535" t="s">
        <v>19</v>
      </c>
      <c r="G2535" t="s">
        <v>20</v>
      </c>
      <c r="J2535" t="s">
        <v>17</v>
      </c>
      <c r="K2535" t="str">
        <f>"17230716"</f>
        <v>17230716</v>
      </c>
      <c r="L2535" t="str">
        <f>"17230716"</f>
        <v>17230716</v>
      </c>
      <c r="M2535" t="s">
        <v>75</v>
      </c>
      <c r="N2535" s="1">
        <v>42872.839583333334</v>
      </c>
      <c r="O2535" t="s">
        <v>19</v>
      </c>
    </row>
    <row r="2536" spans="1:15" x14ac:dyDescent="0.25">
      <c r="A2536" t="s">
        <v>2226</v>
      </c>
      <c r="B2536" t="s">
        <v>15</v>
      </c>
      <c r="C2536" t="s">
        <v>2135</v>
      </c>
      <c r="D2536" t="s">
        <v>17</v>
      </c>
      <c r="E2536" t="s">
        <v>18</v>
      </c>
      <c r="F2536" t="s">
        <v>19</v>
      </c>
      <c r="G2536" t="s">
        <v>20</v>
      </c>
      <c r="J2536" t="s">
        <v>17</v>
      </c>
      <c r="K2536" t="str">
        <f>"76230774"</f>
        <v>76230774</v>
      </c>
      <c r="L2536" t="str">
        <f>"76230774"</f>
        <v>76230774</v>
      </c>
      <c r="M2536" t="s">
        <v>75</v>
      </c>
      <c r="N2536" s="1">
        <v>42872.847222222219</v>
      </c>
      <c r="O2536" t="s">
        <v>19</v>
      </c>
    </row>
    <row r="2537" spans="1:15" x14ac:dyDescent="0.25">
      <c r="A2537" t="s">
        <v>2227</v>
      </c>
      <c r="B2537" t="s">
        <v>15</v>
      </c>
      <c r="C2537" t="s">
        <v>2135</v>
      </c>
      <c r="D2537" t="s">
        <v>17</v>
      </c>
      <c r="E2537" t="s">
        <v>18</v>
      </c>
      <c r="F2537" t="s">
        <v>19</v>
      </c>
      <c r="G2537" t="s">
        <v>20</v>
      </c>
      <c r="J2537" t="s">
        <v>17</v>
      </c>
      <c r="K2537" t="str">
        <f>"76230717"</f>
        <v>76230717</v>
      </c>
      <c r="L2537" t="str">
        <f>"76230717"</f>
        <v>76230717</v>
      </c>
      <c r="M2537" t="s">
        <v>75</v>
      </c>
      <c r="N2537" s="1">
        <v>42872.847222222219</v>
      </c>
      <c r="O2537" t="s">
        <v>19</v>
      </c>
    </row>
    <row r="2538" spans="1:15" x14ac:dyDescent="0.25">
      <c r="A2538" t="s">
        <v>2227</v>
      </c>
      <c r="B2538" t="s">
        <v>15</v>
      </c>
      <c r="C2538" t="s">
        <v>2135</v>
      </c>
      <c r="D2538" t="s">
        <v>17</v>
      </c>
      <c r="E2538" t="s">
        <v>18</v>
      </c>
      <c r="F2538" t="s">
        <v>19</v>
      </c>
      <c r="G2538" t="s">
        <v>20</v>
      </c>
      <c r="J2538" t="s">
        <v>17</v>
      </c>
      <c r="K2538" t="str">
        <f>"76600717"</f>
        <v>76600717</v>
      </c>
      <c r="L2538" t="str">
        <f>"76600717"</f>
        <v>76600717</v>
      </c>
      <c r="M2538" t="s">
        <v>75</v>
      </c>
      <c r="N2538" s="1">
        <v>42872.847222222219</v>
      </c>
      <c r="O2538" t="s">
        <v>19</v>
      </c>
    </row>
    <row r="2539" spans="1:15" x14ac:dyDescent="0.25">
      <c r="A2539" t="s">
        <v>2228</v>
      </c>
      <c r="B2539" t="s">
        <v>15</v>
      </c>
      <c r="C2539" t="s">
        <v>2135</v>
      </c>
      <c r="D2539" t="s">
        <v>17</v>
      </c>
      <c r="E2539" t="s">
        <v>18</v>
      </c>
      <c r="F2539" t="s">
        <v>19</v>
      </c>
      <c r="G2539" t="s">
        <v>20</v>
      </c>
      <c r="J2539" t="s">
        <v>17</v>
      </c>
      <c r="K2539" t="str">
        <f>"17600716"</f>
        <v>17600716</v>
      </c>
      <c r="L2539" t="str">
        <f>"17600716"</f>
        <v>17600716</v>
      </c>
      <c r="M2539" t="s">
        <v>75</v>
      </c>
      <c r="N2539" s="1">
        <v>42895.95208333333</v>
      </c>
      <c r="O2539" t="s">
        <v>19</v>
      </c>
    </row>
    <row r="2540" spans="1:15" x14ac:dyDescent="0.25">
      <c r="A2540" t="s">
        <v>2229</v>
      </c>
      <c r="B2540" t="s">
        <v>15</v>
      </c>
      <c r="C2540" t="s">
        <v>2135</v>
      </c>
      <c r="D2540" t="s">
        <v>17</v>
      </c>
      <c r="E2540" t="s">
        <v>18</v>
      </c>
      <c r="F2540" t="s">
        <v>19</v>
      </c>
      <c r="G2540" t="s">
        <v>20</v>
      </c>
      <c r="J2540" t="s">
        <v>17</v>
      </c>
      <c r="K2540" t="str">
        <f>"768507253"</f>
        <v>768507253</v>
      </c>
      <c r="L2540" t="str">
        <f>"768507253"</f>
        <v>768507253</v>
      </c>
      <c r="M2540" t="s">
        <v>75</v>
      </c>
      <c r="N2540" s="1">
        <v>42872.849305555559</v>
      </c>
      <c r="O2540" t="s">
        <v>19</v>
      </c>
    </row>
    <row r="2541" spans="1:15" x14ac:dyDescent="0.25">
      <c r="A2541" t="s">
        <v>2229</v>
      </c>
      <c r="B2541" t="s">
        <v>15</v>
      </c>
      <c r="C2541" t="s">
        <v>2135</v>
      </c>
      <c r="D2541" t="s">
        <v>17</v>
      </c>
      <c r="E2541" t="s">
        <v>18</v>
      </c>
      <c r="F2541" t="s">
        <v>19</v>
      </c>
      <c r="G2541" t="s">
        <v>20</v>
      </c>
      <c r="J2541" t="s">
        <v>17</v>
      </c>
      <c r="K2541" t="str">
        <f>"176007253"</f>
        <v>176007253</v>
      </c>
      <c r="L2541" t="str">
        <f>"176007253"</f>
        <v>176007253</v>
      </c>
      <c r="M2541" t="s">
        <v>75</v>
      </c>
      <c r="N2541" s="1">
        <v>42895.960416666669</v>
      </c>
      <c r="O2541" t="s">
        <v>19</v>
      </c>
    </row>
    <row r="2542" spans="1:15" x14ac:dyDescent="0.25">
      <c r="A2542" t="s">
        <v>2229</v>
      </c>
      <c r="B2542" t="s">
        <v>15</v>
      </c>
      <c r="C2542" t="s">
        <v>2135</v>
      </c>
      <c r="D2542" t="s">
        <v>17</v>
      </c>
      <c r="E2542" t="s">
        <v>18</v>
      </c>
      <c r="F2542" t="s">
        <v>19</v>
      </c>
      <c r="G2542" t="s">
        <v>20</v>
      </c>
      <c r="J2542" t="s">
        <v>17</v>
      </c>
      <c r="K2542" t="str">
        <f>"862307253"</f>
        <v>862307253</v>
      </c>
      <c r="L2542" t="str">
        <f>"862307253"</f>
        <v>862307253</v>
      </c>
      <c r="M2542" t="s">
        <v>84</v>
      </c>
      <c r="N2542" s="1">
        <v>43280.709722222222</v>
      </c>
      <c r="O2542" t="s">
        <v>19</v>
      </c>
    </row>
    <row r="2543" spans="1:15" x14ac:dyDescent="0.25">
      <c r="A2543" t="s">
        <v>2230</v>
      </c>
      <c r="B2543" t="s">
        <v>15</v>
      </c>
      <c r="C2543" t="s">
        <v>2135</v>
      </c>
      <c r="D2543" t="s">
        <v>17</v>
      </c>
      <c r="E2543" t="s">
        <v>18</v>
      </c>
      <c r="F2543" t="s">
        <v>19</v>
      </c>
      <c r="G2543" t="s">
        <v>20</v>
      </c>
      <c r="J2543" t="s">
        <v>17</v>
      </c>
      <c r="K2543" t="str">
        <f>"762307254"</f>
        <v>762307254</v>
      </c>
      <c r="L2543" t="str">
        <f>"762307254"</f>
        <v>762307254</v>
      </c>
      <c r="M2543" t="s">
        <v>75</v>
      </c>
      <c r="N2543" s="1">
        <v>43176.693055555559</v>
      </c>
      <c r="O2543" t="s">
        <v>19</v>
      </c>
    </row>
    <row r="2544" spans="1:15" x14ac:dyDescent="0.25">
      <c r="A2544" t="s">
        <v>2231</v>
      </c>
      <c r="B2544" t="s">
        <v>15</v>
      </c>
      <c r="C2544" t="s">
        <v>2135</v>
      </c>
      <c r="D2544" t="s">
        <v>17</v>
      </c>
      <c r="E2544" t="s">
        <v>18</v>
      </c>
      <c r="F2544" t="s">
        <v>19</v>
      </c>
      <c r="G2544" t="s">
        <v>20</v>
      </c>
      <c r="J2544" t="s">
        <v>17</v>
      </c>
      <c r="K2544" t="str">
        <f>"862307257"</f>
        <v>862307257</v>
      </c>
      <c r="L2544" t="str">
        <f>"862307257"</f>
        <v>862307257</v>
      </c>
      <c r="M2544" t="s">
        <v>84</v>
      </c>
      <c r="N2544" s="1">
        <v>43280.709027777775</v>
      </c>
      <c r="O2544" t="s">
        <v>19</v>
      </c>
    </row>
    <row r="2545" spans="1:15" x14ac:dyDescent="0.25">
      <c r="A2545" t="s">
        <v>2232</v>
      </c>
      <c r="B2545" t="s">
        <v>15</v>
      </c>
      <c r="C2545" t="s">
        <v>2135</v>
      </c>
      <c r="D2545" t="s">
        <v>17</v>
      </c>
      <c r="E2545" t="s">
        <v>18</v>
      </c>
      <c r="F2545" t="s">
        <v>19</v>
      </c>
      <c r="G2545" t="s">
        <v>20</v>
      </c>
      <c r="J2545" t="s">
        <v>17</v>
      </c>
      <c r="K2545" t="str">
        <f>"766014192"</f>
        <v>766014192</v>
      </c>
      <c r="L2545" t="str">
        <f>"766014192"</f>
        <v>766014192</v>
      </c>
      <c r="M2545" t="s">
        <v>75</v>
      </c>
      <c r="N2545" s="1">
        <v>42872.849305555559</v>
      </c>
      <c r="O2545" t="s">
        <v>19</v>
      </c>
    </row>
    <row r="2546" spans="1:15" x14ac:dyDescent="0.25">
      <c r="A2546" t="s">
        <v>2233</v>
      </c>
      <c r="B2546" t="s">
        <v>15</v>
      </c>
      <c r="C2546" t="s">
        <v>2135</v>
      </c>
      <c r="D2546" t="s">
        <v>17</v>
      </c>
      <c r="E2546" t="s">
        <v>18</v>
      </c>
      <c r="F2546" t="s">
        <v>19</v>
      </c>
      <c r="G2546" t="s">
        <v>20</v>
      </c>
      <c r="J2546" t="s">
        <v>17</v>
      </c>
      <c r="K2546" t="str">
        <f>"172314194"</f>
        <v>172314194</v>
      </c>
      <c r="L2546" t="str">
        <f>"172314194"</f>
        <v>172314194</v>
      </c>
      <c r="M2546" t="s">
        <v>75</v>
      </c>
      <c r="N2546" s="1">
        <v>42872.849305555559</v>
      </c>
      <c r="O2546" t="s">
        <v>19</v>
      </c>
    </row>
    <row r="2547" spans="1:15" x14ac:dyDescent="0.25">
      <c r="A2547" t="s">
        <v>2234</v>
      </c>
      <c r="B2547" t="s">
        <v>15</v>
      </c>
      <c r="C2547" t="s">
        <v>2135</v>
      </c>
      <c r="D2547" t="s">
        <v>17</v>
      </c>
      <c r="E2547" t="s">
        <v>18</v>
      </c>
      <c r="F2547" t="s">
        <v>19</v>
      </c>
      <c r="G2547" t="s">
        <v>20</v>
      </c>
      <c r="J2547" t="s">
        <v>17</v>
      </c>
      <c r="K2547" t="str">
        <f>"68601447"</f>
        <v>68601447</v>
      </c>
      <c r="L2547" t="str">
        <f>"68601447"</f>
        <v>68601447</v>
      </c>
      <c r="M2547" t="s">
        <v>75</v>
      </c>
      <c r="N2547" s="1">
        <v>42872.847222222219</v>
      </c>
      <c r="O2547" t="s">
        <v>19</v>
      </c>
    </row>
    <row r="2548" spans="1:15" x14ac:dyDescent="0.25">
      <c r="A2548" t="s">
        <v>2235</v>
      </c>
      <c r="B2548" t="s">
        <v>15</v>
      </c>
      <c r="C2548" t="s">
        <v>2135</v>
      </c>
      <c r="D2548" t="s">
        <v>17</v>
      </c>
      <c r="E2548" t="s">
        <v>18</v>
      </c>
      <c r="F2548" t="s">
        <v>19</v>
      </c>
      <c r="G2548" t="s">
        <v>20</v>
      </c>
      <c r="J2548" t="s">
        <v>17</v>
      </c>
      <c r="K2548" t="str">
        <f>"322332233"</f>
        <v>322332233</v>
      </c>
      <c r="L2548" t="str">
        <f>"322332233"</f>
        <v>322332233</v>
      </c>
      <c r="M2548" t="s">
        <v>75</v>
      </c>
      <c r="N2548" s="1">
        <v>42872.849305555559</v>
      </c>
      <c r="O2548" t="s">
        <v>19</v>
      </c>
    </row>
    <row r="2549" spans="1:15" x14ac:dyDescent="0.25">
      <c r="A2549" t="s">
        <v>2236</v>
      </c>
      <c r="B2549" t="s">
        <v>15</v>
      </c>
      <c r="C2549" t="s">
        <v>2135</v>
      </c>
      <c r="D2549" t="s">
        <v>17</v>
      </c>
      <c r="E2549" t="s">
        <v>18</v>
      </c>
      <c r="F2549" t="s">
        <v>19</v>
      </c>
      <c r="G2549" t="s">
        <v>20</v>
      </c>
      <c r="J2549" t="s">
        <v>17</v>
      </c>
      <c r="K2549" t="str">
        <f>"322332245"</f>
        <v>322332245</v>
      </c>
      <c r="L2549" t="str">
        <f>"322332245"</f>
        <v>322332245</v>
      </c>
      <c r="M2549" t="s">
        <v>75</v>
      </c>
      <c r="N2549" s="1">
        <v>42872.849305555559</v>
      </c>
      <c r="O2549" t="s">
        <v>19</v>
      </c>
    </row>
    <row r="2550" spans="1:15" x14ac:dyDescent="0.25">
      <c r="A2550" t="s">
        <v>2236</v>
      </c>
      <c r="B2550" t="s">
        <v>15</v>
      </c>
      <c r="C2550" t="s">
        <v>2135</v>
      </c>
      <c r="D2550" t="s">
        <v>17</v>
      </c>
      <c r="E2550" t="s">
        <v>18</v>
      </c>
      <c r="F2550" t="s">
        <v>19</v>
      </c>
      <c r="G2550" t="s">
        <v>20</v>
      </c>
      <c r="J2550" t="s">
        <v>17</v>
      </c>
      <c r="K2550" t="str">
        <f>"432332245"</f>
        <v>432332245</v>
      </c>
      <c r="L2550" t="str">
        <f>"432332245"</f>
        <v>432332245</v>
      </c>
      <c r="M2550" t="s">
        <v>75</v>
      </c>
      <c r="N2550" s="1">
        <v>42872.849305555559</v>
      </c>
      <c r="O2550" t="s">
        <v>19</v>
      </c>
    </row>
    <row r="2551" spans="1:15" x14ac:dyDescent="0.25">
      <c r="A2551" t="s">
        <v>2236</v>
      </c>
      <c r="B2551" t="s">
        <v>15</v>
      </c>
      <c r="C2551" t="s">
        <v>2135</v>
      </c>
      <c r="D2551" t="s">
        <v>17</v>
      </c>
      <c r="E2551" t="s">
        <v>18</v>
      </c>
      <c r="F2551" t="s">
        <v>19</v>
      </c>
      <c r="G2551" t="s">
        <v>20</v>
      </c>
      <c r="J2551" t="s">
        <v>17</v>
      </c>
      <c r="K2551" t="str">
        <f>"762332245"</f>
        <v>762332245</v>
      </c>
      <c r="L2551" t="str">
        <f>"762332245"</f>
        <v>762332245</v>
      </c>
      <c r="M2551" t="s">
        <v>75</v>
      </c>
      <c r="N2551" s="1">
        <v>42872.849305555559</v>
      </c>
      <c r="O2551" t="s">
        <v>19</v>
      </c>
    </row>
    <row r="2552" spans="1:15" x14ac:dyDescent="0.25">
      <c r="A2552" t="s">
        <v>2237</v>
      </c>
      <c r="B2552" t="s">
        <v>15</v>
      </c>
      <c r="C2552" t="s">
        <v>2135</v>
      </c>
      <c r="D2552" t="s">
        <v>17</v>
      </c>
      <c r="E2552" t="s">
        <v>18</v>
      </c>
      <c r="F2552" t="s">
        <v>19</v>
      </c>
      <c r="G2552" t="s">
        <v>20</v>
      </c>
      <c r="J2552" t="s">
        <v>17</v>
      </c>
      <c r="K2552" t="str">
        <f>"346032214"</f>
        <v>346032214</v>
      </c>
      <c r="L2552" t="str">
        <f>"346032214"</f>
        <v>346032214</v>
      </c>
      <c r="M2552" t="s">
        <v>75</v>
      </c>
      <c r="N2552" s="1">
        <v>42872.849305555559</v>
      </c>
      <c r="O2552" t="s">
        <v>19</v>
      </c>
    </row>
    <row r="2553" spans="1:15" x14ac:dyDescent="0.25">
      <c r="A2553" t="s">
        <v>2237</v>
      </c>
      <c r="B2553" t="s">
        <v>15</v>
      </c>
      <c r="C2553" t="s">
        <v>2135</v>
      </c>
      <c r="D2553" t="s">
        <v>17</v>
      </c>
      <c r="E2553" t="s">
        <v>18</v>
      </c>
      <c r="F2553" t="s">
        <v>19</v>
      </c>
      <c r="G2553" t="s">
        <v>20</v>
      </c>
      <c r="J2553" t="s">
        <v>17</v>
      </c>
      <c r="K2553" t="str">
        <f>"762332214"</f>
        <v>762332214</v>
      </c>
      <c r="L2553" t="str">
        <f>"762332214"</f>
        <v>762332214</v>
      </c>
      <c r="M2553" t="s">
        <v>75</v>
      </c>
      <c r="N2553" s="1">
        <v>42872.849305555559</v>
      </c>
      <c r="O2553" t="s">
        <v>19</v>
      </c>
    </row>
    <row r="2554" spans="1:15" x14ac:dyDescent="0.25">
      <c r="A2554" t="s">
        <v>2237</v>
      </c>
      <c r="B2554" t="s">
        <v>15</v>
      </c>
      <c r="C2554" t="s">
        <v>2135</v>
      </c>
      <c r="D2554" t="s">
        <v>17</v>
      </c>
      <c r="E2554" t="s">
        <v>18</v>
      </c>
      <c r="F2554" t="s">
        <v>19</v>
      </c>
      <c r="G2554" t="s">
        <v>20</v>
      </c>
      <c r="J2554" t="s">
        <v>17</v>
      </c>
      <c r="K2554" t="str">
        <f>"766032214"</f>
        <v>766032214</v>
      </c>
      <c r="L2554" t="str">
        <f>"766032214"</f>
        <v>766032214</v>
      </c>
      <c r="M2554" t="s">
        <v>75</v>
      </c>
      <c r="N2554" s="1">
        <v>42872.849305555559</v>
      </c>
      <c r="O2554" t="s">
        <v>19</v>
      </c>
    </row>
    <row r="2555" spans="1:15" x14ac:dyDescent="0.25">
      <c r="A2555" t="s">
        <v>2238</v>
      </c>
      <c r="B2555" t="s">
        <v>15</v>
      </c>
      <c r="C2555" t="s">
        <v>2135</v>
      </c>
      <c r="D2555" t="s">
        <v>17</v>
      </c>
      <c r="E2555" t="s">
        <v>18</v>
      </c>
      <c r="F2555" t="s">
        <v>19</v>
      </c>
      <c r="G2555" t="s">
        <v>20</v>
      </c>
      <c r="J2555" t="s">
        <v>17</v>
      </c>
      <c r="K2555" t="str">
        <f>"762332295"</f>
        <v>762332295</v>
      </c>
      <c r="L2555" t="str">
        <f>"762332295"</f>
        <v>762332295</v>
      </c>
      <c r="M2555" t="s">
        <v>75</v>
      </c>
      <c r="N2555" s="1">
        <v>42872.849305555559</v>
      </c>
      <c r="O2555" t="s">
        <v>19</v>
      </c>
    </row>
    <row r="2556" spans="1:15" x14ac:dyDescent="0.25">
      <c r="A2556" t="s">
        <v>2239</v>
      </c>
      <c r="B2556" t="s">
        <v>15</v>
      </c>
      <c r="C2556" t="s">
        <v>2135</v>
      </c>
      <c r="D2556" t="s">
        <v>17</v>
      </c>
      <c r="E2556" t="s">
        <v>18</v>
      </c>
      <c r="F2556" t="s">
        <v>19</v>
      </c>
      <c r="G2556" t="s">
        <v>20</v>
      </c>
      <c r="J2556" t="s">
        <v>17</v>
      </c>
      <c r="K2556" t="str">
        <f>"762332297"</f>
        <v>762332297</v>
      </c>
      <c r="L2556" t="str">
        <f>"762332297"</f>
        <v>762332297</v>
      </c>
      <c r="M2556" t="s">
        <v>75</v>
      </c>
      <c r="N2556" s="1">
        <v>42986.734027777777</v>
      </c>
      <c r="O2556" t="s">
        <v>19</v>
      </c>
    </row>
    <row r="2557" spans="1:15" x14ac:dyDescent="0.25">
      <c r="A2557" t="s">
        <v>2240</v>
      </c>
      <c r="B2557" t="s">
        <v>15</v>
      </c>
      <c r="C2557" t="s">
        <v>2135</v>
      </c>
      <c r="D2557" t="s">
        <v>17</v>
      </c>
      <c r="E2557" t="s">
        <v>18</v>
      </c>
      <c r="F2557" t="s">
        <v>19</v>
      </c>
      <c r="G2557" t="s">
        <v>20</v>
      </c>
      <c r="J2557" t="s">
        <v>17</v>
      </c>
      <c r="K2557" t="str">
        <f>"766032298"</f>
        <v>766032298</v>
      </c>
      <c r="L2557" t="str">
        <f>"766032298"</f>
        <v>766032298</v>
      </c>
      <c r="M2557" t="s">
        <v>75</v>
      </c>
      <c r="N2557" s="1">
        <v>42893.925000000003</v>
      </c>
      <c r="O2557" t="s">
        <v>19</v>
      </c>
    </row>
    <row r="2558" spans="1:15" x14ac:dyDescent="0.25">
      <c r="A2558" t="s">
        <v>2241</v>
      </c>
      <c r="B2558" t="s">
        <v>15</v>
      </c>
      <c r="C2558" t="s">
        <v>2135</v>
      </c>
      <c r="D2558" t="s">
        <v>17</v>
      </c>
      <c r="E2558" t="s">
        <v>18</v>
      </c>
      <c r="F2558" t="s">
        <v>19</v>
      </c>
      <c r="G2558" t="s">
        <v>20</v>
      </c>
      <c r="J2558" t="s">
        <v>17</v>
      </c>
      <c r="K2558" t="str">
        <f>"76230989"</f>
        <v>76230989</v>
      </c>
      <c r="L2558" t="str">
        <f>"76230989"</f>
        <v>76230989</v>
      </c>
      <c r="M2558" t="s">
        <v>75</v>
      </c>
      <c r="N2558" s="1">
        <v>42872.847222222219</v>
      </c>
      <c r="O2558" t="s">
        <v>19</v>
      </c>
    </row>
    <row r="2559" spans="1:15" x14ac:dyDescent="0.25">
      <c r="A2559" t="s">
        <v>2242</v>
      </c>
      <c r="B2559" t="s">
        <v>15</v>
      </c>
      <c r="C2559" t="s">
        <v>2135</v>
      </c>
      <c r="D2559" t="s">
        <v>17</v>
      </c>
      <c r="E2559" t="s">
        <v>18</v>
      </c>
      <c r="F2559" t="s">
        <v>19</v>
      </c>
      <c r="G2559" t="s">
        <v>20</v>
      </c>
      <c r="J2559" t="s">
        <v>17</v>
      </c>
      <c r="K2559" t="str">
        <f>"76630990"</f>
        <v>76630990</v>
      </c>
      <c r="L2559" t="str">
        <f>"76630990"</f>
        <v>76630990</v>
      </c>
      <c r="M2559" t="s">
        <v>75</v>
      </c>
      <c r="N2559" s="1">
        <v>42872.847222222219</v>
      </c>
      <c r="O2559" t="s">
        <v>19</v>
      </c>
    </row>
    <row r="2560" spans="1:15" x14ac:dyDescent="0.25">
      <c r="A2560" t="s">
        <v>2243</v>
      </c>
      <c r="B2560" t="s">
        <v>15</v>
      </c>
      <c r="C2560" t="s">
        <v>2135</v>
      </c>
      <c r="D2560" t="s">
        <v>17</v>
      </c>
      <c r="E2560" t="s">
        <v>18</v>
      </c>
      <c r="F2560" t="s">
        <v>19</v>
      </c>
      <c r="G2560" t="s">
        <v>20</v>
      </c>
      <c r="J2560" t="s">
        <v>17</v>
      </c>
      <c r="K2560" t="str">
        <f>"110172058"</f>
        <v>110172058</v>
      </c>
      <c r="L2560" t="str">
        <f>"110172058"</f>
        <v>110172058</v>
      </c>
      <c r="M2560" t="s">
        <v>75</v>
      </c>
      <c r="N2560" s="1">
        <v>42872.847222222219</v>
      </c>
      <c r="O2560" t="s">
        <v>19</v>
      </c>
    </row>
    <row r="2561" spans="1:15" x14ac:dyDescent="0.25">
      <c r="A2561" t="s">
        <v>2244</v>
      </c>
      <c r="B2561" t="s">
        <v>15</v>
      </c>
      <c r="C2561" t="s">
        <v>2135</v>
      </c>
      <c r="D2561" t="s">
        <v>17</v>
      </c>
      <c r="E2561" t="s">
        <v>18</v>
      </c>
      <c r="F2561" t="s">
        <v>19</v>
      </c>
      <c r="G2561" t="s">
        <v>20</v>
      </c>
      <c r="J2561" t="s">
        <v>17</v>
      </c>
      <c r="K2561" t="str">
        <f>"76230964"</f>
        <v>76230964</v>
      </c>
      <c r="L2561" t="str">
        <f>"76230964"</f>
        <v>76230964</v>
      </c>
      <c r="M2561" t="s">
        <v>75</v>
      </c>
      <c r="N2561" s="1">
        <v>42872.847222222219</v>
      </c>
      <c r="O2561" t="s">
        <v>19</v>
      </c>
    </row>
    <row r="2562" spans="1:15" x14ac:dyDescent="0.25">
      <c r="A2562" t="s">
        <v>2245</v>
      </c>
      <c r="B2562" t="s">
        <v>15</v>
      </c>
      <c r="C2562" t="s">
        <v>2135</v>
      </c>
      <c r="D2562" t="s">
        <v>17</v>
      </c>
      <c r="E2562" t="s">
        <v>18</v>
      </c>
      <c r="F2562" t="s">
        <v>19</v>
      </c>
      <c r="G2562" t="s">
        <v>20</v>
      </c>
      <c r="J2562" t="s">
        <v>17</v>
      </c>
      <c r="K2562" t="str">
        <f>"76600966"</f>
        <v>76600966</v>
      </c>
      <c r="L2562" t="str">
        <f>"76600966"</f>
        <v>76600966</v>
      </c>
      <c r="M2562" t="s">
        <v>75</v>
      </c>
      <c r="N2562" s="1">
        <v>42872.847222222219</v>
      </c>
      <c r="O2562" t="s">
        <v>19</v>
      </c>
    </row>
    <row r="2563" spans="1:15" x14ac:dyDescent="0.25">
      <c r="A2563" t="s">
        <v>2245</v>
      </c>
      <c r="B2563" t="s">
        <v>15</v>
      </c>
      <c r="C2563" t="s">
        <v>2135</v>
      </c>
      <c r="D2563" t="s">
        <v>17</v>
      </c>
      <c r="E2563" t="s">
        <v>18</v>
      </c>
      <c r="F2563" t="s">
        <v>19</v>
      </c>
      <c r="G2563" t="s">
        <v>20</v>
      </c>
      <c r="J2563" t="s">
        <v>17</v>
      </c>
      <c r="K2563" t="str">
        <f>"76230966"</f>
        <v>76230966</v>
      </c>
      <c r="L2563" t="str">
        <f>"76230966"</f>
        <v>76230966</v>
      </c>
      <c r="M2563" t="s">
        <v>75</v>
      </c>
      <c r="N2563" s="1">
        <v>42872.847222222219</v>
      </c>
      <c r="O2563" t="s">
        <v>19</v>
      </c>
    </row>
    <row r="2564" spans="1:15" x14ac:dyDescent="0.25">
      <c r="A2564" t="s">
        <v>2246</v>
      </c>
      <c r="B2564" t="s">
        <v>15</v>
      </c>
      <c r="C2564" t="s">
        <v>2135</v>
      </c>
      <c r="D2564" t="s">
        <v>17</v>
      </c>
      <c r="E2564" t="s">
        <v>18</v>
      </c>
      <c r="F2564" t="s">
        <v>19</v>
      </c>
      <c r="G2564" t="s">
        <v>20</v>
      </c>
      <c r="J2564" t="s">
        <v>17</v>
      </c>
      <c r="K2564" t="str">
        <f>"17230951"</f>
        <v>17230951</v>
      </c>
      <c r="L2564" t="str">
        <f>"17230951"</f>
        <v>17230951</v>
      </c>
      <c r="M2564" t="s">
        <v>75</v>
      </c>
      <c r="N2564" s="1">
        <v>42872.839583333334</v>
      </c>
      <c r="O2564" t="s">
        <v>19</v>
      </c>
    </row>
    <row r="2565" spans="1:15" x14ac:dyDescent="0.25">
      <c r="A2565" t="s">
        <v>2246</v>
      </c>
      <c r="B2565" t="s">
        <v>15</v>
      </c>
      <c r="C2565" t="s">
        <v>2135</v>
      </c>
      <c r="D2565" t="s">
        <v>17</v>
      </c>
      <c r="E2565" t="s">
        <v>18</v>
      </c>
      <c r="F2565" t="s">
        <v>19</v>
      </c>
      <c r="G2565" t="s">
        <v>20</v>
      </c>
      <c r="J2565" t="s">
        <v>17</v>
      </c>
      <c r="K2565" t="str">
        <f>"17230989"</f>
        <v>17230989</v>
      </c>
      <c r="L2565" t="str">
        <f>"17230989"</f>
        <v>17230989</v>
      </c>
      <c r="M2565" t="s">
        <v>75</v>
      </c>
      <c r="N2565" s="1">
        <v>42872.839583333334</v>
      </c>
      <c r="O2565" t="s">
        <v>19</v>
      </c>
    </row>
    <row r="2566" spans="1:15" x14ac:dyDescent="0.25">
      <c r="A2566" t="s">
        <v>2246</v>
      </c>
      <c r="B2566" t="s">
        <v>15</v>
      </c>
      <c r="C2566" t="s">
        <v>2135</v>
      </c>
      <c r="D2566" t="s">
        <v>17</v>
      </c>
      <c r="E2566" t="s">
        <v>18</v>
      </c>
      <c r="F2566" t="s">
        <v>19</v>
      </c>
      <c r="G2566" t="s">
        <v>20</v>
      </c>
      <c r="J2566" t="s">
        <v>17</v>
      </c>
      <c r="K2566" t="str">
        <f>"76230951"</f>
        <v>76230951</v>
      </c>
      <c r="L2566" t="str">
        <f>"76230951"</f>
        <v>76230951</v>
      </c>
      <c r="M2566" t="s">
        <v>75</v>
      </c>
      <c r="N2566" s="1">
        <v>42872.847222222219</v>
      </c>
      <c r="O2566" t="s">
        <v>19</v>
      </c>
    </row>
    <row r="2567" spans="1:15" x14ac:dyDescent="0.25">
      <c r="A2567" t="s">
        <v>2246</v>
      </c>
      <c r="B2567" t="s">
        <v>15</v>
      </c>
      <c r="C2567" t="s">
        <v>2135</v>
      </c>
      <c r="D2567" t="s">
        <v>17</v>
      </c>
      <c r="E2567" t="s">
        <v>18</v>
      </c>
      <c r="F2567" t="s">
        <v>19</v>
      </c>
      <c r="G2567" t="s">
        <v>20</v>
      </c>
      <c r="J2567" t="s">
        <v>17</v>
      </c>
      <c r="K2567" t="str">
        <f>"76230952"</f>
        <v>76230952</v>
      </c>
      <c r="L2567" t="str">
        <f>"76230952"</f>
        <v>76230952</v>
      </c>
      <c r="M2567" t="s">
        <v>75</v>
      </c>
      <c r="N2567" s="1">
        <v>42872.847222222219</v>
      </c>
      <c r="O2567" t="s">
        <v>19</v>
      </c>
    </row>
    <row r="2568" spans="1:15" x14ac:dyDescent="0.25">
      <c r="A2568" t="s">
        <v>2246</v>
      </c>
      <c r="B2568" t="s">
        <v>15</v>
      </c>
      <c r="C2568" t="s">
        <v>2135</v>
      </c>
      <c r="D2568" t="s">
        <v>17</v>
      </c>
      <c r="E2568" t="s">
        <v>18</v>
      </c>
      <c r="F2568" t="s">
        <v>19</v>
      </c>
      <c r="G2568" t="s">
        <v>20</v>
      </c>
      <c r="J2568" t="s">
        <v>17</v>
      </c>
      <c r="K2568" t="str">
        <f>"76600989"</f>
        <v>76600989</v>
      </c>
      <c r="L2568" t="str">
        <f>"76600989"</f>
        <v>76600989</v>
      </c>
      <c r="M2568" t="s">
        <v>75</v>
      </c>
      <c r="N2568" s="1">
        <v>42872.847222222219</v>
      </c>
      <c r="O2568" t="s">
        <v>19</v>
      </c>
    </row>
    <row r="2569" spans="1:15" x14ac:dyDescent="0.25">
      <c r="A2569" t="s">
        <v>2246</v>
      </c>
      <c r="B2569" t="s">
        <v>15</v>
      </c>
      <c r="C2569" t="s">
        <v>2135</v>
      </c>
      <c r="D2569" t="s">
        <v>17</v>
      </c>
      <c r="E2569" t="s">
        <v>18</v>
      </c>
      <c r="F2569" t="s">
        <v>19</v>
      </c>
      <c r="G2569" t="s">
        <v>20</v>
      </c>
      <c r="J2569" t="s">
        <v>17</v>
      </c>
      <c r="K2569" t="str">
        <f>"322309154"</f>
        <v>322309154</v>
      </c>
      <c r="L2569" t="str">
        <f>"322309154"</f>
        <v>322309154</v>
      </c>
      <c r="M2569" t="s">
        <v>75</v>
      </c>
      <c r="N2569" s="1">
        <v>42872.849305555559</v>
      </c>
      <c r="O2569" t="s">
        <v>19</v>
      </c>
    </row>
    <row r="2570" spans="1:15" x14ac:dyDescent="0.25">
      <c r="A2570" t="s">
        <v>2247</v>
      </c>
      <c r="B2570" t="s">
        <v>15</v>
      </c>
      <c r="C2570" t="s">
        <v>2135</v>
      </c>
      <c r="D2570" t="s">
        <v>17</v>
      </c>
      <c r="E2570" t="s">
        <v>18</v>
      </c>
      <c r="F2570" t="s">
        <v>19</v>
      </c>
      <c r="G2570" t="s">
        <v>20</v>
      </c>
      <c r="J2570" t="s">
        <v>17</v>
      </c>
      <c r="K2570" t="str">
        <f>"17230956"</f>
        <v>17230956</v>
      </c>
      <c r="L2570" t="str">
        <f>"17230956"</f>
        <v>17230956</v>
      </c>
      <c r="M2570" t="s">
        <v>75</v>
      </c>
      <c r="N2570" s="1">
        <v>42872.839583333334</v>
      </c>
      <c r="O2570" t="s">
        <v>19</v>
      </c>
    </row>
    <row r="2571" spans="1:15" x14ac:dyDescent="0.25">
      <c r="A2571" t="s">
        <v>2247</v>
      </c>
      <c r="B2571" t="s">
        <v>15</v>
      </c>
      <c r="C2571" t="s">
        <v>2135</v>
      </c>
      <c r="D2571" t="s">
        <v>17</v>
      </c>
      <c r="E2571" t="s">
        <v>18</v>
      </c>
      <c r="F2571" t="s">
        <v>19</v>
      </c>
      <c r="G2571" t="s">
        <v>20</v>
      </c>
      <c r="J2571" t="s">
        <v>17</v>
      </c>
      <c r="K2571" t="str">
        <f>"76600956"</f>
        <v>76600956</v>
      </c>
      <c r="L2571" t="str">
        <f>"76600956"</f>
        <v>76600956</v>
      </c>
      <c r="M2571" t="s">
        <v>75</v>
      </c>
      <c r="N2571" s="1">
        <v>42872.847222222219</v>
      </c>
      <c r="O2571" t="s">
        <v>19</v>
      </c>
    </row>
    <row r="2572" spans="1:15" x14ac:dyDescent="0.25">
      <c r="A2572" t="s">
        <v>2248</v>
      </c>
      <c r="B2572" t="s">
        <v>15</v>
      </c>
      <c r="C2572" t="s">
        <v>2135</v>
      </c>
      <c r="D2572" t="s">
        <v>17</v>
      </c>
      <c r="E2572" t="s">
        <v>18</v>
      </c>
      <c r="F2572" t="s">
        <v>19</v>
      </c>
      <c r="G2572" t="s">
        <v>20</v>
      </c>
      <c r="J2572" t="s">
        <v>17</v>
      </c>
      <c r="K2572" t="str">
        <f>"17230954"</f>
        <v>17230954</v>
      </c>
      <c r="L2572" t="str">
        <f>"17230954"</f>
        <v>17230954</v>
      </c>
      <c r="M2572" t="s">
        <v>75</v>
      </c>
      <c r="N2572" s="1">
        <v>42872.839583333334</v>
      </c>
      <c r="O2572" t="s">
        <v>19</v>
      </c>
    </row>
    <row r="2573" spans="1:15" x14ac:dyDescent="0.25">
      <c r="A2573" t="s">
        <v>2248</v>
      </c>
      <c r="B2573" t="s">
        <v>15</v>
      </c>
      <c r="C2573" t="s">
        <v>2135</v>
      </c>
      <c r="D2573" t="s">
        <v>17</v>
      </c>
      <c r="E2573" t="s">
        <v>18</v>
      </c>
      <c r="F2573" t="s">
        <v>19</v>
      </c>
      <c r="G2573" t="s">
        <v>20</v>
      </c>
      <c r="J2573" t="s">
        <v>17</v>
      </c>
      <c r="K2573" t="str">
        <f>"172309154"</f>
        <v>172309154</v>
      </c>
      <c r="L2573" t="str">
        <f>"172309154"</f>
        <v>172309154</v>
      </c>
      <c r="M2573" t="s">
        <v>75</v>
      </c>
      <c r="N2573" s="1">
        <v>42872.847222222219</v>
      </c>
      <c r="O2573" t="s">
        <v>19</v>
      </c>
    </row>
    <row r="2574" spans="1:15" x14ac:dyDescent="0.25">
      <c r="A2574" t="s">
        <v>2248</v>
      </c>
      <c r="B2574" t="s">
        <v>15</v>
      </c>
      <c r="C2574" t="s">
        <v>2135</v>
      </c>
      <c r="D2574" t="s">
        <v>17</v>
      </c>
      <c r="E2574" t="s">
        <v>18</v>
      </c>
      <c r="F2574" t="s">
        <v>19</v>
      </c>
      <c r="G2574" t="s">
        <v>20</v>
      </c>
      <c r="J2574" t="s">
        <v>17</v>
      </c>
      <c r="K2574" t="str">
        <f>"342310154"</f>
        <v>342310154</v>
      </c>
      <c r="L2574" t="str">
        <f>"342310154"</f>
        <v>342310154</v>
      </c>
      <c r="M2574" t="s">
        <v>75</v>
      </c>
      <c r="N2574" s="1">
        <v>42872.849305555559</v>
      </c>
      <c r="O2574" t="s">
        <v>19</v>
      </c>
    </row>
    <row r="2575" spans="1:15" x14ac:dyDescent="0.25">
      <c r="A2575" t="s">
        <v>2248</v>
      </c>
      <c r="B2575" t="s">
        <v>15</v>
      </c>
      <c r="C2575" t="s">
        <v>2135</v>
      </c>
      <c r="D2575" t="s">
        <v>17</v>
      </c>
      <c r="E2575" t="s">
        <v>18</v>
      </c>
      <c r="F2575" t="s">
        <v>19</v>
      </c>
      <c r="G2575" t="s">
        <v>20</v>
      </c>
      <c r="J2575" t="s">
        <v>17</v>
      </c>
      <c r="K2575" t="str">
        <f>"762309154"</f>
        <v>762309154</v>
      </c>
      <c r="L2575" t="str">
        <f>"762309154"</f>
        <v>762309154</v>
      </c>
      <c r="M2575" t="s">
        <v>75</v>
      </c>
      <c r="N2575" s="1">
        <v>42872.849305555559</v>
      </c>
      <c r="O2575" t="s">
        <v>19</v>
      </c>
    </row>
    <row r="2576" spans="1:15" x14ac:dyDescent="0.25">
      <c r="A2576" t="s">
        <v>2248</v>
      </c>
      <c r="B2576" t="s">
        <v>15</v>
      </c>
      <c r="C2576" t="s">
        <v>2135</v>
      </c>
      <c r="D2576" t="s">
        <v>17</v>
      </c>
      <c r="E2576" t="s">
        <v>18</v>
      </c>
      <c r="F2576" t="s">
        <v>19</v>
      </c>
      <c r="G2576" t="s">
        <v>20</v>
      </c>
      <c r="J2576" t="s">
        <v>17</v>
      </c>
      <c r="K2576" t="str">
        <f>"766009154"</f>
        <v>766009154</v>
      </c>
      <c r="L2576" t="str">
        <f>"766009154"</f>
        <v>766009154</v>
      </c>
      <c r="M2576" t="s">
        <v>75</v>
      </c>
      <c r="N2576" s="1">
        <v>42872.849305555559</v>
      </c>
      <c r="O2576" t="s">
        <v>19</v>
      </c>
    </row>
    <row r="2577" spans="1:15" x14ac:dyDescent="0.25">
      <c r="A2577" t="s">
        <v>2249</v>
      </c>
      <c r="B2577" t="s">
        <v>15</v>
      </c>
      <c r="C2577" t="s">
        <v>2135</v>
      </c>
      <c r="D2577" t="s">
        <v>17</v>
      </c>
      <c r="E2577" t="s">
        <v>18</v>
      </c>
      <c r="F2577" t="s">
        <v>19</v>
      </c>
      <c r="G2577" t="s">
        <v>20</v>
      </c>
      <c r="J2577" t="s">
        <v>17</v>
      </c>
      <c r="K2577" t="str">
        <f>"172309205"</f>
        <v>172309205</v>
      </c>
      <c r="L2577" t="str">
        <f>"172309205"</f>
        <v>172309205</v>
      </c>
      <c r="M2577" t="s">
        <v>75</v>
      </c>
      <c r="N2577" s="1">
        <v>42872.847222222219</v>
      </c>
      <c r="O2577" t="s">
        <v>19</v>
      </c>
    </row>
    <row r="2578" spans="1:15" x14ac:dyDescent="0.25">
      <c r="A2578" t="s">
        <v>2249</v>
      </c>
      <c r="B2578" t="s">
        <v>15</v>
      </c>
      <c r="C2578" t="s">
        <v>2135</v>
      </c>
      <c r="D2578" t="s">
        <v>17</v>
      </c>
      <c r="E2578" t="s">
        <v>18</v>
      </c>
      <c r="F2578" t="s">
        <v>19</v>
      </c>
      <c r="G2578" t="s">
        <v>20</v>
      </c>
      <c r="J2578" t="s">
        <v>17</v>
      </c>
      <c r="K2578" t="str">
        <f>"766009205"</f>
        <v>766009205</v>
      </c>
      <c r="L2578" t="str">
        <f>"766009205"</f>
        <v>766009205</v>
      </c>
      <c r="M2578" t="s">
        <v>75</v>
      </c>
      <c r="N2578" s="1">
        <v>42906.887499999997</v>
      </c>
      <c r="O2578" t="s">
        <v>19</v>
      </c>
    </row>
    <row r="2579" spans="1:15" x14ac:dyDescent="0.25">
      <c r="A2579" t="s">
        <v>2249</v>
      </c>
      <c r="B2579" t="s">
        <v>15</v>
      </c>
      <c r="C2579" t="s">
        <v>2135</v>
      </c>
      <c r="D2579" t="s">
        <v>17</v>
      </c>
      <c r="E2579" t="s">
        <v>18</v>
      </c>
      <c r="F2579" t="s">
        <v>19</v>
      </c>
      <c r="G2579" t="s">
        <v>20</v>
      </c>
      <c r="J2579" t="s">
        <v>17</v>
      </c>
      <c r="K2579" t="str">
        <f>"1505501939"</f>
        <v>1505501939</v>
      </c>
      <c r="L2579" t="str">
        <f>"1505501939"</f>
        <v>1505501939</v>
      </c>
      <c r="M2579" t="s">
        <v>21</v>
      </c>
      <c r="N2579" s="1">
        <v>42993.788888888892</v>
      </c>
      <c r="O2579" t="s">
        <v>33</v>
      </c>
    </row>
    <row r="2580" spans="1:15" x14ac:dyDescent="0.25">
      <c r="A2580" t="s">
        <v>2250</v>
      </c>
      <c r="B2580" t="s">
        <v>15</v>
      </c>
      <c r="C2580" t="s">
        <v>2135</v>
      </c>
      <c r="D2580" t="s">
        <v>17</v>
      </c>
      <c r="E2580" t="s">
        <v>18</v>
      </c>
      <c r="F2580" t="s">
        <v>19</v>
      </c>
      <c r="G2580" t="s">
        <v>20</v>
      </c>
      <c r="J2580" t="s">
        <v>17</v>
      </c>
      <c r="K2580" t="str">
        <f>"766309290"</f>
        <v>766309290</v>
      </c>
      <c r="L2580" t="str">
        <f>"766309290"</f>
        <v>766309290</v>
      </c>
      <c r="M2580" t="s">
        <v>75</v>
      </c>
      <c r="N2580" s="1">
        <v>43005.757638888892</v>
      </c>
      <c r="O2580" t="s">
        <v>19</v>
      </c>
    </row>
    <row r="2581" spans="1:15" x14ac:dyDescent="0.25">
      <c r="A2581" t="s">
        <v>2251</v>
      </c>
      <c r="B2581" t="s">
        <v>15</v>
      </c>
      <c r="C2581" t="s">
        <v>2135</v>
      </c>
      <c r="D2581" t="s">
        <v>17</v>
      </c>
      <c r="E2581" t="s">
        <v>18</v>
      </c>
      <c r="F2581" t="s">
        <v>19</v>
      </c>
      <c r="G2581" t="s">
        <v>20</v>
      </c>
      <c r="J2581" t="s">
        <v>17</v>
      </c>
      <c r="K2581" t="str">
        <f>"322309221"</f>
        <v>322309221</v>
      </c>
      <c r="L2581" t="str">
        <f>"322309221"</f>
        <v>322309221</v>
      </c>
      <c r="M2581" t="s">
        <v>75</v>
      </c>
      <c r="N2581" s="1">
        <v>42872.849305555559</v>
      </c>
      <c r="O2581" t="s">
        <v>19</v>
      </c>
    </row>
    <row r="2582" spans="1:15" x14ac:dyDescent="0.25">
      <c r="A2582" t="s">
        <v>2251</v>
      </c>
      <c r="B2582" t="s">
        <v>15</v>
      </c>
      <c r="C2582" t="s">
        <v>2135</v>
      </c>
      <c r="D2582" t="s">
        <v>17</v>
      </c>
      <c r="E2582" t="s">
        <v>18</v>
      </c>
      <c r="F2582" t="s">
        <v>19</v>
      </c>
      <c r="G2582" t="s">
        <v>20</v>
      </c>
      <c r="J2582" t="s">
        <v>17</v>
      </c>
      <c r="K2582" t="str">
        <f>"766009221"</f>
        <v>766009221</v>
      </c>
      <c r="L2582" t="str">
        <f>"766009221"</f>
        <v>766009221</v>
      </c>
      <c r="M2582" t="s">
        <v>75</v>
      </c>
      <c r="N2582" s="1">
        <v>42872.849305555559</v>
      </c>
      <c r="O2582" t="s">
        <v>19</v>
      </c>
    </row>
    <row r="2583" spans="1:15" x14ac:dyDescent="0.25">
      <c r="A2583" t="s">
        <v>2251</v>
      </c>
      <c r="B2583" t="s">
        <v>15</v>
      </c>
      <c r="C2583" t="s">
        <v>2135</v>
      </c>
      <c r="D2583" t="s">
        <v>17</v>
      </c>
      <c r="E2583" t="s">
        <v>18</v>
      </c>
      <c r="F2583" t="s">
        <v>19</v>
      </c>
      <c r="G2583" t="s">
        <v>20</v>
      </c>
      <c r="J2583" t="s">
        <v>17</v>
      </c>
      <c r="K2583" t="str">
        <f>"762309221"</f>
        <v>762309221</v>
      </c>
      <c r="L2583" t="str">
        <f>"762309221"</f>
        <v>762309221</v>
      </c>
      <c r="M2583" t="s">
        <v>75</v>
      </c>
      <c r="N2583" s="1">
        <v>42872.849305555559</v>
      </c>
      <c r="O2583" t="s">
        <v>19</v>
      </c>
    </row>
    <row r="2584" spans="1:15" x14ac:dyDescent="0.25">
      <c r="A2584" t="s">
        <v>2251</v>
      </c>
      <c r="B2584" t="s">
        <v>15</v>
      </c>
      <c r="C2584" t="s">
        <v>2135</v>
      </c>
      <c r="D2584" t="s">
        <v>17</v>
      </c>
      <c r="E2584" t="s">
        <v>18</v>
      </c>
      <c r="F2584" t="s">
        <v>19</v>
      </c>
      <c r="G2584" t="s">
        <v>20</v>
      </c>
      <c r="J2584" t="s">
        <v>17</v>
      </c>
      <c r="K2584" t="str">
        <f>"766309221"</f>
        <v>766309221</v>
      </c>
      <c r="L2584" t="str">
        <f>"766309221"</f>
        <v>766309221</v>
      </c>
      <c r="M2584" t="s">
        <v>75</v>
      </c>
      <c r="N2584" s="1">
        <v>42872.849305555559</v>
      </c>
      <c r="O2584" t="s">
        <v>19</v>
      </c>
    </row>
    <row r="2585" spans="1:15" x14ac:dyDescent="0.25">
      <c r="A2585" t="s">
        <v>2251</v>
      </c>
      <c r="B2585" t="s">
        <v>15</v>
      </c>
      <c r="C2585" t="s">
        <v>2135</v>
      </c>
      <c r="D2585" t="s">
        <v>17</v>
      </c>
      <c r="E2585" t="s">
        <v>18</v>
      </c>
      <c r="F2585" t="s">
        <v>19</v>
      </c>
      <c r="G2585" t="s">
        <v>20</v>
      </c>
      <c r="J2585" t="s">
        <v>17</v>
      </c>
      <c r="K2585" t="str">
        <f>"172309221"</f>
        <v>172309221</v>
      </c>
      <c r="L2585" t="str">
        <f>"172309221"</f>
        <v>172309221</v>
      </c>
      <c r="M2585" t="s">
        <v>75</v>
      </c>
      <c r="N2585" s="1">
        <v>42930.963194444441</v>
      </c>
      <c r="O2585" t="s">
        <v>19</v>
      </c>
    </row>
    <row r="2586" spans="1:15" x14ac:dyDescent="0.25">
      <c r="A2586" t="s">
        <v>2252</v>
      </c>
      <c r="B2586" t="s">
        <v>15</v>
      </c>
      <c r="C2586" t="s">
        <v>2135</v>
      </c>
      <c r="D2586" t="s">
        <v>17</v>
      </c>
      <c r="E2586" t="s">
        <v>18</v>
      </c>
      <c r="F2586" t="s">
        <v>19</v>
      </c>
      <c r="G2586" t="s">
        <v>20</v>
      </c>
      <c r="J2586" t="s">
        <v>17</v>
      </c>
      <c r="K2586" t="str">
        <f>"762309293"</f>
        <v>762309293</v>
      </c>
      <c r="L2586" t="str">
        <f>"762309293"</f>
        <v>762309293</v>
      </c>
      <c r="M2586" t="s">
        <v>75</v>
      </c>
      <c r="N2586" s="1">
        <v>42959.71875</v>
      </c>
      <c r="O2586" t="s">
        <v>19</v>
      </c>
    </row>
    <row r="2587" spans="1:15" x14ac:dyDescent="0.25">
      <c r="A2587" t="s">
        <v>2252</v>
      </c>
      <c r="B2587" t="s">
        <v>15</v>
      </c>
      <c r="C2587" t="s">
        <v>2135</v>
      </c>
      <c r="D2587" t="s">
        <v>17</v>
      </c>
      <c r="E2587" t="s">
        <v>18</v>
      </c>
      <c r="F2587" t="s">
        <v>19</v>
      </c>
      <c r="G2587" t="s">
        <v>20</v>
      </c>
      <c r="J2587" t="s">
        <v>17</v>
      </c>
      <c r="K2587" t="str">
        <f>"1000001013466"</f>
        <v>1000001013466</v>
      </c>
      <c r="L2587" t="str">
        <f>"766009293"</f>
        <v>766009293</v>
      </c>
      <c r="M2587" t="s">
        <v>84</v>
      </c>
      <c r="N2587" s="1">
        <v>43005.759722222225</v>
      </c>
      <c r="O2587" t="s">
        <v>19</v>
      </c>
    </row>
    <row r="2588" spans="1:15" x14ac:dyDescent="0.25">
      <c r="A2588" t="s">
        <v>2252</v>
      </c>
      <c r="B2588" t="s">
        <v>15</v>
      </c>
      <c r="C2588" t="s">
        <v>2135</v>
      </c>
      <c r="D2588" t="s">
        <v>17</v>
      </c>
      <c r="E2588" t="s">
        <v>18</v>
      </c>
      <c r="F2588" t="s">
        <v>19</v>
      </c>
      <c r="G2588" t="s">
        <v>20</v>
      </c>
      <c r="J2588" t="s">
        <v>17</v>
      </c>
      <c r="K2588" t="str">
        <f>"346009293"</f>
        <v>346009293</v>
      </c>
      <c r="L2588" t="str">
        <f>"346009293"</f>
        <v>346009293</v>
      </c>
      <c r="M2588" t="s">
        <v>75</v>
      </c>
      <c r="N2588" s="1">
        <v>43066.758333333331</v>
      </c>
      <c r="O2588" t="s">
        <v>19</v>
      </c>
    </row>
    <row r="2589" spans="1:15" x14ac:dyDescent="0.25">
      <c r="A2589" t="s">
        <v>2252</v>
      </c>
      <c r="B2589" t="s">
        <v>15</v>
      </c>
      <c r="C2589" t="s">
        <v>2135</v>
      </c>
      <c r="D2589" t="s">
        <v>17</v>
      </c>
      <c r="E2589" t="s">
        <v>18</v>
      </c>
      <c r="F2589" t="s">
        <v>19</v>
      </c>
      <c r="G2589" t="s">
        <v>20</v>
      </c>
      <c r="J2589" t="s">
        <v>17</v>
      </c>
      <c r="K2589" t="str">
        <f>"332309293"</f>
        <v>332309293</v>
      </c>
      <c r="L2589" t="str">
        <f>"332309293"</f>
        <v>332309293</v>
      </c>
      <c r="M2589" t="s">
        <v>75</v>
      </c>
      <c r="N2589" s="1">
        <v>43244.714583333334</v>
      </c>
      <c r="O2589" t="s">
        <v>19</v>
      </c>
    </row>
    <row r="2590" spans="1:15" x14ac:dyDescent="0.25">
      <c r="A2590" t="s">
        <v>2252</v>
      </c>
      <c r="B2590" t="s">
        <v>15</v>
      </c>
      <c r="C2590" t="s">
        <v>2135</v>
      </c>
      <c r="D2590" t="s">
        <v>17</v>
      </c>
      <c r="E2590" t="s">
        <v>18</v>
      </c>
      <c r="F2590" t="s">
        <v>19</v>
      </c>
      <c r="G2590" t="s">
        <v>20</v>
      </c>
      <c r="J2590" t="s">
        <v>17</v>
      </c>
      <c r="K2590" t="str">
        <f>"616009293"</f>
        <v>616009293</v>
      </c>
      <c r="L2590" t="str">
        <f>"616009293"</f>
        <v>616009293</v>
      </c>
      <c r="M2590" t="s">
        <v>84</v>
      </c>
      <c r="N2590" s="1">
        <v>43420.703472222223</v>
      </c>
      <c r="O2590" t="s">
        <v>19</v>
      </c>
    </row>
    <row r="2591" spans="1:15" x14ac:dyDescent="0.25">
      <c r="A2591" t="s">
        <v>2253</v>
      </c>
      <c r="B2591" t="s">
        <v>15</v>
      </c>
      <c r="C2591" t="s">
        <v>2135</v>
      </c>
      <c r="D2591" t="s">
        <v>17</v>
      </c>
      <c r="E2591" t="s">
        <v>18</v>
      </c>
      <c r="F2591" t="s">
        <v>19</v>
      </c>
      <c r="G2591" t="s">
        <v>20</v>
      </c>
      <c r="J2591" t="s">
        <v>17</v>
      </c>
      <c r="K2591" t="str">
        <f>"672309335"</f>
        <v>672309335</v>
      </c>
      <c r="L2591" t="str">
        <f>"672309335"</f>
        <v>672309335</v>
      </c>
      <c r="M2591" t="s">
        <v>21</v>
      </c>
      <c r="N2591" s="1">
        <v>43873.76666666667</v>
      </c>
      <c r="O2591" t="s">
        <v>19</v>
      </c>
    </row>
    <row r="2592" spans="1:15" x14ac:dyDescent="0.25">
      <c r="A2592" t="s">
        <v>2254</v>
      </c>
      <c r="B2592" t="s">
        <v>15</v>
      </c>
      <c r="C2592" t="s">
        <v>2135</v>
      </c>
      <c r="D2592" t="s">
        <v>17</v>
      </c>
      <c r="E2592" t="s">
        <v>18</v>
      </c>
      <c r="F2592" t="s">
        <v>19</v>
      </c>
      <c r="G2592" t="s">
        <v>20</v>
      </c>
      <c r="J2592" t="s">
        <v>17</v>
      </c>
      <c r="K2592" t="str">
        <f>"762309291"</f>
        <v>762309291</v>
      </c>
      <c r="L2592" t="str">
        <f>"762309291"</f>
        <v>762309291</v>
      </c>
      <c r="M2592" t="s">
        <v>75</v>
      </c>
      <c r="N2592" s="1">
        <v>42959.718055555553</v>
      </c>
      <c r="O2592" t="s">
        <v>19</v>
      </c>
    </row>
    <row r="2593" spans="1:15" x14ac:dyDescent="0.25">
      <c r="A2593" t="s">
        <v>2254</v>
      </c>
      <c r="B2593" t="s">
        <v>15</v>
      </c>
      <c r="C2593" t="s">
        <v>2135</v>
      </c>
      <c r="D2593" t="s">
        <v>17</v>
      </c>
      <c r="E2593" t="s">
        <v>18</v>
      </c>
      <c r="F2593" t="s">
        <v>19</v>
      </c>
      <c r="G2593" t="s">
        <v>20</v>
      </c>
      <c r="J2593" t="s">
        <v>17</v>
      </c>
      <c r="K2593" t="str">
        <f>"766009291"</f>
        <v>766009291</v>
      </c>
      <c r="L2593" t="str">
        <f>"766009291"</f>
        <v>766009291</v>
      </c>
      <c r="M2593" t="s">
        <v>75</v>
      </c>
      <c r="N2593" s="1">
        <v>43005.760416666664</v>
      </c>
      <c r="O2593" t="s">
        <v>19</v>
      </c>
    </row>
    <row r="2594" spans="1:15" x14ac:dyDescent="0.25">
      <c r="A2594" t="s">
        <v>2254</v>
      </c>
      <c r="B2594" t="s">
        <v>15</v>
      </c>
      <c r="C2594" t="s">
        <v>2135</v>
      </c>
      <c r="D2594" t="s">
        <v>17</v>
      </c>
      <c r="E2594" t="s">
        <v>18</v>
      </c>
      <c r="F2594" t="s">
        <v>19</v>
      </c>
      <c r="G2594" t="s">
        <v>20</v>
      </c>
      <c r="J2594" t="s">
        <v>17</v>
      </c>
      <c r="K2594" t="str">
        <f>"332309291"</f>
        <v>332309291</v>
      </c>
      <c r="L2594" t="str">
        <f>"332309291"</f>
        <v>332309291</v>
      </c>
      <c r="M2594" t="s">
        <v>75</v>
      </c>
      <c r="N2594" s="1">
        <v>43244.715277777781</v>
      </c>
      <c r="O2594" t="s">
        <v>19</v>
      </c>
    </row>
    <row r="2595" spans="1:15" x14ac:dyDescent="0.25">
      <c r="A2595" t="s">
        <v>2254</v>
      </c>
      <c r="B2595" t="s">
        <v>15</v>
      </c>
      <c r="C2595" t="s">
        <v>2135</v>
      </c>
      <c r="D2595" t="s">
        <v>17</v>
      </c>
      <c r="E2595" t="s">
        <v>18</v>
      </c>
      <c r="F2595" t="s">
        <v>19</v>
      </c>
      <c r="G2595" t="s">
        <v>20</v>
      </c>
      <c r="J2595" t="s">
        <v>17</v>
      </c>
      <c r="K2595" t="str">
        <f>"322309291"</f>
        <v>322309291</v>
      </c>
      <c r="L2595" t="str">
        <f>"322309291"</f>
        <v>322309291</v>
      </c>
      <c r="M2595" t="s">
        <v>84</v>
      </c>
      <c r="N2595" s="1">
        <v>43502.779861111114</v>
      </c>
      <c r="O2595" t="s">
        <v>19</v>
      </c>
    </row>
    <row r="2596" spans="1:15" x14ac:dyDescent="0.25">
      <c r="A2596" t="s">
        <v>2255</v>
      </c>
      <c r="B2596" t="s">
        <v>15</v>
      </c>
      <c r="C2596" t="s">
        <v>2135</v>
      </c>
      <c r="D2596" t="s">
        <v>17</v>
      </c>
      <c r="E2596" t="s">
        <v>18</v>
      </c>
      <c r="F2596" t="s">
        <v>19</v>
      </c>
      <c r="G2596" t="s">
        <v>20</v>
      </c>
      <c r="J2596" t="s">
        <v>17</v>
      </c>
      <c r="K2596" t="str">
        <f>"762309335"</f>
        <v>762309335</v>
      </c>
      <c r="L2596" t="str">
        <f>"762309335"</f>
        <v>762309335</v>
      </c>
      <c r="M2596" t="s">
        <v>21</v>
      </c>
      <c r="N2596" s="1">
        <v>43754.870138888888</v>
      </c>
      <c r="O2596" t="s">
        <v>19</v>
      </c>
    </row>
    <row r="2597" spans="1:15" x14ac:dyDescent="0.25">
      <c r="A2597" t="s">
        <v>2255</v>
      </c>
      <c r="B2597" t="s">
        <v>15</v>
      </c>
      <c r="C2597" t="s">
        <v>2135</v>
      </c>
      <c r="D2597" t="s">
        <v>17</v>
      </c>
      <c r="E2597" t="s">
        <v>18</v>
      </c>
      <c r="F2597" t="s">
        <v>19</v>
      </c>
      <c r="G2597" t="s">
        <v>20</v>
      </c>
      <c r="J2597" t="s">
        <v>17</v>
      </c>
      <c r="K2597" t="str">
        <f>"762309334"</f>
        <v>762309334</v>
      </c>
      <c r="L2597" t="str">
        <f>"762309334"</f>
        <v>762309334</v>
      </c>
      <c r="M2597" t="s">
        <v>21</v>
      </c>
      <c r="N2597" s="1">
        <v>43825.854861111111</v>
      </c>
      <c r="O2597" t="s">
        <v>19</v>
      </c>
    </row>
    <row r="2598" spans="1:15" x14ac:dyDescent="0.25">
      <c r="A2598" t="s">
        <v>2256</v>
      </c>
      <c r="B2598" t="s">
        <v>15</v>
      </c>
      <c r="C2598" t="s">
        <v>2135</v>
      </c>
      <c r="D2598" t="s">
        <v>17</v>
      </c>
      <c r="E2598" t="s">
        <v>18</v>
      </c>
      <c r="F2598" t="s">
        <v>19</v>
      </c>
      <c r="G2598" t="s">
        <v>20</v>
      </c>
      <c r="J2598" t="s">
        <v>17</v>
      </c>
      <c r="K2598" t="str">
        <f>"346009214"</f>
        <v>346009214</v>
      </c>
      <c r="L2598" t="str">
        <f>"346009214"</f>
        <v>346009214</v>
      </c>
      <c r="M2598" t="s">
        <v>75</v>
      </c>
      <c r="N2598" s="1">
        <v>42872.849305555559</v>
      </c>
      <c r="O2598" t="s">
        <v>19</v>
      </c>
    </row>
    <row r="2599" spans="1:15" x14ac:dyDescent="0.25">
      <c r="A2599" t="s">
        <v>2256</v>
      </c>
      <c r="B2599" t="s">
        <v>15</v>
      </c>
      <c r="C2599" t="s">
        <v>2135</v>
      </c>
      <c r="D2599" t="s">
        <v>17</v>
      </c>
      <c r="E2599" t="s">
        <v>18</v>
      </c>
      <c r="F2599" t="s">
        <v>19</v>
      </c>
      <c r="G2599" t="s">
        <v>20</v>
      </c>
      <c r="J2599" t="s">
        <v>17</v>
      </c>
      <c r="K2599" t="str">
        <f>"766009214"</f>
        <v>766009214</v>
      </c>
      <c r="L2599" t="str">
        <f>"766009214"</f>
        <v>766009214</v>
      </c>
      <c r="M2599" t="s">
        <v>75</v>
      </c>
      <c r="N2599" s="1">
        <v>42872.849305555559</v>
      </c>
      <c r="O2599" t="s">
        <v>19</v>
      </c>
    </row>
    <row r="2600" spans="1:15" x14ac:dyDescent="0.25">
      <c r="A2600" t="s">
        <v>2256</v>
      </c>
      <c r="B2600" t="s">
        <v>15</v>
      </c>
      <c r="C2600" t="s">
        <v>2135</v>
      </c>
      <c r="D2600" t="s">
        <v>17</v>
      </c>
      <c r="E2600" t="s">
        <v>18</v>
      </c>
      <c r="F2600" t="s">
        <v>19</v>
      </c>
      <c r="G2600" t="s">
        <v>20</v>
      </c>
      <c r="J2600" t="s">
        <v>17</v>
      </c>
      <c r="K2600" t="str">
        <f>"762309214"</f>
        <v>762309214</v>
      </c>
      <c r="L2600" t="str">
        <f>"762309214"</f>
        <v>762309214</v>
      </c>
      <c r="M2600" t="s">
        <v>75</v>
      </c>
      <c r="N2600" s="1">
        <v>42872.849305555559</v>
      </c>
      <c r="O2600" t="s">
        <v>19</v>
      </c>
    </row>
    <row r="2601" spans="1:15" x14ac:dyDescent="0.25">
      <c r="A2601" t="s">
        <v>2257</v>
      </c>
      <c r="B2601" t="s">
        <v>15</v>
      </c>
      <c r="C2601" t="s">
        <v>2135</v>
      </c>
      <c r="D2601" t="s">
        <v>17</v>
      </c>
      <c r="E2601" t="s">
        <v>18</v>
      </c>
      <c r="F2601" t="s">
        <v>19</v>
      </c>
      <c r="G2601" t="s">
        <v>20</v>
      </c>
      <c r="J2601" t="s">
        <v>17</v>
      </c>
      <c r="K2601" t="str">
        <f>"766009258"</f>
        <v>766009258</v>
      </c>
      <c r="L2601" t="str">
        <f>"766009258"</f>
        <v>766009258</v>
      </c>
      <c r="M2601" t="s">
        <v>75</v>
      </c>
      <c r="N2601" s="1">
        <v>42872.849305555559</v>
      </c>
      <c r="O2601" t="s">
        <v>19</v>
      </c>
    </row>
    <row r="2602" spans="1:15" x14ac:dyDescent="0.25">
      <c r="A2602" t="s">
        <v>2258</v>
      </c>
      <c r="B2602" t="s">
        <v>15</v>
      </c>
      <c r="C2602" t="s">
        <v>2135</v>
      </c>
      <c r="D2602" t="s">
        <v>17</v>
      </c>
      <c r="E2602" t="s">
        <v>18</v>
      </c>
      <c r="F2602" t="s">
        <v>19</v>
      </c>
      <c r="G2602" t="s">
        <v>20</v>
      </c>
      <c r="J2602" t="s">
        <v>17</v>
      </c>
      <c r="K2602" t="str">
        <f>"172309213"</f>
        <v>172309213</v>
      </c>
      <c r="L2602" t="str">
        <f>"172309213"</f>
        <v>172309213</v>
      </c>
      <c r="M2602" t="s">
        <v>75</v>
      </c>
      <c r="N2602" s="1">
        <v>42872.847222222219</v>
      </c>
      <c r="O2602" t="s">
        <v>19</v>
      </c>
    </row>
    <row r="2603" spans="1:15" x14ac:dyDescent="0.25">
      <c r="A2603" t="s">
        <v>2258</v>
      </c>
      <c r="B2603" t="s">
        <v>15</v>
      </c>
      <c r="C2603" t="s">
        <v>2135</v>
      </c>
      <c r="D2603" t="s">
        <v>17</v>
      </c>
      <c r="E2603" t="s">
        <v>18</v>
      </c>
      <c r="F2603" t="s">
        <v>19</v>
      </c>
      <c r="G2603" t="s">
        <v>20</v>
      </c>
      <c r="J2603" t="s">
        <v>17</v>
      </c>
      <c r="K2603" t="str">
        <f>"762309213"</f>
        <v>762309213</v>
      </c>
      <c r="L2603" t="str">
        <f>"762309213"</f>
        <v>762309213</v>
      </c>
      <c r="M2603" t="s">
        <v>75</v>
      </c>
      <c r="N2603" s="1">
        <v>42872.849305555559</v>
      </c>
      <c r="O2603" t="s">
        <v>19</v>
      </c>
    </row>
    <row r="2604" spans="1:15" x14ac:dyDescent="0.25">
      <c r="A2604" t="s">
        <v>2258</v>
      </c>
      <c r="B2604" t="s">
        <v>15</v>
      </c>
      <c r="C2604" t="s">
        <v>2135</v>
      </c>
      <c r="D2604" t="s">
        <v>17</v>
      </c>
      <c r="E2604" t="s">
        <v>18</v>
      </c>
      <c r="F2604" t="s">
        <v>19</v>
      </c>
      <c r="G2604" t="s">
        <v>20</v>
      </c>
      <c r="J2604" t="s">
        <v>17</v>
      </c>
      <c r="K2604" t="str">
        <f>"766009213"</f>
        <v>766009213</v>
      </c>
      <c r="L2604" t="str">
        <f>"766009213"</f>
        <v>766009213</v>
      </c>
      <c r="M2604" t="s">
        <v>75</v>
      </c>
      <c r="N2604" s="1">
        <v>42872.849305555559</v>
      </c>
      <c r="O2604" t="s">
        <v>19</v>
      </c>
    </row>
    <row r="2605" spans="1:15" x14ac:dyDescent="0.25">
      <c r="A2605" t="s">
        <v>2259</v>
      </c>
      <c r="B2605" t="s">
        <v>15</v>
      </c>
      <c r="C2605" t="s">
        <v>2135</v>
      </c>
      <c r="D2605" t="s">
        <v>17</v>
      </c>
      <c r="E2605" t="s">
        <v>18</v>
      </c>
      <c r="F2605" t="s">
        <v>19</v>
      </c>
      <c r="G2605" t="s">
        <v>20</v>
      </c>
      <c r="J2605" t="s">
        <v>17</v>
      </c>
      <c r="K2605" t="str">
        <f>"176309215"</f>
        <v>176309215</v>
      </c>
      <c r="L2605" t="str">
        <f>"176309215"</f>
        <v>176309215</v>
      </c>
      <c r="M2605" t="s">
        <v>75</v>
      </c>
      <c r="N2605" s="1">
        <v>43113.717361111114</v>
      </c>
      <c r="O2605" t="s">
        <v>19</v>
      </c>
    </row>
    <row r="2606" spans="1:15" x14ac:dyDescent="0.25">
      <c r="A2606" t="s">
        <v>2260</v>
      </c>
      <c r="B2606" t="s">
        <v>15</v>
      </c>
      <c r="C2606" t="s">
        <v>2135</v>
      </c>
      <c r="D2606" t="s">
        <v>17</v>
      </c>
      <c r="E2606" t="s">
        <v>18</v>
      </c>
      <c r="F2606" t="s">
        <v>19</v>
      </c>
      <c r="G2606" t="s">
        <v>20</v>
      </c>
      <c r="J2606" t="s">
        <v>17</v>
      </c>
      <c r="K2606" t="str">
        <f>"762309329"</f>
        <v>762309329</v>
      </c>
      <c r="L2606" t="str">
        <f>"762309329"</f>
        <v>762309329</v>
      </c>
      <c r="M2606" t="s">
        <v>21</v>
      </c>
      <c r="N2606" s="1">
        <v>43610.682638888888</v>
      </c>
      <c r="O2606" t="s">
        <v>19</v>
      </c>
    </row>
    <row r="2607" spans="1:15" x14ac:dyDescent="0.25">
      <c r="A2607" t="s">
        <v>2261</v>
      </c>
      <c r="B2607" t="s">
        <v>15</v>
      </c>
      <c r="C2607" t="s">
        <v>2135</v>
      </c>
      <c r="D2607" t="s">
        <v>17</v>
      </c>
      <c r="E2607" t="s">
        <v>18</v>
      </c>
      <c r="F2607" t="s">
        <v>19</v>
      </c>
      <c r="G2607" t="s">
        <v>20</v>
      </c>
      <c r="J2607" t="s">
        <v>17</v>
      </c>
      <c r="K2607" t="str">
        <f>"110762130"</f>
        <v>110762130</v>
      </c>
      <c r="L2607" t="str">
        <f>"110762130"</f>
        <v>110762130</v>
      </c>
      <c r="M2607" t="s">
        <v>75</v>
      </c>
      <c r="N2607" s="1">
        <v>42872.847222222219</v>
      </c>
      <c r="O2607" t="s">
        <v>19</v>
      </c>
    </row>
    <row r="2608" spans="1:15" x14ac:dyDescent="0.25">
      <c r="A2608" t="s">
        <v>2261</v>
      </c>
      <c r="B2608" t="s">
        <v>15</v>
      </c>
      <c r="C2608" t="s">
        <v>2135</v>
      </c>
      <c r="D2608" t="s">
        <v>17</v>
      </c>
      <c r="E2608" t="s">
        <v>18</v>
      </c>
      <c r="F2608" t="s">
        <v>19</v>
      </c>
      <c r="G2608" t="s">
        <v>20</v>
      </c>
      <c r="J2608" t="s">
        <v>17</v>
      </c>
      <c r="K2608" t="str">
        <f>"772309104"</f>
        <v>772309104</v>
      </c>
      <c r="L2608" t="str">
        <f>"772309104"</f>
        <v>772309104</v>
      </c>
      <c r="M2608" t="s">
        <v>75</v>
      </c>
      <c r="N2608" s="1">
        <v>42872.849305555559</v>
      </c>
      <c r="O2608" t="s">
        <v>19</v>
      </c>
    </row>
    <row r="2609" spans="1:15" x14ac:dyDescent="0.25">
      <c r="A2609" t="s">
        <v>2262</v>
      </c>
      <c r="B2609" t="s">
        <v>15</v>
      </c>
      <c r="C2609" t="s">
        <v>2135</v>
      </c>
      <c r="D2609" t="s">
        <v>17</v>
      </c>
      <c r="E2609" t="s">
        <v>18</v>
      </c>
      <c r="F2609" t="s">
        <v>19</v>
      </c>
      <c r="G2609" t="s">
        <v>20</v>
      </c>
      <c r="J2609" t="s">
        <v>17</v>
      </c>
      <c r="K2609" t="str">
        <f>"762309155"</f>
        <v>762309155</v>
      </c>
      <c r="L2609" t="str">
        <f>"762309155"</f>
        <v>762309155</v>
      </c>
      <c r="M2609" t="s">
        <v>75</v>
      </c>
      <c r="N2609" s="1">
        <v>42872.849305555559</v>
      </c>
      <c r="O2609" t="s">
        <v>19</v>
      </c>
    </row>
    <row r="2610" spans="1:15" x14ac:dyDescent="0.25">
      <c r="A2610" t="s">
        <v>2263</v>
      </c>
      <c r="B2610" t="s">
        <v>15</v>
      </c>
      <c r="C2610" t="s">
        <v>2135</v>
      </c>
      <c r="D2610" t="s">
        <v>17</v>
      </c>
      <c r="E2610" t="s">
        <v>18</v>
      </c>
      <c r="F2610" t="s">
        <v>19</v>
      </c>
      <c r="G2610" t="s">
        <v>20</v>
      </c>
      <c r="J2610" t="s">
        <v>17</v>
      </c>
      <c r="K2610" t="str">
        <f>"110170734"</f>
        <v>110170734</v>
      </c>
      <c r="L2610" t="str">
        <f>"110170734"</f>
        <v>110170734</v>
      </c>
      <c r="M2610" t="s">
        <v>75</v>
      </c>
      <c r="N2610" s="1">
        <v>42872.847222222219</v>
      </c>
      <c r="O2610" t="s">
        <v>19</v>
      </c>
    </row>
    <row r="2611" spans="1:15" x14ac:dyDescent="0.25">
      <c r="A2611" t="s">
        <v>2264</v>
      </c>
      <c r="B2611" t="s">
        <v>15</v>
      </c>
      <c r="C2611" t="s">
        <v>2135</v>
      </c>
      <c r="D2611" t="s">
        <v>17</v>
      </c>
      <c r="E2611" t="s">
        <v>18</v>
      </c>
      <c r="F2611" t="s">
        <v>19</v>
      </c>
      <c r="G2611" t="s">
        <v>20</v>
      </c>
      <c r="J2611" t="s">
        <v>17</v>
      </c>
      <c r="K2611" t="str">
        <f>"17230971"</f>
        <v>17230971</v>
      </c>
      <c r="L2611" t="str">
        <f>"17230971"</f>
        <v>17230971</v>
      </c>
      <c r="M2611" t="s">
        <v>75</v>
      </c>
      <c r="N2611" s="1">
        <v>42872.839583333334</v>
      </c>
      <c r="O2611" t="s">
        <v>19</v>
      </c>
    </row>
    <row r="2612" spans="1:15" x14ac:dyDescent="0.25">
      <c r="A2612" t="s">
        <v>2264</v>
      </c>
      <c r="B2612" t="s">
        <v>15</v>
      </c>
      <c r="C2612" t="s">
        <v>2135</v>
      </c>
      <c r="D2612" t="s">
        <v>17</v>
      </c>
      <c r="E2612" t="s">
        <v>18</v>
      </c>
      <c r="F2612" t="s">
        <v>19</v>
      </c>
      <c r="G2612" t="s">
        <v>20</v>
      </c>
      <c r="J2612" t="s">
        <v>17</v>
      </c>
      <c r="K2612" t="str">
        <f>"76230971"</f>
        <v>76230971</v>
      </c>
      <c r="L2612" t="str">
        <f>"76230971"</f>
        <v>76230971</v>
      </c>
      <c r="M2612" t="s">
        <v>75</v>
      </c>
      <c r="N2612" s="1">
        <v>42872.847222222219</v>
      </c>
      <c r="O2612" t="s">
        <v>19</v>
      </c>
    </row>
    <row r="2613" spans="1:15" x14ac:dyDescent="0.25">
      <c r="A2613" t="s">
        <v>2264</v>
      </c>
      <c r="B2613" t="s">
        <v>15</v>
      </c>
      <c r="C2613" t="s">
        <v>2135</v>
      </c>
      <c r="D2613" t="s">
        <v>17</v>
      </c>
      <c r="E2613" t="s">
        <v>18</v>
      </c>
      <c r="F2613" t="s">
        <v>19</v>
      </c>
      <c r="G2613" t="s">
        <v>20</v>
      </c>
      <c r="J2613" t="s">
        <v>17</v>
      </c>
      <c r="K2613" t="str">
        <f>"76630971"</f>
        <v>76630971</v>
      </c>
      <c r="L2613" t="str">
        <f>"76630971"</f>
        <v>76630971</v>
      </c>
      <c r="M2613" t="s">
        <v>75</v>
      </c>
      <c r="N2613" s="1">
        <v>42872.847222222219</v>
      </c>
      <c r="O2613" t="s">
        <v>19</v>
      </c>
    </row>
    <row r="2614" spans="1:15" x14ac:dyDescent="0.25">
      <c r="A2614" t="s">
        <v>2264</v>
      </c>
      <c r="B2614" t="s">
        <v>15</v>
      </c>
      <c r="C2614" t="s">
        <v>2135</v>
      </c>
      <c r="D2614" t="s">
        <v>17</v>
      </c>
      <c r="E2614" t="s">
        <v>18</v>
      </c>
      <c r="F2614" t="s">
        <v>19</v>
      </c>
      <c r="G2614" t="s">
        <v>20</v>
      </c>
      <c r="J2614" t="s">
        <v>17</v>
      </c>
      <c r="K2614" t="str">
        <f>"762309259"</f>
        <v>762309259</v>
      </c>
      <c r="L2614" t="str">
        <f>"762309259"</f>
        <v>762309259</v>
      </c>
      <c r="M2614" t="s">
        <v>75</v>
      </c>
      <c r="N2614" s="1">
        <v>42872.849305555559</v>
      </c>
      <c r="O2614" t="s">
        <v>19</v>
      </c>
    </row>
    <row r="2615" spans="1:15" x14ac:dyDescent="0.25">
      <c r="A2615" t="s">
        <v>2265</v>
      </c>
      <c r="B2615" t="s">
        <v>15</v>
      </c>
      <c r="C2615" t="s">
        <v>2135</v>
      </c>
      <c r="D2615" t="s">
        <v>17</v>
      </c>
      <c r="E2615" t="s">
        <v>18</v>
      </c>
      <c r="F2615" t="s">
        <v>19</v>
      </c>
      <c r="G2615" t="s">
        <v>20</v>
      </c>
      <c r="J2615" t="s">
        <v>17</v>
      </c>
      <c r="K2615" t="str">
        <f>"76600971"</f>
        <v>76600971</v>
      </c>
      <c r="L2615" t="str">
        <f>"76600971"</f>
        <v>76600971</v>
      </c>
      <c r="M2615" t="s">
        <v>75</v>
      </c>
      <c r="N2615" s="1">
        <v>42872.847222222219</v>
      </c>
      <c r="O2615" t="s">
        <v>19</v>
      </c>
    </row>
    <row r="2616" spans="1:15" x14ac:dyDescent="0.25">
      <c r="A2616" t="s">
        <v>2266</v>
      </c>
      <c r="B2616" t="s">
        <v>15</v>
      </c>
      <c r="C2616" t="s">
        <v>2135</v>
      </c>
      <c r="D2616" t="s">
        <v>17</v>
      </c>
      <c r="E2616" t="s">
        <v>18</v>
      </c>
      <c r="F2616" t="s">
        <v>19</v>
      </c>
      <c r="G2616" t="s">
        <v>20</v>
      </c>
      <c r="J2616" t="s">
        <v>17</v>
      </c>
      <c r="K2616" t="str">
        <f>"17230910"</f>
        <v>17230910</v>
      </c>
      <c r="L2616" t="str">
        <f>"17230910"</f>
        <v>17230910</v>
      </c>
      <c r="M2616" t="s">
        <v>75</v>
      </c>
      <c r="N2616" s="1">
        <v>42872.839583333334</v>
      </c>
      <c r="O2616" t="s">
        <v>19</v>
      </c>
    </row>
    <row r="2617" spans="1:15" x14ac:dyDescent="0.25">
      <c r="A2617" t="s">
        <v>2266</v>
      </c>
      <c r="B2617" t="s">
        <v>15</v>
      </c>
      <c r="C2617" t="s">
        <v>2135</v>
      </c>
      <c r="D2617" t="s">
        <v>17</v>
      </c>
      <c r="E2617" t="s">
        <v>18</v>
      </c>
      <c r="F2617" t="s">
        <v>19</v>
      </c>
      <c r="G2617" t="s">
        <v>20</v>
      </c>
      <c r="J2617" t="s">
        <v>17</v>
      </c>
      <c r="K2617" t="str">
        <f>"76230910"</f>
        <v>76230910</v>
      </c>
      <c r="L2617" t="str">
        <f>"76230910"</f>
        <v>76230910</v>
      </c>
      <c r="M2617" t="s">
        <v>75</v>
      </c>
      <c r="N2617" s="1">
        <v>42872.847222222219</v>
      </c>
      <c r="O2617" t="s">
        <v>19</v>
      </c>
    </row>
    <row r="2618" spans="1:15" x14ac:dyDescent="0.25">
      <c r="A2618" t="s">
        <v>2266</v>
      </c>
      <c r="B2618" t="s">
        <v>15</v>
      </c>
      <c r="C2618" t="s">
        <v>2135</v>
      </c>
      <c r="D2618" t="s">
        <v>17</v>
      </c>
      <c r="E2618" t="s">
        <v>18</v>
      </c>
      <c r="F2618" t="s">
        <v>19</v>
      </c>
      <c r="G2618" t="s">
        <v>20</v>
      </c>
      <c r="J2618" t="s">
        <v>17</v>
      </c>
      <c r="K2618" t="str">
        <f>"76600910"</f>
        <v>76600910</v>
      </c>
      <c r="L2618" t="str">
        <f>"76600910"</f>
        <v>76600910</v>
      </c>
      <c r="M2618" t="s">
        <v>75</v>
      </c>
      <c r="N2618" s="1">
        <v>42872.847222222219</v>
      </c>
      <c r="O2618" t="s">
        <v>19</v>
      </c>
    </row>
    <row r="2619" spans="1:15" x14ac:dyDescent="0.25">
      <c r="A2619" t="s">
        <v>2266</v>
      </c>
      <c r="B2619" t="s">
        <v>15</v>
      </c>
      <c r="C2619" t="s">
        <v>2135</v>
      </c>
      <c r="D2619" t="s">
        <v>17</v>
      </c>
      <c r="E2619" t="s">
        <v>18</v>
      </c>
      <c r="F2619" t="s">
        <v>19</v>
      </c>
      <c r="G2619" t="s">
        <v>20</v>
      </c>
      <c r="J2619" t="s">
        <v>17</v>
      </c>
      <c r="K2619" t="str">
        <f>"76630910"</f>
        <v>76630910</v>
      </c>
      <c r="L2619" t="str">
        <f>"76630910"</f>
        <v>76630910</v>
      </c>
      <c r="M2619" t="s">
        <v>75</v>
      </c>
      <c r="N2619" s="1">
        <v>42872.847222222219</v>
      </c>
      <c r="O2619" t="s">
        <v>19</v>
      </c>
    </row>
    <row r="2620" spans="1:15" x14ac:dyDescent="0.25">
      <c r="A2620" t="s">
        <v>2266</v>
      </c>
      <c r="B2620" t="s">
        <v>15</v>
      </c>
      <c r="C2620" t="s">
        <v>2135</v>
      </c>
      <c r="D2620" t="s">
        <v>17</v>
      </c>
      <c r="E2620" t="s">
        <v>18</v>
      </c>
      <c r="F2620" t="s">
        <v>19</v>
      </c>
      <c r="G2620" t="s">
        <v>20</v>
      </c>
      <c r="J2620" t="s">
        <v>17</v>
      </c>
      <c r="K2620" t="str">
        <f>"76630974"</f>
        <v>76630974</v>
      </c>
      <c r="L2620" t="str">
        <f>"76630974"</f>
        <v>76630974</v>
      </c>
      <c r="M2620" t="s">
        <v>75</v>
      </c>
      <c r="N2620" s="1">
        <v>42872.847222222219</v>
      </c>
      <c r="O2620" t="s">
        <v>19</v>
      </c>
    </row>
    <row r="2621" spans="1:15" x14ac:dyDescent="0.25">
      <c r="A2621" t="s">
        <v>2266</v>
      </c>
      <c r="B2621" t="s">
        <v>15</v>
      </c>
      <c r="C2621" t="s">
        <v>2135</v>
      </c>
      <c r="D2621" t="s">
        <v>17</v>
      </c>
      <c r="E2621" t="s">
        <v>18</v>
      </c>
      <c r="F2621" t="s">
        <v>19</v>
      </c>
      <c r="G2621" t="s">
        <v>20</v>
      </c>
      <c r="J2621" t="s">
        <v>17</v>
      </c>
      <c r="K2621" t="str">
        <f>"76630934"</f>
        <v>76630934</v>
      </c>
      <c r="L2621" t="str">
        <f>"76630934"</f>
        <v>76630934</v>
      </c>
      <c r="M2621" t="s">
        <v>75</v>
      </c>
      <c r="N2621" s="1">
        <v>42872.847222222219</v>
      </c>
      <c r="O2621" t="s">
        <v>19</v>
      </c>
    </row>
    <row r="2622" spans="1:15" x14ac:dyDescent="0.25">
      <c r="A2622" t="s">
        <v>2267</v>
      </c>
      <c r="B2622" t="s">
        <v>15</v>
      </c>
      <c r="C2622" t="s">
        <v>2135</v>
      </c>
      <c r="D2622" t="s">
        <v>17</v>
      </c>
      <c r="E2622" t="s">
        <v>18</v>
      </c>
      <c r="F2622" t="s">
        <v>19</v>
      </c>
      <c r="G2622" t="s">
        <v>20</v>
      </c>
      <c r="J2622" t="s">
        <v>17</v>
      </c>
      <c r="K2622" t="str">
        <f>"762309107"</f>
        <v>762309107</v>
      </c>
      <c r="L2622" t="str">
        <f>"762309107"</f>
        <v>762309107</v>
      </c>
      <c r="M2622" t="s">
        <v>75</v>
      </c>
      <c r="N2622" s="1">
        <v>42872.849305555559</v>
      </c>
      <c r="O2622" t="s">
        <v>19</v>
      </c>
    </row>
    <row r="2623" spans="1:15" x14ac:dyDescent="0.25">
      <c r="A2623" t="s">
        <v>2268</v>
      </c>
      <c r="B2623" t="s">
        <v>15</v>
      </c>
      <c r="C2623" t="s">
        <v>2135</v>
      </c>
      <c r="D2623" t="s">
        <v>17</v>
      </c>
      <c r="E2623" t="s">
        <v>18</v>
      </c>
      <c r="F2623" t="s">
        <v>19</v>
      </c>
      <c r="G2623" t="s">
        <v>20</v>
      </c>
      <c r="J2623" t="s">
        <v>17</v>
      </c>
      <c r="K2623" t="str">
        <f>"762309333"</f>
        <v>762309333</v>
      </c>
      <c r="L2623" t="str">
        <f>"762309333"</f>
        <v>762309333</v>
      </c>
      <c r="M2623" t="s">
        <v>21</v>
      </c>
      <c r="N2623" s="1">
        <v>43825.856249999997</v>
      </c>
      <c r="O2623" t="s">
        <v>19</v>
      </c>
    </row>
    <row r="2624" spans="1:15" x14ac:dyDescent="0.25">
      <c r="A2624" t="s">
        <v>2269</v>
      </c>
      <c r="B2624" t="s">
        <v>15</v>
      </c>
      <c r="C2624" t="s">
        <v>2135</v>
      </c>
      <c r="D2624" t="s">
        <v>17</v>
      </c>
      <c r="E2624" t="s">
        <v>18</v>
      </c>
      <c r="F2624" t="s">
        <v>19</v>
      </c>
      <c r="G2624" t="s">
        <v>20</v>
      </c>
      <c r="J2624" t="s">
        <v>17</v>
      </c>
      <c r="K2624" t="str">
        <f>"762309250"</f>
        <v>762309250</v>
      </c>
      <c r="L2624" t="str">
        <f>"762309250"</f>
        <v>762309250</v>
      </c>
      <c r="M2624" t="s">
        <v>75</v>
      </c>
      <c r="N2624" s="1">
        <v>42872.849305555559</v>
      </c>
      <c r="O2624" t="s">
        <v>19</v>
      </c>
    </row>
    <row r="2625" spans="1:15" x14ac:dyDescent="0.25">
      <c r="A2625" t="s">
        <v>2269</v>
      </c>
      <c r="B2625" t="s">
        <v>15</v>
      </c>
      <c r="C2625" t="s">
        <v>2135</v>
      </c>
      <c r="D2625" t="s">
        <v>17</v>
      </c>
      <c r="E2625" t="s">
        <v>18</v>
      </c>
      <c r="F2625" t="s">
        <v>19</v>
      </c>
      <c r="G2625" t="s">
        <v>20</v>
      </c>
      <c r="J2625" t="s">
        <v>17</v>
      </c>
      <c r="K2625" t="str">
        <f>"912309250"</f>
        <v>912309250</v>
      </c>
      <c r="L2625" t="str">
        <f>"912309250"</f>
        <v>912309250</v>
      </c>
      <c r="M2625" t="s">
        <v>75</v>
      </c>
      <c r="N2625" s="1">
        <v>42872.849305555559</v>
      </c>
      <c r="O2625" t="s">
        <v>19</v>
      </c>
    </row>
    <row r="2626" spans="1:15" x14ac:dyDescent="0.25">
      <c r="A2626" t="s">
        <v>2270</v>
      </c>
      <c r="B2626" t="s">
        <v>15</v>
      </c>
      <c r="C2626" t="s">
        <v>2135</v>
      </c>
      <c r="D2626" t="s">
        <v>17</v>
      </c>
      <c r="E2626" t="s">
        <v>18</v>
      </c>
      <c r="F2626" t="s">
        <v>19</v>
      </c>
      <c r="G2626" t="s">
        <v>20</v>
      </c>
      <c r="J2626" t="s">
        <v>17</v>
      </c>
      <c r="K2626" t="str">
        <f>"762309173"</f>
        <v>762309173</v>
      </c>
      <c r="L2626" t="str">
        <f>"762309173"</f>
        <v>762309173</v>
      </c>
      <c r="M2626" t="s">
        <v>75</v>
      </c>
      <c r="N2626" s="1">
        <v>42872.849305555559</v>
      </c>
      <c r="O2626" t="s">
        <v>19</v>
      </c>
    </row>
    <row r="2627" spans="1:15" x14ac:dyDescent="0.25">
      <c r="A2627" t="s">
        <v>2271</v>
      </c>
      <c r="B2627" t="s">
        <v>15</v>
      </c>
      <c r="C2627" t="s">
        <v>2135</v>
      </c>
      <c r="D2627" t="s">
        <v>17</v>
      </c>
      <c r="E2627" t="s">
        <v>18</v>
      </c>
      <c r="F2627" t="s">
        <v>19</v>
      </c>
      <c r="G2627" t="s">
        <v>20</v>
      </c>
      <c r="J2627" t="s">
        <v>17</v>
      </c>
      <c r="K2627" t="str">
        <f>"172309261"</f>
        <v>172309261</v>
      </c>
      <c r="L2627" t="str">
        <f>"172309261"</f>
        <v>172309261</v>
      </c>
      <c r="M2627" t="s">
        <v>75</v>
      </c>
      <c r="N2627" s="1">
        <v>42872.847222222219</v>
      </c>
      <c r="O2627" t="s">
        <v>19</v>
      </c>
    </row>
    <row r="2628" spans="1:15" x14ac:dyDescent="0.25">
      <c r="A2628" t="s">
        <v>2271</v>
      </c>
      <c r="B2628" t="s">
        <v>15</v>
      </c>
      <c r="C2628" t="s">
        <v>2135</v>
      </c>
      <c r="D2628" t="s">
        <v>17</v>
      </c>
      <c r="E2628" t="s">
        <v>18</v>
      </c>
      <c r="F2628" t="s">
        <v>19</v>
      </c>
      <c r="G2628" t="s">
        <v>20</v>
      </c>
      <c r="J2628" t="s">
        <v>17</v>
      </c>
      <c r="K2628" t="str">
        <f>"762309261"</f>
        <v>762309261</v>
      </c>
      <c r="L2628" t="str">
        <f>"762309261"</f>
        <v>762309261</v>
      </c>
      <c r="M2628" t="s">
        <v>75</v>
      </c>
      <c r="N2628" s="1">
        <v>42872.849305555559</v>
      </c>
      <c r="O2628" t="s">
        <v>19</v>
      </c>
    </row>
    <row r="2629" spans="1:15" x14ac:dyDescent="0.25">
      <c r="A2629" t="s">
        <v>2272</v>
      </c>
      <c r="B2629" t="s">
        <v>15</v>
      </c>
      <c r="C2629" t="s">
        <v>2135</v>
      </c>
      <c r="D2629" t="s">
        <v>17</v>
      </c>
      <c r="E2629" t="s">
        <v>18</v>
      </c>
      <c r="F2629" t="s">
        <v>19</v>
      </c>
      <c r="G2629" t="s">
        <v>20</v>
      </c>
      <c r="J2629" t="s">
        <v>17</v>
      </c>
      <c r="K2629" t="str">
        <f>"762309235"</f>
        <v>762309235</v>
      </c>
      <c r="L2629" t="str">
        <f>"762309235"</f>
        <v>762309235</v>
      </c>
      <c r="M2629" t="s">
        <v>75</v>
      </c>
      <c r="N2629" s="1">
        <v>42872.849305555559</v>
      </c>
      <c r="O2629" t="s">
        <v>19</v>
      </c>
    </row>
    <row r="2630" spans="1:15" x14ac:dyDescent="0.25">
      <c r="A2630" t="s">
        <v>2273</v>
      </c>
      <c r="B2630" t="s">
        <v>15</v>
      </c>
      <c r="C2630" t="s">
        <v>2135</v>
      </c>
      <c r="D2630" t="s">
        <v>17</v>
      </c>
      <c r="E2630" t="s">
        <v>18</v>
      </c>
      <c r="F2630" t="s">
        <v>19</v>
      </c>
      <c r="G2630" t="s">
        <v>20</v>
      </c>
      <c r="J2630" t="s">
        <v>17</v>
      </c>
      <c r="K2630" t="str">
        <f>"766009235"</f>
        <v>766009235</v>
      </c>
      <c r="L2630" t="str">
        <f>"766009235"</f>
        <v>766009235</v>
      </c>
      <c r="M2630" t="s">
        <v>75</v>
      </c>
      <c r="N2630" s="1">
        <v>42872.849305555559</v>
      </c>
      <c r="O2630" t="s">
        <v>19</v>
      </c>
    </row>
    <row r="2631" spans="1:15" x14ac:dyDescent="0.25">
      <c r="A2631" t="s">
        <v>2274</v>
      </c>
      <c r="B2631" t="s">
        <v>15</v>
      </c>
      <c r="C2631" t="s">
        <v>2135</v>
      </c>
      <c r="D2631" t="s">
        <v>17</v>
      </c>
      <c r="E2631" t="s">
        <v>18</v>
      </c>
      <c r="F2631" t="s">
        <v>19</v>
      </c>
      <c r="G2631" t="s">
        <v>20</v>
      </c>
      <c r="J2631" t="s">
        <v>17</v>
      </c>
      <c r="K2631" t="str">
        <f>"762309292"</f>
        <v>762309292</v>
      </c>
      <c r="L2631" t="str">
        <f>"762309292"</f>
        <v>762309292</v>
      </c>
      <c r="M2631" t="s">
        <v>75</v>
      </c>
      <c r="N2631" s="1">
        <v>42959.719444444447</v>
      </c>
      <c r="O2631" t="s">
        <v>19</v>
      </c>
    </row>
    <row r="2632" spans="1:15" x14ac:dyDescent="0.25">
      <c r="A2632" t="s">
        <v>2274</v>
      </c>
      <c r="B2632" t="s">
        <v>15</v>
      </c>
      <c r="C2632" t="s">
        <v>2135</v>
      </c>
      <c r="D2632" t="s">
        <v>17</v>
      </c>
      <c r="E2632" t="s">
        <v>18</v>
      </c>
      <c r="F2632" t="s">
        <v>19</v>
      </c>
      <c r="G2632" t="s">
        <v>20</v>
      </c>
      <c r="J2632" t="s">
        <v>17</v>
      </c>
      <c r="K2632" t="str">
        <f>"766009292"</f>
        <v>766009292</v>
      </c>
      <c r="L2632" t="str">
        <f>"766009292"</f>
        <v>766009292</v>
      </c>
      <c r="M2632" t="s">
        <v>75</v>
      </c>
      <c r="N2632" s="1">
        <v>43005.754861111112</v>
      </c>
      <c r="O2632" t="s">
        <v>19</v>
      </c>
    </row>
    <row r="2633" spans="1:15" x14ac:dyDescent="0.25">
      <c r="A2633" t="s">
        <v>2274</v>
      </c>
      <c r="B2633" t="s">
        <v>15</v>
      </c>
      <c r="C2633" t="s">
        <v>2135</v>
      </c>
      <c r="D2633" t="s">
        <v>17</v>
      </c>
      <c r="E2633" t="s">
        <v>18</v>
      </c>
      <c r="F2633" t="s">
        <v>19</v>
      </c>
      <c r="G2633" t="s">
        <v>20</v>
      </c>
      <c r="J2633" t="s">
        <v>17</v>
      </c>
      <c r="K2633" t="str">
        <f>"612309261"</f>
        <v>612309261</v>
      </c>
      <c r="L2633" t="str">
        <f>"612309261"</f>
        <v>612309261</v>
      </c>
      <c r="M2633" t="s">
        <v>84</v>
      </c>
      <c r="N2633" s="1">
        <v>43320.679861111108</v>
      </c>
      <c r="O2633" t="s">
        <v>19</v>
      </c>
    </row>
    <row r="2634" spans="1:15" x14ac:dyDescent="0.25">
      <c r="A2634" t="s">
        <v>2274</v>
      </c>
      <c r="B2634" t="s">
        <v>15</v>
      </c>
      <c r="C2634" t="s">
        <v>2135</v>
      </c>
      <c r="D2634" t="s">
        <v>17</v>
      </c>
      <c r="E2634" t="s">
        <v>18</v>
      </c>
      <c r="F2634" t="s">
        <v>19</v>
      </c>
      <c r="G2634" t="s">
        <v>20</v>
      </c>
      <c r="J2634" t="s">
        <v>17</v>
      </c>
      <c r="K2634" t="str">
        <f>"616009292"</f>
        <v>616009292</v>
      </c>
      <c r="L2634" t="str">
        <f>"616009292"</f>
        <v>616009292</v>
      </c>
      <c r="M2634" t="s">
        <v>84</v>
      </c>
      <c r="N2634" s="1">
        <v>43420.70416666667</v>
      </c>
      <c r="O2634" t="s">
        <v>19</v>
      </c>
    </row>
    <row r="2635" spans="1:15" x14ac:dyDescent="0.25">
      <c r="A2635" t="s">
        <v>2275</v>
      </c>
      <c r="B2635" t="s">
        <v>15</v>
      </c>
      <c r="C2635" t="s">
        <v>2135</v>
      </c>
      <c r="D2635" t="s">
        <v>17</v>
      </c>
      <c r="E2635" t="s">
        <v>18</v>
      </c>
      <c r="F2635" t="s">
        <v>19</v>
      </c>
      <c r="G2635" t="s">
        <v>20</v>
      </c>
      <c r="J2635" t="s">
        <v>17</v>
      </c>
      <c r="K2635" t="str">
        <f>"912309271"</f>
        <v>912309271</v>
      </c>
      <c r="L2635" t="str">
        <f>"912309271"</f>
        <v>912309271</v>
      </c>
      <c r="M2635" t="s">
        <v>75</v>
      </c>
      <c r="N2635" s="1">
        <v>42872.849305555559</v>
      </c>
      <c r="O2635" t="s">
        <v>19</v>
      </c>
    </row>
    <row r="2636" spans="1:15" x14ac:dyDescent="0.25">
      <c r="A2636" t="s">
        <v>2276</v>
      </c>
      <c r="B2636" t="s">
        <v>15</v>
      </c>
      <c r="C2636" t="s">
        <v>2135</v>
      </c>
      <c r="D2636" t="s">
        <v>17</v>
      </c>
      <c r="E2636" t="s">
        <v>18</v>
      </c>
      <c r="F2636" t="s">
        <v>19</v>
      </c>
      <c r="G2636" t="s">
        <v>20</v>
      </c>
      <c r="J2636" t="s">
        <v>17</v>
      </c>
      <c r="K2636" t="str">
        <f>"912309277"</f>
        <v>912309277</v>
      </c>
      <c r="L2636" t="str">
        <f>"912309277"</f>
        <v>912309277</v>
      </c>
      <c r="M2636" t="s">
        <v>75</v>
      </c>
      <c r="N2636" s="1">
        <v>42872.849305555559</v>
      </c>
      <c r="O2636" t="s">
        <v>19</v>
      </c>
    </row>
    <row r="2637" spans="1:15" x14ac:dyDescent="0.25">
      <c r="A2637" t="s">
        <v>2277</v>
      </c>
      <c r="B2637" t="s">
        <v>15</v>
      </c>
      <c r="C2637" t="s">
        <v>2135</v>
      </c>
      <c r="D2637" t="s">
        <v>17</v>
      </c>
      <c r="E2637" t="s">
        <v>18</v>
      </c>
      <c r="F2637" t="s">
        <v>19</v>
      </c>
      <c r="G2637" t="s">
        <v>20</v>
      </c>
      <c r="J2637" t="s">
        <v>17</v>
      </c>
      <c r="K2637" t="str">
        <f>"172309285"</f>
        <v>172309285</v>
      </c>
      <c r="L2637" t="str">
        <f>"172309285"</f>
        <v>172309285</v>
      </c>
      <c r="M2637" t="s">
        <v>75</v>
      </c>
      <c r="N2637" s="1">
        <v>42872.849305555559</v>
      </c>
      <c r="O2637" t="s">
        <v>19</v>
      </c>
    </row>
    <row r="2638" spans="1:15" x14ac:dyDescent="0.25">
      <c r="A2638" t="s">
        <v>2277</v>
      </c>
      <c r="B2638" t="s">
        <v>15</v>
      </c>
      <c r="C2638" t="s">
        <v>2135</v>
      </c>
      <c r="D2638" t="s">
        <v>17</v>
      </c>
      <c r="E2638" t="s">
        <v>18</v>
      </c>
      <c r="F2638" t="s">
        <v>19</v>
      </c>
      <c r="G2638" t="s">
        <v>20</v>
      </c>
      <c r="J2638" t="s">
        <v>17</v>
      </c>
      <c r="K2638" t="str">
        <f>"912309285"</f>
        <v>912309285</v>
      </c>
      <c r="L2638" t="str">
        <f>"912309285"</f>
        <v>912309285</v>
      </c>
      <c r="M2638" t="s">
        <v>75</v>
      </c>
      <c r="N2638" s="1">
        <v>42872.849305555559</v>
      </c>
      <c r="O2638" t="s">
        <v>19</v>
      </c>
    </row>
    <row r="2639" spans="1:15" x14ac:dyDescent="0.25">
      <c r="A2639" t="s">
        <v>2277</v>
      </c>
      <c r="B2639" t="s">
        <v>15</v>
      </c>
      <c r="C2639" t="s">
        <v>2135</v>
      </c>
      <c r="D2639" t="s">
        <v>17</v>
      </c>
      <c r="E2639" t="s">
        <v>18</v>
      </c>
      <c r="F2639" t="s">
        <v>19</v>
      </c>
      <c r="G2639" t="s">
        <v>20</v>
      </c>
      <c r="J2639" t="s">
        <v>17</v>
      </c>
      <c r="K2639" t="str">
        <f>"176009285"</f>
        <v>176009285</v>
      </c>
      <c r="L2639" t="str">
        <f>"176009285"</f>
        <v>176009285</v>
      </c>
      <c r="M2639" t="s">
        <v>75</v>
      </c>
      <c r="N2639" s="1">
        <v>42872.849305555559</v>
      </c>
      <c r="O2639" t="s">
        <v>19</v>
      </c>
    </row>
    <row r="2640" spans="1:15" x14ac:dyDescent="0.25">
      <c r="A2640" t="s">
        <v>2277</v>
      </c>
      <c r="B2640" t="s">
        <v>15</v>
      </c>
      <c r="C2640" t="s">
        <v>2135</v>
      </c>
      <c r="D2640" t="s">
        <v>17</v>
      </c>
      <c r="E2640" t="s">
        <v>18</v>
      </c>
      <c r="F2640" t="s">
        <v>19</v>
      </c>
      <c r="G2640" t="s">
        <v>20</v>
      </c>
      <c r="J2640" t="s">
        <v>17</v>
      </c>
      <c r="K2640" t="str">
        <f>"762309285"</f>
        <v>762309285</v>
      </c>
      <c r="L2640" t="str">
        <f>"762309285"</f>
        <v>762309285</v>
      </c>
      <c r="M2640" t="s">
        <v>75</v>
      </c>
      <c r="N2640" s="1">
        <v>42872.849305555559</v>
      </c>
      <c r="O2640" t="s">
        <v>19</v>
      </c>
    </row>
    <row r="2641" spans="1:15" x14ac:dyDescent="0.25">
      <c r="A2641" t="s">
        <v>2278</v>
      </c>
      <c r="B2641" t="s">
        <v>15</v>
      </c>
      <c r="C2641" t="s">
        <v>2135</v>
      </c>
      <c r="D2641" t="s">
        <v>17</v>
      </c>
      <c r="E2641" t="s">
        <v>18</v>
      </c>
      <c r="F2641" t="s">
        <v>19</v>
      </c>
      <c r="G2641" t="s">
        <v>20</v>
      </c>
      <c r="J2641" t="s">
        <v>17</v>
      </c>
      <c r="K2641" t="str">
        <f>"766009250"</f>
        <v>766009250</v>
      </c>
      <c r="L2641" t="str">
        <f>"766009250"</f>
        <v>766009250</v>
      </c>
      <c r="M2641" t="s">
        <v>75</v>
      </c>
      <c r="N2641" s="1">
        <v>42872.849305555559</v>
      </c>
      <c r="O2641" t="s">
        <v>19</v>
      </c>
    </row>
    <row r="2642" spans="1:15" x14ac:dyDescent="0.25">
      <c r="A2642" t="s">
        <v>2279</v>
      </c>
      <c r="B2642" t="s">
        <v>15</v>
      </c>
      <c r="C2642" t="s">
        <v>2135</v>
      </c>
      <c r="D2642" t="s">
        <v>17</v>
      </c>
      <c r="E2642" t="s">
        <v>18</v>
      </c>
      <c r="F2642" t="s">
        <v>19</v>
      </c>
      <c r="G2642" t="s">
        <v>20</v>
      </c>
      <c r="J2642" t="s">
        <v>17</v>
      </c>
      <c r="K2642" t="str">
        <f>"172309173"</f>
        <v>172309173</v>
      </c>
      <c r="L2642" t="str">
        <f>"172309173"</f>
        <v>172309173</v>
      </c>
      <c r="M2642" t="s">
        <v>75</v>
      </c>
      <c r="N2642" s="1">
        <v>42872.847222222219</v>
      </c>
      <c r="O2642" t="s">
        <v>19</v>
      </c>
    </row>
    <row r="2643" spans="1:15" x14ac:dyDescent="0.25">
      <c r="A2643" t="s">
        <v>2279</v>
      </c>
      <c r="B2643" t="s">
        <v>15</v>
      </c>
      <c r="C2643" t="s">
        <v>2135</v>
      </c>
      <c r="D2643" t="s">
        <v>17</v>
      </c>
      <c r="E2643" t="s">
        <v>18</v>
      </c>
      <c r="F2643" t="s">
        <v>19</v>
      </c>
      <c r="G2643" t="s">
        <v>20</v>
      </c>
      <c r="J2643" t="s">
        <v>17</v>
      </c>
      <c r="K2643" t="str">
        <f>"176009173"</f>
        <v>176009173</v>
      </c>
      <c r="L2643" t="str">
        <f>"176009173"</f>
        <v>176009173</v>
      </c>
      <c r="M2643" t="s">
        <v>75</v>
      </c>
      <c r="N2643" s="1">
        <v>42872.849305555559</v>
      </c>
      <c r="O2643" t="s">
        <v>19</v>
      </c>
    </row>
    <row r="2644" spans="1:15" x14ac:dyDescent="0.25">
      <c r="A2644" t="s">
        <v>2280</v>
      </c>
      <c r="B2644" t="s">
        <v>15</v>
      </c>
      <c r="C2644" t="s">
        <v>2135</v>
      </c>
      <c r="D2644" t="s">
        <v>17</v>
      </c>
      <c r="E2644" t="s">
        <v>18</v>
      </c>
      <c r="F2644" t="s">
        <v>19</v>
      </c>
      <c r="G2644" t="s">
        <v>20</v>
      </c>
      <c r="J2644" t="s">
        <v>17</v>
      </c>
      <c r="K2644" t="str">
        <f>"762309271"</f>
        <v>762309271</v>
      </c>
      <c r="L2644" t="str">
        <f>"762309271"</f>
        <v>762309271</v>
      </c>
      <c r="M2644" t="s">
        <v>75</v>
      </c>
      <c r="N2644" s="1">
        <v>42872.849305555559</v>
      </c>
      <c r="O2644" t="s">
        <v>19</v>
      </c>
    </row>
    <row r="2645" spans="1:15" x14ac:dyDescent="0.25">
      <c r="A2645" t="s">
        <v>2281</v>
      </c>
      <c r="B2645" t="s">
        <v>15</v>
      </c>
      <c r="C2645" t="s">
        <v>2135</v>
      </c>
      <c r="D2645" t="s">
        <v>17</v>
      </c>
      <c r="E2645" t="s">
        <v>18</v>
      </c>
      <c r="F2645" t="s">
        <v>19</v>
      </c>
      <c r="G2645" t="s">
        <v>20</v>
      </c>
      <c r="J2645" t="s">
        <v>17</v>
      </c>
      <c r="K2645" t="str">
        <f>"176010227"</f>
        <v>176010227</v>
      </c>
      <c r="L2645" t="str">
        <f>"176010227"</f>
        <v>176010227</v>
      </c>
      <c r="M2645" t="s">
        <v>75</v>
      </c>
      <c r="N2645" s="1">
        <v>42872.849305555559</v>
      </c>
      <c r="O2645" t="s">
        <v>19</v>
      </c>
    </row>
    <row r="2646" spans="1:15" x14ac:dyDescent="0.25">
      <c r="A2646" t="s">
        <v>2281</v>
      </c>
      <c r="B2646" t="s">
        <v>15</v>
      </c>
      <c r="C2646" t="s">
        <v>2135</v>
      </c>
      <c r="D2646" t="s">
        <v>17</v>
      </c>
      <c r="E2646" t="s">
        <v>18</v>
      </c>
      <c r="F2646" t="s">
        <v>19</v>
      </c>
      <c r="G2646" t="s">
        <v>20</v>
      </c>
      <c r="J2646" t="s">
        <v>17</v>
      </c>
      <c r="K2646" t="str">
        <f>"762309277"</f>
        <v>762309277</v>
      </c>
      <c r="L2646" t="str">
        <f>"762309277"</f>
        <v>762309277</v>
      </c>
      <c r="M2646" t="s">
        <v>75</v>
      </c>
      <c r="N2646" s="1">
        <v>42872.849305555559</v>
      </c>
      <c r="O2646" t="s">
        <v>19</v>
      </c>
    </row>
    <row r="2647" spans="1:15" x14ac:dyDescent="0.25">
      <c r="A2647" t="s">
        <v>2282</v>
      </c>
      <c r="B2647" t="s">
        <v>15</v>
      </c>
      <c r="C2647" t="s">
        <v>2135</v>
      </c>
      <c r="D2647" t="s">
        <v>17</v>
      </c>
      <c r="E2647" t="s">
        <v>18</v>
      </c>
      <c r="F2647" t="s">
        <v>19</v>
      </c>
      <c r="G2647" t="s">
        <v>20</v>
      </c>
      <c r="J2647" t="s">
        <v>17</v>
      </c>
      <c r="K2647" t="str">
        <f>"8060167"</f>
        <v>8060167</v>
      </c>
      <c r="L2647" t="str">
        <f>"8060167"</f>
        <v>8060167</v>
      </c>
      <c r="M2647" t="s">
        <v>75</v>
      </c>
      <c r="N2647" s="1">
        <v>42872.839583333334</v>
      </c>
      <c r="O2647" t="s">
        <v>19</v>
      </c>
    </row>
    <row r="2648" spans="1:15" x14ac:dyDescent="0.25">
      <c r="A2648" t="s">
        <v>2283</v>
      </c>
      <c r="B2648" t="s">
        <v>15</v>
      </c>
      <c r="C2648" t="s">
        <v>2135</v>
      </c>
      <c r="D2648" t="s">
        <v>17</v>
      </c>
      <c r="E2648" t="s">
        <v>18</v>
      </c>
      <c r="F2648" t="s">
        <v>19</v>
      </c>
      <c r="G2648" t="s">
        <v>20</v>
      </c>
      <c r="J2648" t="s">
        <v>17</v>
      </c>
      <c r="K2648" t="str">
        <f>"8060169"</f>
        <v>8060169</v>
      </c>
      <c r="L2648" t="str">
        <f>"8060169"</f>
        <v>8060169</v>
      </c>
      <c r="M2648" t="s">
        <v>75</v>
      </c>
      <c r="N2648" s="1">
        <v>42872.839583333334</v>
      </c>
      <c r="O2648" t="s">
        <v>19</v>
      </c>
    </row>
    <row r="2649" spans="1:15" x14ac:dyDescent="0.25">
      <c r="A2649" t="s">
        <v>2284</v>
      </c>
      <c r="B2649" t="s">
        <v>15</v>
      </c>
      <c r="C2649" t="s">
        <v>2135</v>
      </c>
      <c r="D2649" t="s">
        <v>17</v>
      </c>
      <c r="E2649" t="s">
        <v>18</v>
      </c>
      <c r="F2649" t="s">
        <v>19</v>
      </c>
      <c r="G2649" t="s">
        <v>20</v>
      </c>
      <c r="J2649" t="s">
        <v>17</v>
      </c>
      <c r="K2649" t="str">
        <f>"8060174"</f>
        <v>8060174</v>
      </c>
      <c r="L2649" t="str">
        <f>"8060174"</f>
        <v>8060174</v>
      </c>
      <c r="M2649" t="s">
        <v>75</v>
      </c>
      <c r="N2649" s="1">
        <v>42872.839583333334</v>
      </c>
      <c r="O2649" t="s">
        <v>19</v>
      </c>
    </row>
    <row r="2650" spans="1:15" x14ac:dyDescent="0.25">
      <c r="A2650" t="s">
        <v>2285</v>
      </c>
      <c r="B2650" t="s">
        <v>15</v>
      </c>
      <c r="C2650" t="s">
        <v>2135</v>
      </c>
      <c r="D2650" t="s">
        <v>17</v>
      </c>
      <c r="E2650" t="s">
        <v>18</v>
      </c>
      <c r="F2650" t="s">
        <v>19</v>
      </c>
      <c r="G2650" t="s">
        <v>20</v>
      </c>
      <c r="J2650" t="s">
        <v>17</v>
      </c>
      <c r="K2650" t="str">
        <f>"762310297"</f>
        <v>762310297</v>
      </c>
      <c r="L2650" t="str">
        <f>"762310297"</f>
        <v>762310297</v>
      </c>
      <c r="M2650" t="s">
        <v>75</v>
      </c>
      <c r="N2650" s="1">
        <v>42959.71597222222</v>
      </c>
      <c r="O2650" t="s">
        <v>19</v>
      </c>
    </row>
    <row r="2651" spans="1:15" x14ac:dyDescent="0.25">
      <c r="A2651" t="s">
        <v>2285</v>
      </c>
      <c r="B2651" t="s">
        <v>15</v>
      </c>
      <c r="C2651" t="s">
        <v>2135</v>
      </c>
      <c r="D2651" t="s">
        <v>17</v>
      </c>
      <c r="E2651" t="s">
        <v>18</v>
      </c>
      <c r="F2651" t="s">
        <v>19</v>
      </c>
      <c r="G2651" t="s">
        <v>20</v>
      </c>
      <c r="J2651" t="s">
        <v>17</v>
      </c>
      <c r="K2651" t="str">
        <f>"766010297"</f>
        <v>766010297</v>
      </c>
      <c r="L2651" t="str">
        <f>"766010297"</f>
        <v>766010297</v>
      </c>
      <c r="M2651" t="s">
        <v>75</v>
      </c>
      <c r="N2651" s="1">
        <v>43005.705555555556</v>
      </c>
      <c r="O2651" t="s">
        <v>19</v>
      </c>
    </row>
    <row r="2652" spans="1:15" x14ac:dyDescent="0.25">
      <c r="A2652" t="s">
        <v>2285</v>
      </c>
      <c r="B2652" t="s">
        <v>15</v>
      </c>
      <c r="C2652" t="s">
        <v>2135</v>
      </c>
      <c r="D2652" t="s">
        <v>17</v>
      </c>
      <c r="E2652" t="s">
        <v>18</v>
      </c>
      <c r="F2652" t="s">
        <v>19</v>
      </c>
      <c r="G2652" t="s">
        <v>20</v>
      </c>
      <c r="J2652" t="s">
        <v>17</v>
      </c>
      <c r="K2652" t="str">
        <f>"766310297"</f>
        <v>766310297</v>
      </c>
      <c r="L2652" t="str">
        <f>"766310297"</f>
        <v>766310297</v>
      </c>
      <c r="M2652" t="s">
        <v>75</v>
      </c>
      <c r="N2652" s="1">
        <v>43005.769444444442</v>
      </c>
      <c r="O2652" t="s">
        <v>19</v>
      </c>
    </row>
    <row r="2653" spans="1:15" x14ac:dyDescent="0.25">
      <c r="A2653" t="s">
        <v>2286</v>
      </c>
      <c r="B2653" t="s">
        <v>15</v>
      </c>
      <c r="C2653" t="s">
        <v>2135</v>
      </c>
      <c r="D2653" t="s">
        <v>17</v>
      </c>
      <c r="E2653" t="s">
        <v>18</v>
      </c>
      <c r="F2653" t="s">
        <v>19</v>
      </c>
      <c r="G2653" t="s">
        <v>20</v>
      </c>
      <c r="J2653" t="s">
        <v>17</v>
      </c>
      <c r="K2653" t="str">
        <f>"766310301"</f>
        <v>766310301</v>
      </c>
      <c r="L2653" t="str">
        <f>"766310301"</f>
        <v>766310301</v>
      </c>
      <c r="M2653" t="s">
        <v>75</v>
      </c>
      <c r="N2653" s="1">
        <v>42959.713194444441</v>
      </c>
      <c r="O2653" t="s">
        <v>19</v>
      </c>
    </row>
    <row r="2654" spans="1:15" x14ac:dyDescent="0.25">
      <c r="A2654" t="s">
        <v>2286</v>
      </c>
      <c r="B2654" t="s">
        <v>15</v>
      </c>
      <c r="C2654" t="s">
        <v>2135</v>
      </c>
      <c r="D2654" t="s">
        <v>17</v>
      </c>
      <c r="E2654" t="s">
        <v>18</v>
      </c>
      <c r="F2654" t="s">
        <v>19</v>
      </c>
      <c r="G2654" t="s">
        <v>20</v>
      </c>
      <c r="J2654" t="s">
        <v>17</v>
      </c>
      <c r="K2654" t="str">
        <f>"762310301"</f>
        <v>762310301</v>
      </c>
      <c r="L2654" t="str">
        <f>"762310301"</f>
        <v>762310301</v>
      </c>
      <c r="M2654" t="s">
        <v>75</v>
      </c>
      <c r="N2654" s="1">
        <v>42959.716666666667</v>
      </c>
      <c r="O2654" t="s">
        <v>19</v>
      </c>
    </row>
    <row r="2655" spans="1:15" x14ac:dyDescent="0.25">
      <c r="A2655" t="s">
        <v>2287</v>
      </c>
      <c r="B2655" t="s">
        <v>15</v>
      </c>
      <c r="C2655" t="s">
        <v>2135</v>
      </c>
      <c r="D2655" t="s">
        <v>17</v>
      </c>
      <c r="E2655" t="s">
        <v>18</v>
      </c>
      <c r="F2655" t="s">
        <v>19</v>
      </c>
      <c r="G2655" t="s">
        <v>20</v>
      </c>
      <c r="J2655" t="s">
        <v>17</v>
      </c>
      <c r="K2655" t="str">
        <f>"32231019"</f>
        <v>32231019</v>
      </c>
      <c r="L2655" t="str">
        <f>"32231019"</f>
        <v>32231019</v>
      </c>
      <c r="M2655" t="s">
        <v>75</v>
      </c>
      <c r="N2655" s="1">
        <v>42872.839583333334</v>
      </c>
      <c r="O2655" t="s">
        <v>19</v>
      </c>
    </row>
    <row r="2656" spans="1:15" x14ac:dyDescent="0.25">
      <c r="A2656" t="s">
        <v>2287</v>
      </c>
      <c r="B2656" t="s">
        <v>15</v>
      </c>
      <c r="C2656" t="s">
        <v>2135</v>
      </c>
      <c r="D2656" t="s">
        <v>17</v>
      </c>
      <c r="E2656" t="s">
        <v>18</v>
      </c>
      <c r="F2656" t="s">
        <v>19</v>
      </c>
      <c r="G2656" t="s">
        <v>20</v>
      </c>
      <c r="J2656" t="s">
        <v>17</v>
      </c>
      <c r="K2656" t="str">
        <f>"76551019"</f>
        <v>76551019</v>
      </c>
      <c r="L2656" t="str">
        <f>"76551019"</f>
        <v>76551019</v>
      </c>
      <c r="M2656" t="s">
        <v>75</v>
      </c>
      <c r="N2656" s="1">
        <v>42872.847222222219</v>
      </c>
      <c r="O2656" t="s">
        <v>19</v>
      </c>
    </row>
    <row r="2657" spans="1:15" x14ac:dyDescent="0.25">
      <c r="A2657" t="s">
        <v>2288</v>
      </c>
      <c r="B2657" t="s">
        <v>15</v>
      </c>
      <c r="C2657" t="s">
        <v>2135</v>
      </c>
      <c r="D2657" t="s">
        <v>17</v>
      </c>
      <c r="E2657" t="s">
        <v>18</v>
      </c>
      <c r="F2657" t="s">
        <v>19</v>
      </c>
      <c r="G2657" t="s">
        <v>20</v>
      </c>
      <c r="J2657" t="s">
        <v>17</v>
      </c>
      <c r="K2657" t="str">
        <f>"32231002"</f>
        <v>32231002</v>
      </c>
      <c r="L2657" t="str">
        <f>"32231002"</f>
        <v>32231002</v>
      </c>
      <c r="M2657" t="s">
        <v>75</v>
      </c>
      <c r="N2657" s="1">
        <v>42872.839583333334</v>
      </c>
      <c r="O2657" t="s">
        <v>19</v>
      </c>
    </row>
    <row r="2658" spans="1:15" x14ac:dyDescent="0.25">
      <c r="A2658" t="s">
        <v>2288</v>
      </c>
      <c r="B2658" t="s">
        <v>15</v>
      </c>
      <c r="C2658" t="s">
        <v>2135</v>
      </c>
      <c r="D2658" t="s">
        <v>17</v>
      </c>
      <c r="E2658" t="s">
        <v>18</v>
      </c>
      <c r="F2658" t="s">
        <v>19</v>
      </c>
      <c r="G2658" t="s">
        <v>20</v>
      </c>
      <c r="J2658" t="s">
        <v>17</v>
      </c>
      <c r="K2658" t="str">
        <f>"76231002"</f>
        <v>76231002</v>
      </c>
      <c r="L2658" t="str">
        <f>"76231002"</f>
        <v>76231002</v>
      </c>
      <c r="M2658" t="s">
        <v>75</v>
      </c>
      <c r="N2658" s="1">
        <v>42872.847222222219</v>
      </c>
      <c r="O2658" t="s">
        <v>19</v>
      </c>
    </row>
    <row r="2659" spans="1:15" x14ac:dyDescent="0.25">
      <c r="A2659" t="s">
        <v>2288</v>
      </c>
      <c r="B2659" t="s">
        <v>15</v>
      </c>
      <c r="C2659" t="s">
        <v>2135</v>
      </c>
      <c r="D2659" t="s">
        <v>17</v>
      </c>
      <c r="E2659" t="s">
        <v>18</v>
      </c>
      <c r="F2659" t="s">
        <v>19</v>
      </c>
      <c r="G2659" t="s">
        <v>20</v>
      </c>
      <c r="J2659" t="s">
        <v>17</v>
      </c>
      <c r="K2659" t="str">
        <f>"76631002"</f>
        <v>76631002</v>
      </c>
      <c r="L2659" t="str">
        <f>"76631002"</f>
        <v>76631002</v>
      </c>
      <c r="M2659" t="s">
        <v>75</v>
      </c>
      <c r="N2659" s="1">
        <v>42872.847222222219</v>
      </c>
      <c r="O2659" t="s">
        <v>19</v>
      </c>
    </row>
    <row r="2660" spans="1:15" x14ac:dyDescent="0.25">
      <c r="A2660" t="s">
        <v>2289</v>
      </c>
      <c r="B2660" t="s">
        <v>15</v>
      </c>
      <c r="C2660" t="s">
        <v>2135</v>
      </c>
      <c r="D2660" t="s">
        <v>17</v>
      </c>
      <c r="E2660" t="s">
        <v>18</v>
      </c>
      <c r="F2660" t="s">
        <v>19</v>
      </c>
      <c r="G2660" t="s">
        <v>20</v>
      </c>
      <c r="J2660" t="s">
        <v>17</v>
      </c>
      <c r="K2660" t="str">
        <f>"766010304"</f>
        <v>766010304</v>
      </c>
      <c r="L2660" t="str">
        <f>"766010304"</f>
        <v>766010304</v>
      </c>
      <c r="M2660" t="s">
        <v>75</v>
      </c>
      <c r="N2660" s="1">
        <v>43005.75</v>
      </c>
      <c r="O2660" t="s">
        <v>19</v>
      </c>
    </row>
    <row r="2661" spans="1:15" x14ac:dyDescent="0.25">
      <c r="A2661" t="s">
        <v>2289</v>
      </c>
      <c r="B2661" t="s">
        <v>15</v>
      </c>
      <c r="C2661" t="s">
        <v>2135</v>
      </c>
      <c r="D2661" t="s">
        <v>17</v>
      </c>
      <c r="E2661" t="s">
        <v>18</v>
      </c>
      <c r="F2661" t="s">
        <v>19</v>
      </c>
      <c r="G2661" t="s">
        <v>20</v>
      </c>
      <c r="J2661" t="s">
        <v>17</v>
      </c>
      <c r="K2661" t="str">
        <f>"762310304"</f>
        <v>762310304</v>
      </c>
      <c r="L2661" t="str">
        <f>"762310304"</f>
        <v>762310304</v>
      </c>
      <c r="M2661" t="s">
        <v>75</v>
      </c>
      <c r="N2661" s="1">
        <v>43083.629166666666</v>
      </c>
      <c r="O2661" t="s">
        <v>19</v>
      </c>
    </row>
    <row r="2662" spans="1:15" x14ac:dyDescent="0.25">
      <c r="A2662" t="s">
        <v>2290</v>
      </c>
      <c r="B2662" t="s">
        <v>15</v>
      </c>
      <c r="C2662" t="s">
        <v>2135</v>
      </c>
      <c r="D2662" t="s">
        <v>17</v>
      </c>
      <c r="E2662" t="s">
        <v>18</v>
      </c>
      <c r="F2662" t="s">
        <v>19</v>
      </c>
      <c r="G2662" t="s">
        <v>20</v>
      </c>
      <c r="J2662" t="s">
        <v>17</v>
      </c>
      <c r="K2662" t="str">
        <f>"762310306"</f>
        <v>762310306</v>
      </c>
      <c r="L2662" t="str">
        <f>"762310306"</f>
        <v>762310306</v>
      </c>
      <c r="M2662" t="s">
        <v>75</v>
      </c>
      <c r="N2662" s="1">
        <v>42959.715277777781</v>
      </c>
      <c r="O2662" t="s">
        <v>19</v>
      </c>
    </row>
    <row r="2663" spans="1:15" x14ac:dyDescent="0.25">
      <c r="A2663" t="s">
        <v>2290</v>
      </c>
      <c r="B2663" t="s">
        <v>15</v>
      </c>
      <c r="C2663" t="s">
        <v>2135</v>
      </c>
      <c r="D2663" t="s">
        <v>17</v>
      </c>
      <c r="E2663" t="s">
        <v>18</v>
      </c>
      <c r="F2663" t="s">
        <v>19</v>
      </c>
      <c r="G2663" t="s">
        <v>20</v>
      </c>
      <c r="J2663" t="s">
        <v>17</v>
      </c>
      <c r="K2663" t="str">
        <f>"766010306"</f>
        <v>766010306</v>
      </c>
      <c r="L2663" t="str">
        <f>"766010306"</f>
        <v>766010306</v>
      </c>
      <c r="M2663" t="s">
        <v>75</v>
      </c>
      <c r="N2663" s="1">
        <v>43005.751388888886</v>
      </c>
      <c r="O2663" t="s">
        <v>19</v>
      </c>
    </row>
    <row r="2664" spans="1:15" x14ac:dyDescent="0.25">
      <c r="A2664" t="s">
        <v>2290</v>
      </c>
      <c r="B2664" t="s">
        <v>15</v>
      </c>
      <c r="C2664" t="s">
        <v>2135</v>
      </c>
      <c r="D2664" t="s">
        <v>17</v>
      </c>
      <c r="E2664" t="s">
        <v>18</v>
      </c>
      <c r="F2664" t="s">
        <v>19</v>
      </c>
      <c r="G2664" t="s">
        <v>20</v>
      </c>
      <c r="J2664" t="s">
        <v>17</v>
      </c>
      <c r="K2664" t="str">
        <f>"766310306"</f>
        <v>766310306</v>
      </c>
      <c r="L2664" t="str">
        <f>"766310306"</f>
        <v>766310306</v>
      </c>
      <c r="M2664" t="s">
        <v>75</v>
      </c>
      <c r="N2664" s="1">
        <v>43005.770833333336</v>
      </c>
      <c r="O2664" t="s">
        <v>19</v>
      </c>
    </row>
    <row r="2665" spans="1:15" x14ac:dyDescent="0.25">
      <c r="A2665" t="s">
        <v>2291</v>
      </c>
      <c r="B2665" t="s">
        <v>15</v>
      </c>
      <c r="C2665" t="s">
        <v>2135</v>
      </c>
      <c r="D2665" t="s">
        <v>17</v>
      </c>
      <c r="E2665" t="s">
        <v>18</v>
      </c>
      <c r="F2665" t="s">
        <v>19</v>
      </c>
      <c r="G2665" t="s">
        <v>20</v>
      </c>
      <c r="J2665" t="s">
        <v>17</v>
      </c>
      <c r="K2665" t="str">
        <f>"766010309"</f>
        <v>766010309</v>
      </c>
      <c r="L2665" t="str">
        <f>"766010309"</f>
        <v>766010309</v>
      </c>
      <c r="M2665" t="s">
        <v>84</v>
      </c>
      <c r="N2665" s="1">
        <v>43335.65625</v>
      </c>
      <c r="O2665" t="s">
        <v>19</v>
      </c>
    </row>
    <row r="2666" spans="1:15" x14ac:dyDescent="0.25">
      <c r="A2666" t="s">
        <v>2291</v>
      </c>
      <c r="B2666" t="s">
        <v>15</v>
      </c>
      <c r="C2666" t="s">
        <v>2135</v>
      </c>
      <c r="D2666" t="s">
        <v>17</v>
      </c>
      <c r="E2666" t="s">
        <v>18</v>
      </c>
      <c r="F2666" t="s">
        <v>19</v>
      </c>
      <c r="G2666" t="s">
        <v>20</v>
      </c>
      <c r="J2666" t="s">
        <v>17</v>
      </c>
      <c r="K2666" t="str">
        <f>"762310309"</f>
        <v>762310309</v>
      </c>
      <c r="L2666" t="str">
        <f>"762310309"</f>
        <v>762310309</v>
      </c>
      <c r="M2666" t="s">
        <v>84</v>
      </c>
      <c r="N2666" s="1">
        <v>43350.923611111109</v>
      </c>
      <c r="O2666" t="s">
        <v>19</v>
      </c>
    </row>
    <row r="2667" spans="1:15" x14ac:dyDescent="0.25">
      <c r="A2667" t="s">
        <v>2292</v>
      </c>
      <c r="B2667" t="s">
        <v>15</v>
      </c>
      <c r="C2667" t="s">
        <v>2135</v>
      </c>
      <c r="D2667" t="s">
        <v>17</v>
      </c>
      <c r="E2667" t="s">
        <v>18</v>
      </c>
      <c r="F2667" t="s">
        <v>19</v>
      </c>
      <c r="G2667" t="s">
        <v>20</v>
      </c>
      <c r="J2667" t="s">
        <v>17</v>
      </c>
      <c r="K2667" t="str">
        <f>"672310319"</f>
        <v>672310319</v>
      </c>
      <c r="L2667" t="str">
        <f>"672310319"</f>
        <v>672310319</v>
      </c>
      <c r="M2667" t="s">
        <v>21</v>
      </c>
      <c r="N2667" s="1">
        <v>43873.775000000001</v>
      </c>
      <c r="O2667" t="s">
        <v>19</v>
      </c>
    </row>
    <row r="2668" spans="1:15" x14ac:dyDescent="0.25">
      <c r="A2668" t="s">
        <v>2293</v>
      </c>
      <c r="B2668" t="s">
        <v>15</v>
      </c>
      <c r="C2668" t="s">
        <v>2135</v>
      </c>
      <c r="D2668" t="s">
        <v>17</v>
      </c>
      <c r="E2668" t="s">
        <v>18</v>
      </c>
      <c r="F2668" t="s">
        <v>19</v>
      </c>
      <c r="G2668" t="s">
        <v>20</v>
      </c>
      <c r="J2668" t="s">
        <v>17</v>
      </c>
      <c r="K2668" t="str">
        <f>"762310323"</f>
        <v>762310323</v>
      </c>
      <c r="L2668" t="str">
        <f>"762310323"</f>
        <v>762310323</v>
      </c>
      <c r="M2668" t="s">
        <v>21</v>
      </c>
      <c r="N2668" s="1">
        <v>44210.928472222222</v>
      </c>
      <c r="O2668" t="s">
        <v>19</v>
      </c>
    </row>
    <row r="2669" spans="1:15" x14ac:dyDescent="0.25">
      <c r="A2669" t="s">
        <v>2293</v>
      </c>
      <c r="B2669" t="s">
        <v>15</v>
      </c>
      <c r="C2669" t="s">
        <v>2135</v>
      </c>
      <c r="D2669" t="s">
        <v>17</v>
      </c>
      <c r="E2669" t="s">
        <v>18</v>
      </c>
      <c r="F2669" t="s">
        <v>19</v>
      </c>
      <c r="G2669" t="s">
        <v>20</v>
      </c>
      <c r="J2669" t="s">
        <v>17</v>
      </c>
      <c r="K2669" t="str">
        <f>"612310323"</f>
        <v>612310323</v>
      </c>
      <c r="L2669" t="str">
        <f>"612310323"</f>
        <v>612310323</v>
      </c>
      <c r="M2669" t="s">
        <v>21</v>
      </c>
      <c r="N2669" s="1">
        <v>44252.863194444442</v>
      </c>
      <c r="O2669" t="s">
        <v>19</v>
      </c>
    </row>
    <row r="2670" spans="1:15" x14ac:dyDescent="0.25">
      <c r="A2670" t="s">
        <v>2294</v>
      </c>
      <c r="B2670" t="s">
        <v>15</v>
      </c>
      <c r="C2670" t="s">
        <v>2135</v>
      </c>
      <c r="D2670" t="s">
        <v>17</v>
      </c>
      <c r="E2670" t="s">
        <v>18</v>
      </c>
      <c r="F2670" t="s">
        <v>19</v>
      </c>
      <c r="G2670" t="s">
        <v>20</v>
      </c>
      <c r="J2670" t="s">
        <v>17</v>
      </c>
      <c r="K2670" t="str">
        <f>"34231059"</f>
        <v>34231059</v>
      </c>
      <c r="L2670" t="str">
        <f>"34231059"</f>
        <v>34231059</v>
      </c>
      <c r="M2670" t="s">
        <v>75</v>
      </c>
      <c r="N2670" s="1">
        <v>42872.839583333334</v>
      </c>
      <c r="O2670" t="s">
        <v>19</v>
      </c>
    </row>
    <row r="2671" spans="1:15" x14ac:dyDescent="0.25">
      <c r="A2671" t="s">
        <v>2294</v>
      </c>
      <c r="B2671" t="s">
        <v>15</v>
      </c>
      <c r="C2671" t="s">
        <v>2135</v>
      </c>
      <c r="D2671" t="s">
        <v>17</v>
      </c>
      <c r="E2671" t="s">
        <v>18</v>
      </c>
      <c r="F2671" t="s">
        <v>19</v>
      </c>
      <c r="G2671" t="s">
        <v>20</v>
      </c>
      <c r="J2671" t="s">
        <v>17</v>
      </c>
      <c r="K2671" t="str">
        <f>"76231058"</f>
        <v>76231058</v>
      </c>
      <c r="L2671" t="str">
        <f>"76231058"</f>
        <v>76231058</v>
      </c>
      <c r="M2671" t="s">
        <v>75</v>
      </c>
      <c r="N2671" s="1">
        <v>42872.847222222219</v>
      </c>
      <c r="O2671" t="s">
        <v>19</v>
      </c>
    </row>
    <row r="2672" spans="1:15" x14ac:dyDescent="0.25">
      <c r="A2672" t="s">
        <v>2294</v>
      </c>
      <c r="B2672" t="s">
        <v>15</v>
      </c>
      <c r="C2672" t="s">
        <v>2135</v>
      </c>
      <c r="D2672" t="s">
        <v>17</v>
      </c>
      <c r="E2672" t="s">
        <v>18</v>
      </c>
      <c r="F2672" t="s">
        <v>19</v>
      </c>
      <c r="G2672" t="s">
        <v>20</v>
      </c>
      <c r="J2672" t="s">
        <v>17</v>
      </c>
      <c r="K2672" t="str">
        <f>"76231059"</f>
        <v>76231059</v>
      </c>
      <c r="L2672" t="str">
        <f>"76231059"</f>
        <v>76231059</v>
      </c>
      <c r="M2672" t="s">
        <v>75</v>
      </c>
      <c r="N2672" s="1">
        <v>42872.847222222219</v>
      </c>
      <c r="O2672" t="s">
        <v>19</v>
      </c>
    </row>
    <row r="2673" spans="1:15" x14ac:dyDescent="0.25">
      <c r="A2673" t="s">
        <v>2294</v>
      </c>
      <c r="B2673" t="s">
        <v>15</v>
      </c>
      <c r="C2673" t="s">
        <v>2135</v>
      </c>
      <c r="D2673" t="s">
        <v>17</v>
      </c>
      <c r="E2673" t="s">
        <v>18</v>
      </c>
      <c r="F2673" t="s">
        <v>19</v>
      </c>
      <c r="G2673" t="s">
        <v>20</v>
      </c>
      <c r="J2673" t="s">
        <v>17</v>
      </c>
      <c r="K2673" t="str">
        <f>"76551059"</f>
        <v>76551059</v>
      </c>
      <c r="L2673" t="str">
        <f>"76551059"</f>
        <v>76551059</v>
      </c>
      <c r="M2673" t="s">
        <v>75</v>
      </c>
      <c r="N2673" s="1">
        <v>42872.847222222219</v>
      </c>
      <c r="O2673" t="s">
        <v>19</v>
      </c>
    </row>
    <row r="2674" spans="1:15" x14ac:dyDescent="0.25">
      <c r="A2674" t="s">
        <v>2294</v>
      </c>
      <c r="B2674" t="s">
        <v>15</v>
      </c>
      <c r="C2674" t="s">
        <v>2135</v>
      </c>
      <c r="D2674" t="s">
        <v>17</v>
      </c>
      <c r="E2674" t="s">
        <v>18</v>
      </c>
      <c r="F2674" t="s">
        <v>19</v>
      </c>
      <c r="G2674" t="s">
        <v>20</v>
      </c>
      <c r="J2674" t="s">
        <v>17</v>
      </c>
      <c r="K2674" t="str">
        <f>"76601059"</f>
        <v>76601059</v>
      </c>
      <c r="L2674" t="str">
        <f>"76601059"</f>
        <v>76601059</v>
      </c>
      <c r="M2674" t="s">
        <v>75</v>
      </c>
      <c r="N2674" s="1">
        <v>42872.847222222219</v>
      </c>
      <c r="O2674" t="s">
        <v>19</v>
      </c>
    </row>
    <row r="2675" spans="1:15" x14ac:dyDescent="0.25">
      <c r="A2675" t="s">
        <v>2294</v>
      </c>
      <c r="B2675" t="s">
        <v>15</v>
      </c>
      <c r="C2675" t="s">
        <v>2135</v>
      </c>
      <c r="D2675" t="s">
        <v>17</v>
      </c>
      <c r="E2675" t="s">
        <v>18</v>
      </c>
      <c r="F2675" t="s">
        <v>19</v>
      </c>
      <c r="G2675" t="s">
        <v>20</v>
      </c>
      <c r="J2675" t="s">
        <v>17</v>
      </c>
      <c r="K2675" t="str">
        <f>"76631059"</f>
        <v>76631059</v>
      </c>
      <c r="L2675" t="str">
        <f>"76631059"</f>
        <v>76631059</v>
      </c>
      <c r="M2675" t="s">
        <v>75</v>
      </c>
      <c r="N2675" s="1">
        <v>42872.847222222219</v>
      </c>
      <c r="O2675" t="s">
        <v>19</v>
      </c>
    </row>
    <row r="2676" spans="1:15" x14ac:dyDescent="0.25">
      <c r="A2676" t="s">
        <v>2295</v>
      </c>
      <c r="B2676" t="s">
        <v>15</v>
      </c>
      <c r="C2676" t="s">
        <v>2135</v>
      </c>
      <c r="D2676" t="s">
        <v>17</v>
      </c>
      <c r="E2676" t="s">
        <v>18</v>
      </c>
      <c r="F2676" t="s">
        <v>19</v>
      </c>
      <c r="G2676" t="s">
        <v>20</v>
      </c>
      <c r="J2676" t="s">
        <v>17</v>
      </c>
      <c r="K2676" t="str">
        <f>"76231061"</f>
        <v>76231061</v>
      </c>
      <c r="L2676" t="str">
        <f>"76231061"</f>
        <v>76231061</v>
      </c>
      <c r="M2676" t="s">
        <v>75</v>
      </c>
      <c r="N2676" s="1">
        <v>42872.847222222219</v>
      </c>
      <c r="O2676" t="s">
        <v>19</v>
      </c>
    </row>
    <row r="2677" spans="1:15" x14ac:dyDescent="0.25">
      <c r="A2677" t="s">
        <v>2296</v>
      </c>
      <c r="B2677" t="s">
        <v>15</v>
      </c>
      <c r="C2677" t="s">
        <v>2135</v>
      </c>
      <c r="D2677" t="s">
        <v>17</v>
      </c>
      <c r="E2677" t="s">
        <v>18</v>
      </c>
      <c r="F2677" t="s">
        <v>19</v>
      </c>
      <c r="G2677" t="s">
        <v>20</v>
      </c>
      <c r="J2677" t="s">
        <v>17</v>
      </c>
      <c r="K2677" t="str">
        <f>"17601059"</f>
        <v>17601059</v>
      </c>
      <c r="L2677" t="str">
        <f>"17601059"</f>
        <v>17601059</v>
      </c>
      <c r="M2677" t="s">
        <v>75</v>
      </c>
      <c r="N2677" s="1">
        <v>42872.839583333334</v>
      </c>
      <c r="O2677" t="s">
        <v>19</v>
      </c>
    </row>
    <row r="2678" spans="1:15" x14ac:dyDescent="0.25">
      <c r="A2678" t="s">
        <v>2297</v>
      </c>
      <c r="B2678" t="s">
        <v>15</v>
      </c>
      <c r="C2678" t="s">
        <v>2135</v>
      </c>
      <c r="D2678" t="s">
        <v>17</v>
      </c>
      <c r="E2678" t="s">
        <v>18</v>
      </c>
      <c r="F2678" t="s">
        <v>19</v>
      </c>
      <c r="G2678" t="s">
        <v>20</v>
      </c>
      <c r="J2678" t="s">
        <v>17</v>
      </c>
      <c r="K2678" t="str">
        <f>"17600964"</f>
        <v>17600964</v>
      </c>
      <c r="L2678" t="str">
        <f>"17600964"</f>
        <v>17600964</v>
      </c>
      <c r="M2678" t="s">
        <v>75</v>
      </c>
      <c r="N2678" s="1">
        <v>42872.839583333334</v>
      </c>
      <c r="O2678" t="s">
        <v>19</v>
      </c>
    </row>
    <row r="2679" spans="1:15" x14ac:dyDescent="0.25">
      <c r="A2679" t="s">
        <v>2298</v>
      </c>
      <c r="B2679" t="s">
        <v>15</v>
      </c>
      <c r="C2679" t="s">
        <v>2135</v>
      </c>
      <c r="D2679" t="s">
        <v>17</v>
      </c>
      <c r="E2679" t="s">
        <v>18</v>
      </c>
      <c r="F2679" t="s">
        <v>19</v>
      </c>
      <c r="G2679" t="s">
        <v>20</v>
      </c>
      <c r="J2679" t="s">
        <v>17</v>
      </c>
      <c r="K2679" t="str">
        <f>"76551458"</f>
        <v>76551458</v>
      </c>
      <c r="L2679" t="str">
        <f>"76551458"</f>
        <v>76551458</v>
      </c>
      <c r="M2679" t="s">
        <v>75</v>
      </c>
      <c r="N2679" s="1">
        <v>42872.847222222219</v>
      </c>
      <c r="O2679" t="s">
        <v>19</v>
      </c>
    </row>
    <row r="2680" spans="1:15" x14ac:dyDescent="0.25">
      <c r="A2680" t="s">
        <v>2299</v>
      </c>
      <c r="B2680" t="s">
        <v>15</v>
      </c>
      <c r="C2680" t="s">
        <v>2135</v>
      </c>
      <c r="D2680" t="s">
        <v>17</v>
      </c>
      <c r="E2680" t="s">
        <v>18</v>
      </c>
      <c r="F2680" t="s">
        <v>19</v>
      </c>
      <c r="G2680" t="s">
        <v>20</v>
      </c>
      <c r="J2680" t="s">
        <v>17</v>
      </c>
      <c r="K2680" t="str">
        <f>"17231059"</f>
        <v>17231059</v>
      </c>
      <c r="L2680" t="str">
        <f>"17231059"</f>
        <v>17231059</v>
      </c>
      <c r="M2680" t="s">
        <v>75</v>
      </c>
      <c r="N2680" s="1">
        <v>42872.839583333334</v>
      </c>
      <c r="O2680" t="s">
        <v>19</v>
      </c>
    </row>
    <row r="2681" spans="1:15" x14ac:dyDescent="0.25">
      <c r="A2681" t="s">
        <v>2300</v>
      </c>
      <c r="B2681" t="s">
        <v>15</v>
      </c>
      <c r="C2681" t="s">
        <v>2135</v>
      </c>
      <c r="D2681" t="s">
        <v>17</v>
      </c>
      <c r="E2681" t="s">
        <v>18</v>
      </c>
      <c r="F2681" t="s">
        <v>19</v>
      </c>
      <c r="G2681" t="s">
        <v>20</v>
      </c>
      <c r="J2681" t="s">
        <v>17</v>
      </c>
      <c r="K2681" t="str">
        <f>"17230962"</f>
        <v>17230962</v>
      </c>
      <c r="L2681" t="str">
        <f>"17230962"</f>
        <v>17230962</v>
      </c>
      <c r="M2681" t="s">
        <v>75</v>
      </c>
      <c r="N2681" s="1">
        <v>42872.839583333334</v>
      </c>
      <c r="O2681" t="s">
        <v>19</v>
      </c>
    </row>
    <row r="2682" spans="1:15" x14ac:dyDescent="0.25">
      <c r="A2682" t="s">
        <v>2300</v>
      </c>
      <c r="B2682" t="s">
        <v>15</v>
      </c>
      <c r="C2682" t="s">
        <v>2135</v>
      </c>
      <c r="D2682" t="s">
        <v>17</v>
      </c>
      <c r="E2682" t="s">
        <v>18</v>
      </c>
      <c r="F2682" t="s">
        <v>19</v>
      </c>
      <c r="G2682" t="s">
        <v>20</v>
      </c>
      <c r="J2682" t="s">
        <v>17</v>
      </c>
      <c r="K2682" t="str">
        <f>"34231062"</f>
        <v>34231062</v>
      </c>
      <c r="L2682" t="str">
        <f>"34231062"</f>
        <v>34231062</v>
      </c>
      <c r="M2682" t="s">
        <v>75</v>
      </c>
      <c r="N2682" s="1">
        <v>42872.839583333334</v>
      </c>
      <c r="O2682" t="s">
        <v>19</v>
      </c>
    </row>
    <row r="2683" spans="1:15" x14ac:dyDescent="0.25">
      <c r="A2683" t="s">
        <v>2300</v>
      </c>
      <c r="B2683" t="s">
        <v>15</v>
      </c>
      <c r="C2683" t="s">
        <v>2135</v>
      </c>
      <c r="D2683" t="s">
        <v>17</v>
      </c>
      <c r="E2683" t="s">
        <v>18</v>
      </c>
      <c r="F2683" t="s">
        <v>19</v>
      </c>
      <c r="G2683" t="s">
        <v>20</v>
      </c>
      <c r="J2683" t="s">
        <v>17</v>
      </c>
      <c r="K2683" t="str">
        <f>"17231062"</f>
        <v>17231062</v>
      </c>
      <c r="L2683" t="str">
        <f>"17231062"</f>
        <v>17231062</v>
      </c>
      <c r="M2683" t="s">
        <v>75</v>
      </c>
      <c r="N2683" s="1">
        <v>42872.839583333334</v>
      </c>
      <c r="O2683" t="s">
        <v>19</v>
      </c>
    </row>
    <row r="2684" spans="1:15" x14ac:dyDescent="0.25">
      <c r="A2684" t="s">
        <v>2300</v>
      </c>
      <c r="B2684" t="s">
        <v>15</v>
      </c>
      <c r="C2684" t="s">
        <v>2135</v>
      </c>
      <c r="D2684" t="s">
        <v>17</v>
      </c>
      <c r="E2684" t="s">
        <v>18</v>
      </c>
      <c r="F2684" t="s">
        <v>19</v>
      </c>
      <c r="G2684" t="s">
        <v>20</v>
      </c>
      <c r="J2684" t="s">
        <v>17</v>
      </c>
      <c r="K2684" t="str">
        <f>"17601062"</f>
        <v>17601062</v>
      </c>
      <c r="L2684" t="str">
        <f>"17601062"</f>
        <v>17601062</v>
      </c>
      <c r="M2684" t="s">
        <v>75</v>
      </c>
      <c r="N2684" s="1">
        <v>42872.839583333334</v>
      </c>
      <c r="O2684" t="s">
        <v>19</v>
      </c>
    </row>
    <row r="2685" spans="1:15" x14ac:dyDescent="0.25">
      <c r="A2685" t="s">
        <v>2300</v>
      </c>
      <c r="B2685" t="s">
        <v>15</v>
      </c>
      <c r="C2685" t="s">
        <v>2135</v>
      </c>
      <c r="D2685" t="s">
        <v>17</v>
      </c>
      <c r="E2685" t="s">
        <v>18</v>
      </c>
      <c r="F2685" t="s">
        <v>19</v>
      </c>
      <c r="G2685" t="s">
        <v>20</v>
      </c>
      <c r="J2685" t="s">
        <v>17</v>
      </c>
      <c r="K2685" t="str">
        <f>"76231062"</f>
        <v>76231062</v>
      </c>
      <c r="L2685" t="str">
        <f>"76231062"</f>
        <v>76231062</v>
      </c>
      <c r="M2685" t="s">
        <v>75</v>
      </c>
      <c r="N2685" s="1">
        <v>42872.847222222219</v>
      </c>
      <c r="O2685" t="s">
        <v>19</v>
      </c>
    </row>
    <row r="2686" spans="1:15" x14ac:dyDescent="0.25">
      <c r="A2686" t="s">
        <v>2300</v>
      </c>
      <c r="B2686" t="s">
        <v>15</v>
      </c>
      <c r="C2686" t="s">
        <v>2135</v>
      </c>
      <c r="D2686" t="s">
        <v>17</v>
      </c>
      <c r="E2686" t="s">
        <v>18</v>
      </c>
      <c r="F2686" t="s">
        <v>19</v>
      </c>
      <c r="G2686" t="s">
        <v>20</v>
      </c>
      <c r="J2686" t="s">
        <v>17</v>
      </c>
      <c r="K2686" t="str">
        <f>"76601062"</f>
        <v>76601062</v>
      </c>
      <c r="L2686" t="str">
        <f>"76601062"</f>
        <v>76601062</v>
      </c>
      <c r="M2686" t="s">
        <v>75</v>
      </c>
      <c r="N2686" s="1">
        <v>42872.847222222219</v>
      </c>
      <c r="O2686" t="s">
        <v>19</v>
      </c>
    </row>
    <row r="2687" spans="1:15" x14ac:dyDescent="0.25">
      <c r="A2687" t="s">
        <v>2301</v>
      </c>
      <c r="B2687" t="s">
        <v>15</v>
      </c>
      <c r="C2687" t="s">
        <v>2135</v>
      </c>
      <c r="D2687" t="s">
        <v>17</v>
      </c>
      <c r="E2687" t="s">
        <v>18</v>
      </c>
      <c r="F2687" t="s">
        <v>19</v>
      </c>
      <c r="G2687" t="s">
        <v>20</v>
      </c>
      <c r="J2687" t="s">
        <v>17</v>
      </c>
      <c r="K2687" t="str">
        <f>"17231064"</f>
        <v>17231064</v>
      </c>
      <c r="L2687" t="str">
        <f>"17231064"</f>
        <v>17231064</v>
      </c>
      <c r="M2687" t="s">
        <v>75</v>
      </c>
      <c r="N2687" s="1">
        <v>42872.839583333334</v>
      </c>
      <c r="O2687" t="s">
        <v>19</v>
      </c>
    </row>
    <row r="2688" spans="1:15" x14ac:dyDescent="0.25">
      <c r="A2688" t="s">
        <v>2301</v>
      </c>
      <c r="B2688" t="s">
        <v>15</v>
      </c>
      <c r="C2688" t="s">
        <v>2135</v>
      </c>
      <c r="D2688" t="s">
        <v>17</v>
      </c>
      <c r="E2688" t="s">
        <v>18</v>
      </c>
      <c r="F2688" t="s">
        <v>19</v>
      </c>
      <c r="G2688" t="s">
        <v>20</v>
      </c>
      <c r="J2688" t="s">
        <v>17</v>
      </c>
      <c r="K2688" t="str">
        <f>"34231064"</f>
        <v>34231064</v>
      </c>
      <c r="L2688" t="str">
        <f>"34231064"</f>
        <v>34231064</v>
      </c>
      <c r="M2688" t="s">
        <v>75</v>
      </c>
      <c r="N2688" s="1">
        <v>42872.839583333334</v>
      </c>
      <c r="O2688" t="s">
        <v>19</v>
      </c>
    </row>
    <row r="2689" spans="1:15" x14ac:dyDescent="0.25">
      <c r="A2689" t="s">
        <v>2301</v>
      </c>
      <c r="B2689" t="s">
        <v>15</v>
      </c>
      <c r="C2689" t="s">
        <v>2135</v>
      </c>
      <c r="D2689" t="s">
        <v>17</v>
      </c>
      <c r="E2689" t="s">
        <v>18</v>
      </c>
      <c r="F2689" t="s">
        <v>19</v>
      </c>
      <c r="G2689" t="s">
        <v>20</v>
      </c>
      <c r="J2689" t="s">
        <v>17</v>
      </c>
      <c r="K2689" t="str">
        <f>"76231064"</f>
        <v>76231064</v>
      </c>
      <c r="L2689" t="str">
        <f>"76231064"</f>
        <v>76231064</v>
      </c>
      <c r="M2689" t="s">
        <v>75</v>
      </c>
      <c r="N2689" s="1">
        <v>42872.847222222219</v>
      </c>
      <c r="O2689" t="s">
        <v>19</v>
      </c>
    </row>
    <row r="2690" spans="1:15" x14ac:dyDescent="0.25">
      <c r="A2690" t="s">
        <v>2301</v>
      </c>
      <c r="B2690" t="s">
        <v>15</v>
      </c>
      <c r="C2690" t="s">
        <v>2135</v>
      </c>
      <c r="D2690" t="s">
        <v>17</v>
      </c>
      <c r="E2690" t="s">
        <v>18</v>
      </c>
      <c r="F2690" t="s">
        <v>19</v>
      </c>
      <c r="G2690" t="s">
        <v>20</v>
      </c>
      <c r="J2690" t="s">
        <v>17</v>
      </c>
      <c r="K2690" t="str">
        <f>"76601064"</f>
        <v>76601064</v>
      </c>
      <c r="L2690" t="str">
        <f>"76601064"</f>
        <v>76601064</v>
      </c>
      <c r="M2690" t="s">
        <v>75</v>
      </c>
      <c r="N2690" s="1">
        <v>42872.847222222219</v>
      </c>
      <c r="O2690" t="s">
        <v>19</v>
      </c>
    </row>
    <row r="2691" spans="1:15" x14ac:dyDescent="0.25">
      <c r="A2691" t="s">
        <v>2301</v>
      </c>
      <c r="B2691" t="s">
        <v>15</v>
      </c>
      <c r="C2691" t="s">
        <v>2135</v>
      </c>
      <c r="D2691" t="s">
        <v>17</v>
      </c>
      <c r="E2691" t="s">
        <v>18</v>
      </c>
      <c r="F2691" t="s">
        <v>19</v>
      </c>
      <c r="G2691" t="s">
        <v>20</v>
      </c>
      <c r="J2691" t="s">
        <v>17</v>
      </c>
      <c r="K2691" t="str">
        <f>"76631064"</f>
        <v>76631064</v>
      </c>
      <c r="L2691" t="str">
        <f>"76631064"</f>
        <v>76631064</v>
      </c>
      <c r="M2691" t="s">
        <v>75</v>
      </c>
      <c r="N2691" s="1">
        <v>42872.847222222219</v>
      </c>
      <c r="O2691" t="s">
        <v>19</v>
      </c>
    </row>
    <row r="2692" spans="1:15" x14ac:dyDescent="0.25">
      <c r="A2692" t="s">
        <v>2301</v>
      </c>
      <c r="B2692" t="s">
        <v>15</v>
      </c>
      <c r="C2692" t="s">
        <v>2135</v>
      </c>
      <c r="D2692" t="s">
        <v>17</v>
      </c>
      <c r="E2692" t="s">
        <v>18</v>
      </c>
      <c r="F2692" t="s">
        <v>19</v>
      </c>
      <c r="G2692" t="s">
        <v>20</v>
      </c>
      <c r="J2692" t="s">
        <v>17</v>
      </c>
      <c r="K2692" t="str">
        <f>"76851064"</f>
        <v>76851064</v>
      </c>
      <c r="L2692" t="str">
        <f>"76851064"</f>
        <v>76851064</v>
      </c>
      <c r="M2692" t="s">
        <v>75</v>
      </c>
      <c r="N2692" s="1">
        <v>42872.847222222219</v>
      </c>
      <c r="O2692" t="s">
        <v>19</v>
      </c>
    </row>
    <row r="2693" spans="1:15" x14ac:dyDescent="0.25">
      <c r="A2693" t="s">
        <v>2301</v>
      </c>
      <c r="B2693" t="s">
        <v>15</v>
      </c>
      <c r="C2693" t="s">
        <v>2135</v>
      </c>
      <c r="D2693" t="s">
        <v>17</v>
      </c>
      <c r="E2693" t="s">
        <v>18</v>
      </c>
      <c r="F2693" t="s">
        <v>19</v>
      </c>
      <c r="G2693" t="s">
        <v>20</v>
      </c>
      <c r="J2693" t="s">
        <v>17</v>
      </c>
      <c r="K2693" t="str">
        <f>"766010190"</f>
        <v>766010190</v>
      </c>
      <c r="L2693" t="str">
        <f>"766010190"</f>
        <v>766010190</v>
      </c>
      <c r="M2693" t="s">
        <v>75</v>
      </c>
      <c r="N2693" s="1">
        <v>42872.849305555559</v>
      </c>
      <c r="O2693" t="s">
        <v>19</v>
      </c>
    </row>
    <row r="2694" spans="1:15" x14ac:dyDescent="0.25">
      <c r="A2694" t="s">
        <v>2302</v>
      </c>
      <c r="B2694" t="s">
        <v>15</v>
      </c>
      <c r="C2694" t="s">
        <v>2135</v>
      </c>
      <c r="D2694" t="s">
        <v>17</v>
      </c>
      <c r="E2694" t="s">
        <v>18</v>
      </c>
      <c r="F2694" t="s">
        <v>19</v>
      </c>
      <c r="G2694" t="s">
        <v>20</v>
      </c>
      <c r="J2694" t="s">
        <v>17</v>
      </c>
      <c r="K2694" t="str">
        <f>"172310231"</f>
        <v>172310231</v>
      </c>
      <c r="L2694" t="str">
        <f>"172310231"</f>
        <v>172310231</v>
      </c>
      <c r="M2694" t="s">
        <v>75</v>
      </c>
      <c r="N2694" s="1">
        <v>42872.849305555559</v>
      </c>
      <c r="O2694" t="s">
        <v>19</v>
      </c>
    </row>
    <row r="2695" spans="1:15" x14ac:dyDescent="0.25">
      <c r="A2695" t="s">
        <v>2302</v>
      </c>
      <c r="B2695" t="s">
        <v>15</v>
      </c>
      <c r="C2695" t="s">
        <v>2135</v>
      </c>
      <c r="D2695" t="s">
        <v>17</v>
      </c>
      <c r="E2695" t="s">
        <v>18</v>
      </c>
      <c r="F2695" t="s">
        <v>19</v>
      </c>
      <c r="G2695" t="s">
        <v>20</v>
      </c>
      <c r="J2695" t="s">
        <v>17</v>
      </c>
      <c r="K2695" t="str">
        <f>"762310231"</f>
        <v>762310231</v>
      </c>
      <c r="L2695" t="str">
        <f>"762310231"</f>
        <v>762310231</v>
      </c>
      <c r="M2695" t="s">
        <v>75</v>
      </c>
      <c r="N2695" s="1">
        <v>42872.849305555559</v>
      </c>
      <c r="O2695" t="s">
        <v>19</v>
      </c>
    </row>
    <row r="2696" spans="1:15" x14ac:dyDescent="0.25">
      <c r="A2696" t="s">
        <v>2302</v>
      </c>
      <c r="B2696" t="s">
        <v>15</v>
      </c>
      <c r="C2696" t="s">
        <v>2135</v>
      </c>
      <c r="D2696" t="s">
        <v>17</v>
      </c>
      <c r="E2696" t="s">
        <v>18</v>
      </c>
      <c r="F2696" t="s">
        <v>19</v>
      </c>
      <c r="G2696" t="s">
        <v>20</v>
      </c>
      <c r="J2696" t="s">
        <v>17</v>
      </c>
      <c r="K2696" t="str">
        <f>"176010231"</f>
        <v>176010231</v>
      </c>
      <c r="L2696" t="str">
        <f>"176010231"</f>
        <v>176010231</v>
      </c>
      <c r="M2696" t="s">
        <v>75</v>
      </c>
      <c r="N2696" s="1">
        <v>42872.849305555559</v>
      </c>
      <c r="O2696" t="s">
        <v>19</v>
      </c>
    </row>
    <row r="2697" spans="1:15" x14ac:dyDescent="0.25">
      <c r="A2697" t="s">
        <v>2302</v>
      </c>
      <c r="B2697" t="s">
        <v>15</v>
      </c>
      <c r="C2697" t="s">
        <v>2135</v>
      </c>
      <c r="D2697" t="s">
        <v>17</v>
      </c>
      <c r="E2697" t="s">
        <v>18</v>
      </c>
      <c r="F2697" t="s">
        <v>19</v>
      </c>
      <c r="G2697" t="s">
        <v>20</v>
      </c>
      <c r="J2697" t="s">
        <v>17</v>
      </c>
      <c r="K2697" t="str">
        <f>"766010231"</f>
        <v>766010231</v>
      </c>
      <c r="L2697" t="str">
        <f>"766010231"</f>
        <v>766010231</v>
      </c>
      <c r="M2697" t="s">
        <v>75</v>
      </c>
      <c r="N2697" s="1">
        <v>42872.849305555559</v>
      </c>
      <c r="O2697" t="s">
        <v>19</v>
      </c>
    </row>
    <row r="2698" spans="1:15" x14ac:dyDescent="0.25">
      <c r="A2698" t="s">
        <v>2303</v>
      </c>
      <c r="B2698" t="s">
        <v>15</v>
      </c>
      <c r="C2698" t="s">
        <v>2135</v>
      </c>
      <c r="D2698" t="s">
        <v>17</v>
      </c>
      <c r="E2698" t="s">
        <v>18</v>
      </c>
      <c r="F2698" t="s">
        <v>19</v>
      </c>
      <c r="G2698" t="s">
        <v>20</v>
      </c>
      <c r="J2698" t="s">
        <v>17</v>
      </c>
      <c r="K2698" t="str">
        <f>"768510234"</f>
        <v>768510234</v>
      </c>
      <c r="L2698" t="str">
        <f>"768510234"</f>
        <v>768510234</v>
      </c>
      <c r="M2698" t="s">
        <v>75</v>
      </c>
      <c r="N2698" s="1">
        <v>42872.849305555559</v>
      </c>
      <c r="O2698" t="s">
        <v>19</v>
      </c>
    </row>
    <row r="2699" spans="1:15" x14ac:dyDescent="0.25">
      <c r="A2699" t="s">
        <v>2304</v>
      </c>
      <c r="B2699" t="s">
        <v>15</v>
      </c>
      <c r="C2699" t="s">
        <v>2135</v>
      </c>
      <c r="D2699" t="s">
        <v>17</v>
      </c>
      <c r="E2699" t="s">
        <v>18</v>
      </c>
      <c r="F2699" t="s">
        <v>19</v>
      </c>
      <c r="G2699" t="s">
        <v>20</v>
      </c>
      <c r="J2699" t="s">
        <v>17</v>
      </c>
      <c r="K2699" t="str">
        <f>"762310268"</f>
        <v>762310268</v>
      </c>
      <c r="L2699" t="str">
        <f>"762310268"</f>
        <v>762310268</v>
      </c>
      <c r="M2699" t="s">
        <v>75</v>
      </c>
      <c r="N2699" s="1">
        <v>42872.849305555559</v>
      </c>
      <c r="O2699" t="s">
        <v>19</v>
      </c>
    </row>
    <row r="2700" spans="1:15" x14ac:dyDescent="0.25">
      <c r="A2700" t="s">
        <v>2304</v>
      </c>
      <c r="B2700" t="s">
        <v>15</v>
      </c>
      <c r="C2700" t="s">
        <v>2135</v>
      </c>
      <c r="D2700" t="s">
        <v>17</v>
      </c>
      <c r="E2700" t="s">
        <v>18</v>
      </c>
      <c r="F2700" t="s">
        <v>19</v>
      </c>
      <c r="G2700" t="s">
        <v>20</v>
      </c>
      <c r="J2700" t="s">
        <v>17</v>
      </c>
      <c r="K2700" t="str">
        <f>"912310268"</f>
        <v>912310268</v>
      </c>
      <c r="L2700" t="str">
        <f>"912310268"</f>
        <v>912310268</v>
      </c>
      <c r="M2700" t="s">
        <v>75</v>
      </c>
      <c r="N2700" s="1">
        <v>42872.849305555559</v>
      </c>
      <c r="O2700" t="s">
        <v>19</v>
      </c>
    </row>
    <row r="2701" spans="1:15" x14ac:dyDescent="0.25">
      <c r="A2701" t="s">
        <v>2304</v>
      </c>
      <c r="B2701" t="s">
        <v>15</v>
      </c>
      <c r="C2701" t="s">
        <v>2135</v>
      </c>
      <c r="D2701" t="s">
        <v>17</v>
      </c>
      <c r="E2701" t="s">
        <v>18</v>
      </c>
      <c r="F2701" t="s">
        <v>19</v>
      </c>
      <c r="G2701" t="s">
        <v>20</v>
      </c>
      <c r="J2701" t="s">
        <v>17</v>
      </c>
      <c r="K2701" t="str">
        <f>"768510268"</f>
        <v>768510268</v>
      </c>
      <c r="L2701" t="str">
        <f>"768510268"</f>
        <v>768510268</v>
      </c>
      <c r="M2701" t="s">
        <v>75</v>
      </c>
      <c r="N2701" s="1">
        <v>42872.849305555559</v>
      </c>
      <c r="O2701" t="s">
        <v>19</v>
      </c>
    </row>
    <row r="2702" spans="1:15" x14ac:dyDescent="0.25">
      <c r="A2702" t="s">
        <v>2305</v>
      </c>
      <c r="B2702" t="s">
        <v>15</v>
      </c>
      <c r="C2702" t="s">
        <v>2135</v>
      </c>
      <c r="D2702" t="s">
        <v>17</v>
      </c>
      <c r="E2702" t="s">
        <v>18</v>
      </c>
      <c r="F2702" t="s">
        <v>19</v>
      </c>
      <c r="G2702" t="s">
        <v>20</v>
      </c>
      <c r="J2702" t="s">
        <v>17</v>
      </c>
      <c r="K2702" t="str">
        <f>"7623241"</f>
        <v>7623241</v>
      </c>
      <c r="L2702" t="str">
        <f>"7623241"</f>
        <v>7623241</v>
      </c>
      <c r="M2702" t="s">
        <v>75</v>
      </c>
      <c r="N2702" s="1">
        <v>42872.839583333334</v>
      </c>
      <c r="O2702" t="s">
        <v>19</v>
      </c>
    </row>
    <row r="2703" spans="1:15" x14ac:dyDescent="0.25">
      <c r="A2703" t="s">
        <v>2305</v>
      </c>
      <c r="B2703" t="s">
        <v>15</v>
      </c>
      <c r="C2703" t="s">
        <v>2135</v>
      </c>
      <c r="D2703" t="s">
        <v>17</v>
      </c>
      <c r="E2703" t="s">
        <v>18</v>
      </c>
      <c r="F2703" t="s">
        <v>19</v>
      </c>
      <c r="G2703" t="s">
        <v>20</v>
      </c>
      <c r="J2703" t="s">
        <v>17</v>
      </c>
      <c r="K2703" t="str">
        <f>"762310234"</f>
        <v>762310234</v>
      </c>
      <c r="L2703" t="str">
        <f>"762310234"</f>
        <v>762310234</v>
      </c>
      <c r="M2703" t="s">
        <v>75</v>
      </c>
      <c r="N2703" s="1">
        <v>42872.849305555559</v>
      </c>
      <c r="O2703" t="s">
        <v>19</v>
      </c>
    </row>
    <row r="2704" spans="1:15" x14ac:dyDescent="0.25">
      <c r="A2704" t="s">
        <v>2305</v>
      </c>
      <c r="B2704" t="s">
        <v>15</v>
      </c>
      <c r="C2704" t="s">
        <v>2135</v>
      </c>
      <c r="D2704" t="s">
        <v>17</v>
      </c>
      <c r="E2704" t="s">
        <v>18</v>
      </c>
      <c r="F2704" t="s">
        <v>19</v>
      </c>
      <c r="G2704" t="s">
        <v>20</v>
      </c>
      <c r="J2704" t="s">
        <v>17</v>
      </c>
      <c r="K2704" t="str">
        <f>"762332234"</f>
        <v>762332234</v>
      </c>
      <c r="L2704" t="str">
        <f>"762332234"</f>
        <v>762332234</v>
      </c>
      <c r="M2704" t="s">
        <v>75</v>
      </c>
      <c r="N2704" s="1">
        <v>42872.849305555559</v>
      </c>
      <c r="O2704" t="s">
        <v>19</v>
      </c>
    </row>
    <row r="2705" spans="1:15" x14ac:dyDescent="0.25">
      <c r="A2705" t="s">
        <v>2305</v>
      </c>
      <c r="B2705" t="s">
        <v>15</v>
      </c>
      <c r="C2705" t="s">
        <v>2135</v>
      </c>
      <c r="D2705" t="s">
        <v>17</v>
      </c>
      <c r="E2705" t="s">
        <v>18</v>
      </c>
      <c r="F2705" t="s">
        <v>19</v>
      </c>
      <c r="G2705" t="s">
        <v>20</v>
      </c>
      <c r="J2705" t="s">
        <v>17</v>
      </c>
      <c r="K2705" t="str">
        <f>"762310241"</f>
        <v>762310241</v>
      </c>
      <c r="L2705" t="str">
        <f>"762310241"</f>
        <v>762310241</v>
      </c>
      <c r="M2705" t="s">
        <v>75</v>
      </c>
      <c r="N2705" s="1">
        <v>42872.849305555559</v>
      </c>
      <c r="O2705" t="s">
        <v>19</v>
      </c>
    </row>
    <row r="2706" spans="1:15" x14ac:dyDescent="0.25">
      <c r="A2706" t="s">
        <v>2305</v>
      </c>
      <c r="B2706" t="s">
        <v>15</v>
      </c>
      <c r="C2706" t="s">
        <v>2135</v>
      </c>
      <c r="D2706" t="s">
        <v>17</v>
      </c>
      <c r="E2706" t="s">
        <v>18</v>
      </c>
      <c r="F2706" t="s">
        <v>19</v>
      </c>
      <c r="G2706" t="s">
        <v>20</v>
      </c>
      <c r="J2706" t="s">
        <v>17</v>
      </c>
      <c r="K2706" t="str">
        <f>"766010234"</f>
        <v>766010234</v>
      </c>
      <c r="L2706" t="str">
        <f>"766010234"</f>
        <v>766010234</v>
      </c>
      <c r="M2706" t="s">
        <v>75</v>
      </c>
      <c r="N2706" s="1">
        <v>42896.804861111108</v>
      </c>
      <c r="O2706" t="s">
        <v>19</v>
      </c>
    </row>
    <row r="2707" spans="1:15" x14ac:dyDescent="0.25">
      <c r="A2707" t="s">
        <v>2306</v>
      </c>
      <c r="B2707" t="s">
        <v>15</v>
      </c>
      <c r="C2707" t="s">
        <v>2135</v>
      </c>
      <c r="D2707" t="s">
        <v>17</v>
      </c>
      <c r="E2707" t="s">
        <v>18</v>
      </c>
      <c r="F2707" t="s">
        <v>19</v>
      </c>
      <c r="G2707" t="s">
        <v>20</v>
      </c>
      <c r="J2707" t="s">
        <v>17</v>
      </c>
      <c r="K2707" t="str">
        <f>"762310295"</f>
        <v>762310295</v>
      </c>
      <c r="L2707" t="str">
        <f>"762310295"</f>
        <v>762310295</v>
      </c>
      <c r="M2707" t="s">
        <v>75</v>
      </c>
      <c r="N2707" s="1">
        <v>42872.849305555559</v>
      </c>
      <c r="O2707" t="s">
        <v>19</v>
      </c>
    </row>
    <row r="2708" spans="1:15" x14ac:dyDescent="0.25">
      <c r="A2708" t="s">
        <v>2306</v>
      </c>
      <c r="B2708" t="s">
        <v>15</v>
      </c>
      <c r="C2708" t="s">
        <v>2135</v>
      </c>
      <c r="D2708" t="s">
        <v>17</v>
      </c>
      <c r="E2708" t="s">
        <v>18</v>
      </c>
      <c r="F2708" t="s">
        <v>19</v>
      </c>
      <c r="G2708" t="s">
        <v>20</v>
      </c>
      <c r="J2708" t="s">
        <v>17</v>
      </c>
      <c r="K2708" t="str">
        <f>"176010295"</f>
        <v>176010295</v>
      </c>
      <c r="L2708" t="str">
        <f>"176010295"</f>
        <v>176010295</v>
      </c>
      <c r="M2708" t="s">
        <v>75</v>
      </c>
      <c r="N2708" s="1">
        <v>42895.95416666667</v>
      </c>
      <c r="O2708" t="s">
        <v>19</v>
      </c>
    </row>
    <row r="2709" spans="1:15" x14ac:dyDescent="0.25">
      <c r="A2709" t="s">
        <v>2307</v>
      </c>
      <c r="B2709" t="s">
        <v>15</v>
      </c>
      <c r="C2709" t="s">
        <v>2135</v>
      </c>
      <c r="D2709" t="s">
        <v>17</v>
      </c>
      <c r="E2709" t="s">
        <v>18</v>
      </c>
      <c r="F2709" t="s">
        <v>19</v>
      </c>
      <c r="G2709" t="s">
        <v>20</v>
      </c>
      <c r="J2709" t="s">
        <v>17</v>
      </c>
      <c r="K2709" t="str">
        <f>"762310296"</f>
        <v>762310296</v>
      </c>
      <c r="L2709" t="str">
        <f>"762310296"</f>
        <v>762310296</v>
      </c>
      <c r="M2709" t="s">
        <v>75</v>
      </c>
      <c r="N2709" s="1">
        <v>42872.849305555559</v>
      </c>
      <c r="O2709" t="s">
        <v>19</v>
      </c>
    </row>
    <row r="2710" spans="1:15" x14ac:dyDescent="0.25">
      <c r="A2710" t="s">
        <v>2307</v>
      </c>
      <c r="B2710" t="s">
        <v>15</v>
      </c>
      <c r="C2710" t="s">
        <v>2135</v>
      </c>
      <c r="D2710" t="s">
        <v>17</v>
      </c>
      <c r="E2710" t="s">
        <v>18</v>
      </c>
      <c r="F2710" t="s">
        <v>19</v>
      </c>
      <c r="G2710" t="s">
        <v>20</v>
      </c>
      <c r="J2710" t="s">
        <v>17</v>
      </c>
      <c r="K2710" t="str">
        <f>"172310296"</f>
        <v>172310296</v>
      </c>
      <c r="L2710" t="str">
        <f>"172310296"</f>
        <v>172310296</v>
      </c>
      <c r="M2710" t="s">
        <v>75</v>
      </c>
      <c r="N2710" s="1">
        <v>42930.96597222222</v>
      </c>
      <c r="O2710" t="s">
        <v>19</v>
      </c>
    </row>
    <row r="2711" spans="1:15" x14ac:dyDescent="0.25">
      <c r="A2711" t="s">
        <v>2307</v>
      </c>
      <c r="B2711" t="s">
        <v>15</v>
      </c>
      <c r="C2711" t="s">
        <v>2135</v>
      </c>
      <c r="D2711" t="s">
        <v>17</v>
      </c>
      <c r="E2711" t="s">
        <v>18</v>
      </c>
      <c r="F2711" t="s">
        <v>19</v>
      </c>
      <c r="G2711" t="s">
        <v>20</v>
      </c>
      <c r="J2711" t="s">
        <v>17</v>
      </c>
      <c r="K2711" t="str">
        <f>"766010296"</f>
        <v>766010296</v>
      </c>
      <c r="L2711" t="str">
        <f>"766010296"</f>
        <v>766010296</v>
      </c>
      <c r="M2711" t="s">
        <v>75</v>
      </c>
      <c r="N2711" s="1">
        <v>43097.697916666664</v>
      </c>
      <c r="O2711" t="s">
        <v>19</v>
      </c>
    </row>
    <row r="2712" spans="1:15" x14ac:dyDescent="0.25">
      <c r="A2712" t="s">
        <v>2308</v>
      </c>
      <c r="B2712" t="s">
        <v>15</v>
      </c>
      <c r="C2712" t="s">
        <v>2135</v>
      </c>
      <c r="D2712" t="s">
        <v>17</v>
      </c>
      <c r="E2712" t="s">
        <v>18</v>
      </c>
      <c r="F2712" t="s">
        <v>19</v>
      </c>
      <c r="G2712" t="s">
        <v>20</v>
      </c>
      <c r="J2712" t="s">
        <v>17</v>
      </c>
      <c r="K2712" t="str">
        <f>"762310299"</f>
        <v>762310299</v>
      </c>
      <c r="L2712" t="str">
        <f>"762310299"</f>
        <v>762310299</v>
      </c>
      <c r="M2712" t="s">
        <v>75</v>
      </c>
      <c r="N2712" s="1">
        <v>43176.692361111112</v>
      </c>
      <c r="O2712" t="s">
        <v>19</v>
      </c>
    </row>
    <row r="2713" spans="1:15" x14ac:dyDescent="0.25">
      <c r="A2713" t="s">
        <v>2309</v>
      </c>
      <c r="B2713" t="s">
        <v>15</v>
      </c>
      <c r="C2713" t="s">
        <v>2135</v>
      </c>
      <c r="D2713" t="s">
        <v>17</v>
      </c>
      <c r="E2713" t="s">
        <v>18</v>
      </c>
      <c r="F2713" t="s">
        <v>19</v>
      </c>
      <c r="G2713" t="s">
        <v>20</v>
      </c>
      <c r="J2713" t="s">
        <v>17</v>
      </c>
      <c r="K2713" t="str">
        <f>"322310312"</f>
        <v>322310312</v>
      </c>
      <c r="L2713" t="str">
        <f>"322310312"</f>
        <v>322310312</v>
      </c>
      <c r="M2713" t="s">
        <v>84</v>
      </c>
      <c r="N2713" s="1">
        <v>43502.780555555553</v>
      </c>
      <c r="O2713" t="s">
        <v>19</v>
      </c>
    </row>
    <row r="2714" spans="1:15" x14ac:dyDescent="0.25">
      <c r="A2714" t="s">
        <v>2309</v>
      </c>
      <c r="B2714" t="s">
        <v>15</v>
      </c>
      <c r="C2714" t="s">
        <v>2135</v>
      </c>
      <c r="D2714" t="s">
        <v>17</v>
      </c>
      <c r="E2714" t="s">
        <v>18</v>
      </c>
      <c r="F2714" t="s">
        <v>19</v>
      </c>
      <c r="G2714" t="s">
        <v>20</v>
      </c>
      <c r="J2714" t="s">
        <v>17</v>
      </c>
      <c r="K2714" t="str">
        <f>"672310312"</f>
        <v>672310312</v>
      </c>
      <c r="L2714" t="str">
        <f>"672310312"</f>
        <v>672310312</v>
      </c>
      <c r="M2714" t="s">
        <v>84</v>
      </c>
      <c r="N2714" s="1">
        <v>43546.947916666664</v>
      </c>
      <c r="O2714" t="s">
        <v>19</v>
      </c>
    </row>
    <row r="2715" spans="1:15" x14ac:dyDescent="0.25">
      <c r="A2715" t="s">
        <v>2310</v>
      </c>
      <c r="B2715" t="s">
        <v>15</v>
      </c>
      <c r="C2715" t="s">
        <v>2135</v>
      </c>
      <c r="D2715" t="s">
        <v>17</v>
      </c>
      <c r="E2715" t="s">
        <v>18</v>
      </c>
      <c r="F2715" t="s">
        <v>19</v>
      </c>
      <c r="G2715" t="s">
        <v>20</v>
      </c>
      <c r="J2715" t="s">
        <v>17</v>
      </c>
      <c r="K2715" t="str">
        <f>"762310315"</f>
        <v>762310315</v>
      </c>
      <c r="L2715" t="str">
        <f>"762310315"</f>
        <v>762310315</v>
      </c>
      <c r="M2715" t="s">
        <v>21</v>
      </c>
      <c r="N2715" s="1">
        <v>43754.868750000001</v>
      </c>
      <c r="O2715" t="s">
        <v>19</v>
      </c>
    </row>
    <row r="2716" spans="1:15" x14ac:dyDescent="0.25">
      <c r="A2716" t="s">
        <v>2311</v>
      </c>
      <c r="B2716" t="s">
        <v>15</v>
      </c>
      <c r="C2716" t="s">
        <v>2135</v>
      </c>
      <c r="D2716" t="s">
        <v>17</v>
      </c>
      <c r="E2716" t="s">
        <v>18</v>
      </c>
      <c r="F2716" t="s">
        <v>19</v>
      </c>
      <c r="G2716" t="s">
        <v>20</v>
      </c>
      <c r="J2716" t="s">
        <v>17</v>
      </c>
      <c r="K2716" t="str">
        <f>"762310316"</f>
        <v>762310316</v>
      </c>
      <c r="L2716" t="str">
        <f>"762310316"</f>
        <v>762310316</v>
      </c>
      <c r="M2716" t="s">
        <v>21</v>
      </c>
      <c r="N2716" s="1">
        <v>43754.868750000001</v>
      </c>
      <c r="O2716" t="s">
        <v>19</v>
      </c>
    </row>
    <row r="2717" spans="1:15" x14ac:dyDescent="0.25">
      <c r="A2717" t="s">
        <v>2312</v>
      </c>
      <c r="B2717" t="s">
        <v>15</v>
      </c>
      <c r="C2717" t="s">
        <v>2135</v>
      </c>
      <c r="D2717" t="s">
        <v>17</v>
      </c>
      <c r="E2717" t="s">
        <v>18</v>
      </c>
      <c r="F2717" t="s">
        <v>19</v>
      </c>
      <c r="G2717" t="s">
        <v>20</v>
      </c>
      <c r="J2717" t="s">
        <v>17</v>
      </c>
      <c r="K2717" t="str">
        <f>"762310321"</f>
        <v>762310321</v>
      </c>
      <c r="L2717" t="str">
        <f>"762310321"</f>
        <v>762310321</v>
      </c>
      <c r="M2717" t="s">
        <v>21</v>
      </c>
      <c r="N2717" s="1">
        <v>44210.928472222222</v>
      </c>
      <c r="O2717" t="s">
        <v>19</v>
      </c>
    </row>
    <row r="2718" spans="1:15" x14ac:dyDescent="0.25">
      <c r="A2718" t="s">
        <v>2313</v>
      </c>
      <c r="B2718" t="s">
        <v>15</v>
      </c>
      <c r="C2718" t="s">
        <v>2135</v>
      </c>
      <c r="D2718" t="s">
        <v>17</v>
      </c>
      <c r="E2718" t="s">
        <v>18</v>
      </c>
      <c r="F2718" t="s">
        <v>19</v>
      </c>
      <c r="G2718" t="s">
        <v>20</v>
      </c>
      <c r="J2718" t="s">
        <v>17</v>
      </c>
      <c r="K2718" t="str">
        <f>"612310322"</f>
        <v>612310322</v>
      </c>
      <c r="L2718" t="str">
        <f>"612310322"</f>
        <v>612310322</v>
      </c>
      <c r="M2718" t="s">
        <v>21</v>
      </c>
      <c r="N2718" s="1">
        <v>44252.863888888889</v>
      </c>
      <c r="O2718" t="s">
        <v>19</v>
      </c>
    </row>
    <row r="2719" spans="1:15" x14ac:dyDescent="0.25">
      <c r="A2719" t="s">
        <v>2314</v>
      </c>
      <c r="B2719" t="s">
        <v>15</v>
      </c>
      <c r="C2719" t="s">
        <v>2135</v>
      </c>
      <c r="D2719" t="s">
        <v>17</v>
      </c>
      <c r="E2719" t="s">
        <v>18</v>
      </c>
      <c r="F2719" t="s">
        <v>19</v>
      </c>
      <c r="G2719" t="s">
        <v>20</v>
      </c>
      <c r="J2719" t="s">
        <v>17</v>
      </c>
      <c r="K2719" t="str">
        <f>"762310324"</f>
        <v>762310324</v>
      </c>
      <c r="L2719" t="str">
        <f>"762310324"</f>
        <v>762310324</v>
      </c>
      <c r="M2719" t="s">
        <v>21</v>
      </c>
      <c r="N2719" s="1">
        <v>44210.927777777775</v>
      </c>
      <c r="O2719" t="s">
        <v>19</v>
      </c>
    </row>
    <row r="2720" spans="1:15" x14ac:dyDescent="0.25">
      <c r="A2720" t="s">
        <v>2315</v>
      </c>
      <c r="B2720" t="s">
        <v>15</v>
      </c>
      <c r="C2720" t="s">
        <v>2135</v>
      </c>
      <c r="D2720" t="s">
        <v>17</v>
      </c>
      <c r="E2720" t="s">
        <v>18</v>
      </c>
      <c r="F2720" t="s">
        <v>19</v>
      </c>
      <c r="G2720" t="s">
        <v>20</v>
      </c>
      <c r="J2720" t="s">
        <v>17</v>
      </c>
      <c r="K2720" t="str">
        <f>"110761225"</f>
        <v>110761225</v>
      </c>
      <c r="L2720" t="str">
        <f>"110761225"</f>
        <v>110761225</v>
      </c>
      <c r="M2720" t="s">
        <v>75</v>
      </c>
      <c r="N2720" s="1">
        <v>42872.847222222219</v>
      </c>
      <c r="O2720" t="s">
        <v>19</v>
      </c>
    </row>
    <row r="2721" spans="1:15" x14ac:dyDescent="0.25">
      <c r="A2721" t="s">
        <v>2316</v>
      </c>
      <c r="B2721" t="s">
        <v>15</v>
      </c>
      <c r="C2721" t="s">
        <v>2135</v>
      </c>
      <c r="D2721" t="s">
        <v>17</v>
      </c>
      <c r="E2721" t="s">
        <v>18</v>
      </c>
      <c r="F2721" t="s">
        <v>19</v>
      </c>
      <c r="G2721" t="s">
        <v>20</v>
      </c>
      <c r="J2721" t="s">
        <v>17</v>
      </c>
      <c r="K2721" t="str">
        <f>"1578086217980"</f>
        <v>1578086217980</v>
      </c>
      <c r="L2721" t="str">
        <f>"762305145"</f>
        <v>762305145</v>
      </c>
      <c r="M2721" t="s">
        <v>21</v>
      </c>
      <c r="N2721" s="1">
        <v>43833.886111111111</v>
      </c>
      <c r="O2721" t="s">
        <v>19</v>
      </c>
    </row>
    <row r="2722" spans="1:15" x14ac:dyDescent="0.25">
      <c r="A2722" t="s">
        <v>2317</v>
      </c>
      <c r="B2722" t="s">
        <v>15</v>
      </c>
      <c r="C2722" t="s">
        <v>2135</v>
      </c>
      <c r="D2722" t="s">
        <v>17</v>
      </c>
      <c r="E2722" t="s">
        <v>18</v>
      </c>
      <c r="F2722" t="s">
        <v>19</v>
      </c>
      <c r="G2722" t="s">
        <v>20</v>
      </c>
      <c r="J2722" t="s">
        <v>17</v>
      </c>
      <c r="K2722" t="str">
        <f>"17231079"</f>
        <v>17231079</v>
      </c>
      <c r="L2722" t="str">
        <f>"17231079"</f>
        <v>17231079</v>
      </c>
      <c r="M2722" t="s">
        <v>75</v>
      </c>
      <c r="N2722" s="1">
        <v>42872.839583333334</v>
      </c>
      <c r="O2722" t="s">
        <v>19</v>
      </c>
    </row>
    <row r="2723" spans="1:15" x14ac:dyDescent="0.25">
      <c r="A2723" t="s">
        <v>2317</v>
      </c>
      <c r="B2723" t="s">
        <v>15</v>
      </c>
      <c r="C2723" t="s">
        <v>2135</v>
      </c>
      <c r="D2723" t="s">
        <v>17</v>
      </c>
      <c r="E2723" t="s">
        <v>18</v>
      </c>
      <c r="F2723" t="s">
        <v>19</v>
      </c>
      <c r="G2723" t="s">
        <v>20</v>
      </c>
      <c r="J2723" t="s">
        <v>17</v>
      </c>
      <c r="K2723" t="str">
        <f>"17631079"</f>
        <v>17631079</v>
      </c>
      <c r="L2723" t="str">
        <f>"17631079"</f>
        <v>17631079</v>
      </c>
      <c r="M2723" t="s">
        <v>75</v>
      </c>
      <c r="N2723" s="1">
        <v>42872.839583333334</v>
      </c>
      <c r="O2723" t="s">
        <v>19</v>
      </c>
    </row>
    <row r="2724" spans="1:15" x14ac:dyDescent="0.25">
      <c r="A2724" t="s">
        <v>2317</v>
      </c>
      <c r="B2724" t="s">
        <v>15</v>
      </c>
      <c r="C2724" t="s">
        <v>2135</v>
      </c>
      <c r="D2724" t="s">
        <v>17</v>
      </c>
      <c r="E2724" t="s">
        <v>18</v>
      </c>
      <c r="F2724" t="s">
        <v>19</v>
      </c>
      <c r="G2724" t="s">
        <v>20</v>
      </c>
      <c r="J2724" t="s">
        <v>17</v>
      </c>
      <c r="K2724" t="str">
        <f>"76231079"</f>
        <v>76231079</v>
      </c>
      <c r="L2724" t="str">
        <f>"76231079"</f>
        <v>76231079</v>
      </c>
      <c r="M2724" t="s">
        <v>75</v>
      </c>
      <c r="N2724" s="1">
        <v>42872.847222222219</v>
      </c>
      <c r="O2724" t="s">
        <v>19</v>
      </c>
    </row>
    <row r="2725" spans="1:15" x14ac:dyDescent="0.25">
      <c r="A2725" t="s">
        <v>2318</v>
      </c>
      <c r="B2725" t="s">
        <v>15</v>
      </c>
      <c r="C2725" t="s">
        <v>2135</v>
      </c>
      <c r="D2725" t="s">
        <v>17</v>
      </c>
      <c r="E2725" t="s">
        <v>18</v>
      </c>
      <c r="F2725" t="s">
        <v>19</v>
      </c>
      <c r="G2725" t="s">
        <v>20</v>
      </c>
      <c r="J2725" t="s">
        <v>17</v>
      </c>
      <c r="K2725" t="str">
        <f>"17609121"</f>
        <v>17609121</v>
      </c>
      <c r="L2725" t="str">
        <f>"17609121"</f>
        <v>17609121</v>
      </c>
      <c r="M2725" t="s">
        <v>75</v>
      </c>
      <c r="N2725" s="1">
        <v>42872.839583333334</v>
      </c>
      <c r="O2725" t="s">
        <v>19</v>
      </c>
    </row>
    <row r="2726" spans="1:15" x14ac:dyDescent="0.25">
      <c r="A2726" t="s">
        <v>2318</v>
      </c>
      <c r="B2726" t="s">
        <v>15</v>
      </c>
      <c r="C2726" t="s">
        <v>2135</v>
      </c>
      <c r="D2726" t="s">
        <v>17</v>
      </c>
      <c r="E2726" t="s">
        <v>18</v>
      </c>
      <c r="F2726" t="s">
        <v>19</v>
      </c>
      <c r="G2726" t="s">
        <v>20</v>
      </c>
      <c r="J2726" t="s">
        <v>17</v>
      </c>
      <c r="K2726" t="str">
        <f>"172310121"</f>
        <v>172310121</v>
      </c>
      <c r="L2726" t="str">
        <f>"172310121"</f>
        <v>172310121</v>
      </c>
      <c r="M2726" t="s">
        <v>75</v>
      </c>
      <c r="N2726" s="1">
        <v>42872.849305555559</v>
      </c>
      <c r="O2726" t="s">
        <v>19</v>
      </c>
    </row>
    <row r="2727" spans="1:15" x14ac:dyDescent="0.25">
      <c r="A2727" t="s">
        <v>2318</v>
      </c>
      <c r="B2727" t="s">
        <v>15</v>
      </c>
      <c r="C2727" t="s">
        <v>2135</v>
      </c>
      <c r="D2727" t="s">
        <v>17</v>
      </c>
      <c r="E2727" t="s">
        <v>18</v>
      </c>
      <c r="F2727" t="s">
        <v>19</v>
      </c>
      <c r="G2727" t="s">
        <v>20</v>
      </c>
      <c r="J2727" t="s">
        <v>17</v>
      </c>
      <c r="K2727" t="str">
        <f>"176010121"</f>
        <v>176010121</v>
      </c>
      <c r="L2727" t="str">
        <f>"176010121"</f>
        <v>176010121</v>
      </c>
      <c r="M2727" t="s">
        <v>75</v>
      </c>
      <c r="N2727" s="1">
        <v>42872.849305555559</v>
      </c>
      <c r="O2727" t="s">
        <v>19</v>
      </c>
    </row>
    <row r="2728" spans="1:15" x14ac:dyDescent="0.25">
      <c r="A2728" t="s">
        <v>2318</v>
      </c>
      <c r="B2728" t="s">
        <v>15</v>
      </c>
      <c r="C2728" t="s">
        <v>2135</v>
      </c>
      <c r="D2728" t="s">
        <v>17</v>
      </c>
      <c r="E2728" t="s">
        <v>18</v>
      </c>
      <c r="F2728" t="s">
        <v>19</v>
      </c>
      <c r="G2728" t="s">
        <v>20</v>
      </c>
      <c r="J2728" t="s">
        <v>17</v>
      </c>
      <c r="K2728" t="str">
        <f>"766010121"</f>
        <v>766010121</v>
      </c>
      <c r="L2728" t="str">
        <f>"766010121"</f>
        <v>766010121</v>
      </c>
      <c r="M2728" t="s">
        <v>75</v>
      </c>
      <c r="N2728" s="1">
        <v>42872.849305555559</v>
      </c>
      <c r="O2728" t="s">
        <v>19</v>
      </c>
    </row>
    <row r="2729" spans="1:15" x14ac:dyDescent="0.25">
      <c r="A2729" t="s">
        <v>2319</v>
      </c>
      <c r="B2729" t="s">
        <v>15</v>
      </c>
      <c r="C2729" t="s">
        <v>2135</v>
      </c>
      <c r="D2729" t="s">
        <v>17</v>
      </c>
      <c r="E2729" t="s">
        <v>18</v>
      </c>
      <c r="F2729" t="s">
        <v>19</v>
      </c>
      <c r="G2729" t="s">
        <v>20</v>
      </c>
      <c r="J2729" t="s">
        <v>17</v>
      </c>
      <c r="K2729" t="str">
        <f>"172310173"</f>
        <v>172310173</v>
      </c>
      <c r="L2729" t="str">
        <f>"172310173"</f>
        <v>172310173</v>
      </c>
      <c r="M2729" t="s">
        <v>75</v>
      </c>
      <c r="N2729" s="1">
        <v>42872.849305555559</v>
      </c>
      <c r="O2729" t="s">
        <v>19</v>
      </c>
    </row>
    <row r="2730" spans="1:15" x14ac:dyDescent="0.25">
      <c r="A2730" t="s">
        <v>2320</v>
      </c>
      <c r="B2730" t="s">
        <v>15</v>
      </c>
      <c r="C2730" t="s">
        <v>2135</v>
      </c>
      <c r="D2730" t="s">
        <v>17</v>
      </c>
      <c r="E2730" t="s">
        <v>18</v>
      </c>
      <c r="F2730" t="s">
        <v>19</v>
      </c>
      <c r="G2730" t="s">
        <v>20</v>
      </c>
      <c r="J2730" t="s">
        <v>17</v>
      </c>
      <c r="K2730" t="str">
        <f>"17231082"</f>
        <v>17231082</v>
      </c>
      <c r="L2730" t="str">
        <f>"17231082"</f>
        <v>17231082</v>
      </c>
      <c r="M2730" t="s">
        <v>75</v>
      </c>
      <c r="N2730" s="1">
        <v>42872.839583333334</v>
      </c>
      <c r="O2730" t="s">
        <v>19</v>
      </c>
    </row>
    <row r="2731" spans="1:15" x14ac:dyDescent="0.25">
      <c r="A2731" t="s">
        <v>2320</v>
      </c>
      <c r="B2731" t="s">
        <v>15</v>
      </c>
      <c r="C2731" t="s">
        <v>2135</v>
      </c>
      <c r="D2731" t="s">
        <v>17</v>
      </c>
      <c r="E2731" t="s">
        <v>18</v>
      </c>
      <c r="F2731" t="s">
        <v>19</v>
      </c>
      <c r="G2731" t="s">
        <v>20</v>
      </c>
      <c r="J2731" t="s">
        <v>17</v>
      </c>
      <c r="K2731" t="str">
        <f>"76231082"</f>
        <v>76231082</v>
      </c>
      <c r="L2731" t="str">
        <f>"76231082"</f>
        <v>76231082</v>
      </c>
      <c r="M2731" t="s">
        <v>75</v>
      </c>
      <c r="N2731" s="1">
        <v>42872.847222222219</v>
      </c>
      <c r="O2731" t="s">
        <v>19</v>
      </c>
    </row>
    <row r="2732" spans="1:15" x14ac:dyDescent="0.25">
      <c r="A2732" t="s">
        <v>2320</v>
      </c>
      <c r="B2732" t="s">
        <v>15</v>
      </c>
      <c r="C2732" t="s">
        <v>2135</v>
      </c>
      <c r="D2732" t="s">
        <v>17</v>
      </c>
      <c r="E2732" t="s">
        <v>18</v>
      </c>
      <c r="F2732" t="s">
        <v>19</v>
      </c>
      <c r="G2732" t="s">
        <v>20</v>
      </c>
      <c r="J2732" t="s">
        <v>17</v>
      </c>
      <c r="K2732" t="str">
        <f>"76231182"</f>
        <v>76231182</v>
      </c>
      <c r="L2732" t="str">
        <f>"76231182"</f>
        <v>76231182</v>
      </c>
      <c r="M2732" t="s">
        <v>75</v>
      </c>
      <c r="N2732" s="1">
        <v>42872.847222222219</v>
      </c>
      <c r="O2732" t="s">
        <v>19</v>
      </c>
    </row>
    <row r="2733" spans="1:15" x14ac:dyDescent="0.25">
      <c r="A2733" t="s">
        <v>2320</v>
      </c>
      <c r="B2733" t="s">
        <v>15</v>
      </c>
      <c r="C2733" t="s">
        <v>2135</v>
      </c>
      <c r="D2733" t="s">
        <v>17</v>
      </c>
      <c r="E2733" t="s">
        <v>18</v>
      </c>
      <c r="F2733" t="s">
        <v>19</v>
      </c>
      <c r="G2733" t="s">
        <v>20</v>
      </c>
      <c r="J2733" t="s">
        <v>17</v>
      </c>
      <c r="K2733" t="str">
        <f>"76601082"</f>
        <v>76601082</v>
      </c>
      <c r="L2733" t="str">
        <f>"76601082"</f>
        <v>76601082</v>
      </c>
      <c r="M2733" t="s">
        <v>75</v>
      </c>
      <c r="N2733" s="1">
        <v>42872.847222222219</v>
      </c>
      <c r="O2733" t="s">
        <v>19</v>
      </c>
    </row>
    <row r="2734" spans="1:15" x14ac:dyDescent="0.25">
      <c r="A2734" t="s">
        <v>2320</v>
      </c>
      <c r="B2734" t="s">
        <v>15</v>
      </c>
      <c r="C2734" t="s">
        <v>2135</v>
      </c>
      <c r="D2734" t="s">
        <v>17</v>
      </c>
      <c r="E2734" t="s">
        <v>18</v>
      </c>
      <c r="F2734" t="s">
        <v>19</v>
      </c>
      <c r="G2734" t="s">
        <v>20</v>
      </c>
      <c r="J2734" t="s">
        <v>17</v>
      </c>
      <c r="K2734" t="str">
        <f>"76631082"</f>
        <v>76631082</v>
      </c>
      <c r="L2734" t="str">
        <f>"76631082"</f>
        <v>76631082</v>
      </c>
      <c r="M2734" t="s">
        <v>75</v>
      </c>
      <c r="N2734" s="1">
        <v>42872.847222222219</v>
      </c>
      <c r="O2734" t="s">
        <v>19</v>
      </c>
    </row>
    <row r="2735" spans="1:15" x14ac:dyDescent="0.25">
      <c r="A2735" t="s">
        <v>2321</v>
      </c>
      <c r="B2735" t="s">
        <v>15</v>
      </c>
      <c r="C2735" t="s">
        <v>2135</v>
      </c>
      <c r="D2735" t="s">
        <v>17</v>
      </c>
      <c r="E2735" t="s">
        <v>18</v>
      </c>
      <c r="F2735" t="s">
        <v>19</v>
      </c>
      <c r="G2735" t="s">
        <v>20</v>
      </c>
      <c r="J2735" t="s">
        <v>17</v>
      </c>
      <c r="K2735" t="str">
        <f>"322310305"</f>
        <v>322310305</v>
      </c>
      <c r="L2735" t="str">
        <f>"322310305"</f>
        <v>322310305</v>
      </c>
      <c r="M2735" t="s">
        <v>84</v>
      </c>
      <c r="N2735" s="1">
        <v>43502.780555555553</v>
      </c>
      <c r="O2735" t="s">
        <v>19</v>
      </c>
    </row>
    <row r="2736" spans="1:15" x14ac:dyDescent="0.25">
      <c r="A2736" t="s">
        <v>2322</v>
      </c>
      <c r="B2736" t="s">
        <v>15</v>
      </c>
      <c r="C2736" t="s">
        <v>2135</v>
      </c>
      <c r="D2736" t="s">
        <v>17</v>
      </c>
      <c r="E2736" t="s">
        <v>18</v>
      </c>
      <c r="F2736" t="s">
        <v>19</v>
      </c>
      <c r="G2736" t="s">
        <v>20</v>
      </c>
      <c r="J2736" t="s">
        <v>17</v>
      </c>
      <c r="K2736" t="str">
        <f>"172310282"</f>
        <v>172310282</v>
      </c>
      <c r="L2736" t="str">
        <f>"172310282"</f>
        <v>172310282</v>
      </c>
      <c r="M2736" t="s">
        <v>75</v>
      </c>
      <c r="N2736" s="1">
        <v>42872.849305555559</v>
      </c>
      <c r="O2736" t="s">
        <v>19</v>
      </c>
    </row>
    <row r="2737" spans="1:15" x14ac:dyDescent="0.25">
      <c r="A2737" t="s">
        <v>2323</v>
      </c>
      <c r="B2737" t="s">
        <v>15</v>
      </c>
      <c r="C2737" t="s">
        <v>2135</v>
      </c>
      <c r="D2737" t="s">
        <v>17</v>
      </c>
      <c r="E2737" t="s">
        <v>18</v>
      </c>
      <c r="F2737" t="s">
        <v>19</v>
      </c>
      <c r="G2737" t="s">
        <v>20</v>
      </c>
      <c r="J2737" t="s">
        <v>17</v>
      </c>
      <c r="K2737" t="str">
        <f>"172310284"</f>
        <v>172310284</v>
      </c>
      <c r="L2737" t="str">
        <f>"172310284"</f>
        <v>172310284</v>
      </c>
      <c r="M2737" t="s">
        <v>75</v>
      </c>
      <c r="N2737" s="1">
        <v>42872.849305555559</v>
      </c>
      <c r="O2737" t="s">
        <v>19</v>
      </c>
    </row>
    <row r="2738" spans="1:15" x14ac:dyDescent="0.25">
      <c r="A2738" t="s">
        <v>2323</v>
      </c>
      <c r="B2738" t="s">
        <v>15</v>
      </c>
      <c r="C2738" t="s">
        <v>2135</v>
      </c>
      <c r="D2738" t="s">
        <v>17</v>
      </c>
      <c r="E2738" t="s">
        <v>18</v>
      </c>
      <c r="F2738" t="s">
        <v>19</v>
      </c>
      <c r="G2738" t="s">
        <v>20</v>
      </c>
      <c r="J2738" t="s">
        <v>17</v>
      </c>
      <c r="K2738" t="str">
        <f>"176010284"</f>
        <v>176010284</v>
      </c>
      <c r="L2738" t="str">
        <f>"176010284"</f>
        <v>176010284</v>
      </c>
      <c r="M2738" t="s">
        <v>75</v>
      </c>
      <c r="N2738" s="1">
        <v>42895.957638888889</v>
      </c>
      <c r="O2738" t="s">
        <v>19</v>
      </c>
    </row>
    <row r="2739" spans="1:15" x14ac:dyDescent="0.25">
      <c r="A2739" t="s">
        <v>2324</v>
      </c>
      <c r="B2739" t="s">
        <v>15</v>
      </c>
      <c r="C2739" t="s">
        <v>2135</v>
      </c>
      <c r="D2739" t="s">
        <v>17</v>
      </c>
      <c r="E2739" t="s">
        <v>18</v>
      </c>
      <c r="F2739" t="s">
        <v>19</v>
      </c>
      <c r="G2739" t="s">
        <v>20</v>
      </c>
      <c r="J2739" t="s">
        <v>17</v>
      </c>
      <c r="K2739" t="str">
        <f>"76231025"</f>
        <v>76231025</v>
      </c>
      <c r="L2739" t="str">
        <f>"76231025"</f>
        <v>76231025</v>
      </c>
      <c r="M2739" t="s">
        <v>75</v>
      </c>
      <c r="N2739" s="1">
        <v>43176.693749999999</v>
      </c>
      <c r="O2739" t="s">
        <v>19</v>
      </c>
    </row>
    <row r="2740" spans="1:15" x14ac:dyDescent="0.25">
      <c r="A2740" t="s">
        <v>2325</v>
      </c>
      <c r="B2740" t="s">
        <v>15</v>
      </c>
      <c r="C2740" t="s">
        <v>2135</v>
      </c>
      <c r="D2740" t="s">
        <v>17</v>
      </c>
      <c r="E2740" t="s">
        <v>18</v>
      </c>
      <c r="F2740" t="s">
        <v>19</v>
      </c>
      <c r="G2740" t="s">
        <v>20</v>
      </c>
      <c r="J2740" t="s">
        <v>17</v>
      </c>
      <c r="K2740" t="str">
        <f>"1578085137101"</f>
        <v>1578085137101</v>
      </c>
      <c r="L2740" t="str">
        <f>"762314566"</f>
        <v>762314566</v>
      </c>
      <c r="M2740" t="s">
        <v>21</v>
      </c>
      <c r="N2740" s="1">
        <v>43833.873611111114</v>
      </c>
      <c r="O2740" t="s">
        <v>19</v>
      </c>
    </row>
    <row r="2741" spans="1:15" x14ac:dyDescent="0.25">
      <c r="A2741" t="s">
        <v>2326</v>
      </c>
      <c r="B2741" t="s">
        <v>15</v>
      </c>
      <c r="C2741" t="s">
        <v>2135</v>
      </c>
      <c r="D2741" t="s">
        <v>17</v>
      </c>
      <c r="E2741" t="s">
        <v>18</v>
      </c>
      <c r="F2741" t="s">
        <v>19</v>
      </c>
      <c r="G2741" t="s">
        <v>20</v>
      </c>
      <c r="J2741" t="s">
        <v>17</v>
      </c>
      <c r="K2741" t="str">
        <f>"682333111"</f>
        <v>682333111</v>
      </c>
      <c r="L2741" t="str">
        <f>"682333111"</f>
        <v>682333111</v>
      </c>
      <c r="M2741" t="s">
        <v>21</v>
      </c>
      <c r="N2741" s="1">
        <v>43721.588888888888</v>
      </c>
      <c r="O2741" t="s">
        <v>19</v>
      </c>
    </row>
    <row r="2742" spans="1:15" x14ac:dyDescent="0.25">
      <c r="A2742" t="s">
        <v>2327</v>
      </c>
      <c r="B2742" t="s">
        <v>15</v>
      </c>
      <c r="C2742" t="s">
        <v>2135</v>
      </c>
      <c r="D2742" t="s">
        <v>17</v>
      </c>
      <c r="E2742" t="s">
        <v>18</v>
      </c>
      <c r="F2742" t="s">
        <v>19</v>
      </c>
      <c r="G2742" t="s">
        <v>20</v>
      </c>
      <c r="J2742" t="s">
        <v>17</v>
      </c>
      <c r="K2742" t="str">
        <f>"76233163"</f>
        <v>76233163</v>
      </c>
      <c r="L2742" t="str">
        <f>"76233163"</f>
        <v>76233163</v>
      </c>
      <c r="M2742" t="s">
        <v>75</v>
      </c>
      <c r="N2742" s="1">
        <v>43132.964583333334</v>
      </c>
      <c r="O2742" t="s">
        <v>19</v>
      </c>
    </row>
    <row r="2743" spans="1:15" x14ac:dyDescent="0.25">
      <c r="A2743" t="s">
        <v>2327</v>
      </c>
      <c r="B2743" t="s">
        <v>15</v>
      </c>
      <c r="C2743" t="s">
        <v>2135</v>
      </c>
      <c r="D2743" t="s">
        <v>17</v>
      </c>
      <c r="E2743" t="s">
        <v>18</v>
      </c>
      <c r="F2743" t="s">
        <v>19</v>
      </c>
      <c r="G2743" t="s">
        <v>20</v>
      </c>
      <c r="J2743" t="s">
        <v>17</v>
      </c>
      <c r="K2743" t="str">
        <f>"17233163"</f>
        <v>17233163</v>
      </c>
      <c r="L2743" t="str">
        <f>"17233163"</f>
        <v>17233163</v>
      </c>
      <c r="M2743" t="s">
        <v>75</v>
      </c>
      <c r="N2743" s="1">
        <v>43237.737500000003</v>
      </c>
      <c r="O2743" t="s">
        <v>19</v>
      </c>
    </row>
    <row r="2744" spans="1:15" x14ac:dyDescent="0.25">
      <c r="A2744" t="s">
        <v>2327</v>
      </c>
      <c r="B2744" t="s">
        <v>15</v>
      </c>
      <c r="C2744" t="s">
        <v>2135</v>
      </c>
      <c r="D2744" t="s">
        <v>17</v>
      </c>
      <c r="E2744" t="s">
        <v>18</v>
      </c>
      <c r="F2744" t="s">
        <v>19</v>
      </c>
      <c r="G2744" t="s">
        <v>20</v>
      </c>
      <c r="J2744" t="s">
        <v>17</v>
      </c>
      <c r="K2744" t="str">
        <f>"76603163"</f>
        <v>76603163</v>
      </c>
      <c r="L2744" t="str">
        <f>"76603163"</f>
        <v>76603163</v>
      </c>
      <c r="M2744" t="s">
        <v>84</v>
      </c>
      <c r="N2744" s="1">
        <v>43335.658333333333</v>
      </c>
      <c r="O2744" t="s">
        <v>19</v>
      </c>
    </row>
    <row r="2745" spans="1:15" x14ac:dyDescent="0.25">
      <c r="A2745" t="s">
        <v>2328</v>
      </c>
      <c r="B2745" t="s">
        <v>15</v>
      </c>
      <c r="C2745" t="s">
        <v>2135</v>
      </c>
      <c r="D2745" t="s">
        <v>17</v>
      </c>
      <c r="E2745" t="s">
        <v>18</v>
      </c>
      <c r="F2745" t="s">
        <v>19</v>
      </c>
      <c r="G2745" t="s">
        <v>20</v>
      </c>
      <c r="J2745" t="s">
        <v>17</v>
      </c>
      <c r="K2745" t="str">
        <f>"762331631"</f>
        <v>762331631</v>
      </c>
      <c r="L2745" t="str">
        <f>"762331631"</f>
        <v>762331631</v>
      </c>
      <c r="M2745" t="s">
        <v>21</v>
      </c>
      <c r="N2745" s="1">
        <v>43610.654166666667</v>
      </c>
      <c r="O2745" t="s">
        <v>19</v>
      </c>
    </row>
    <row r="2746" spans="1:15" x14ac:dyDescent="0.25">
      <c r="A2746" t="s">
        <v>2329</v>
      </c>
      <c r="B2746" t="s">
        <v>15</v>
      </c>
      <c r="C2746" t="s">
        <v>2135</v>
      </c>
      <c r="D2746" t="s">
        <v>17</v>
      </c>
      <c r="E2746" t="s">
        <v>18</v>
      </c>
      <c r="F2746" t="s">
        <v>19</v>
      </c>
      <c r="G2746" t="s">
        <v>20</v>
      </c>
      <c r="J2746" t="s">
        <v>17</v>
      </c>
      <c r="K2746" t="str">
        <f>"76233165"</f>
        <v>76233165</v>
      </c>
      <c r="L2746" t="str">
        <f>"76233165"</f>
        <v>76233165</v>
      </c>
      <c r="M2746" t="s">
        <v>75</v>
      </c>
      <c r="N2746" s="1">
        <v>43132.953472222223</v>
      </c>
      <c r="O2746" t="s">
        <v>19</v>
      </c>
    </row>
    <row r="2747" spans="1:15" x14ac:dyDescent="0.25">
      <c r="A2747" t="s">
        <v>2330</v>
      </c>
      <c r="B2747" t="s">
        <v>15</v>
      </c>
      <c r="C2747" t="s">
        <v>2135</v>
      </c>
      <c r="D2747" t="s">
        <v>17</v>
      </c>
      <c r="E2747" t="s">
        <v>18</v>
      </c>
      <c r="F2747" t="s">
        <v>19</v>
      </c>
      <c r="G2747" t="s">
        <v>20</v>
      </c>
      <c r="J2747" t="s">
        <v>17</v>
      </c>
      <c r="K2747" t="str">
        <f>"762331551"</f>
        <v>762331551</v>
      </c>
      <c r="L2747" t="str">
        <f>"762331551"</f>
        <v>762331551</v>
      </c>
      <c r="M2747" t="s">
        <v>21</v>
      </c>
      <c r="N2747" s="1">
        <v>43665.989583333336</v>
      </c>
      <c r="O2747" t="s">
        <v>19</v>
      </c>
    </row>
    <row r="2748" spans="1:15" x14ac:dyDescent="0.25">
      <c r="A2748" t="s">
        <v>2331</v>
      </c>
      <c r="B2748" t="s">
        <v>15</v>
      </c>
      <c r="C2748" t="s">
        <v>2135</v>
      </c>
      <c r="D2748" t="s">
        <v>17</v>
      </c>
      <c r="E2748" t="s">
        <v>18</v>
      </c>
      <c r="F2748" t="s">
        <v>19</v>
      </c>
      <c r="G2748" t="s">
        <v>20</v>
      </c>
      <c r="J2748" t="s">
        <v>17</v>
      </c>
      <c r="K2748" t="str">
        <f>"76233166"</f>
        <v>76233166</v>
      </c>
      <c r="L2748" t="str">
        <f>"76233166"</f>
        <v>76233166</v>
      </c>
      <c r="M2748" t="s">
        <v>75</v>
      </c>
      <c r="N2748" s="1">
        <v>43132.95208333333</v>
      </c>
      <c r="O2748" t="s">
        <v>19</v>
      </c>
    </row>
    <row r="2749" spans="1:15" x14ac:dyDescent="0.25">
      <c r="A2749" t="s">
        <v>2331</v>
      </c>
      <c r="B2749" t="s">
        <v>15</v>
      </c>
      <c r="C2749" t="s">
        <v>2135</v>
      </c>
      <c r="D2749" t="s">
        <v>17</v>
      </c>
      <c r="E2749" t="s">
        <v>18</v>
      </c>
      <c r="F2749" t="s">
        <v>19</v>
      </c>
      <c r="G2749" t="s">
        <v>20</v>
      </c>
      <c r="J2749" t="s">
        <v>17</v>
      </c>
      <c r="K2749" t="str">
        <f>"76233316"</f>
        <v>76233316</v>
      </c>
      <c r="L2749" t="str">
        <f>"76233316"</f>
        <v>76233316</v>
      </c>
      <c r="M2749" t="s">
        <v>75</v>
      </c>
      <c r="N2749" s="1">
        <v>43176.694444444445</v>
      </c>
      <c r="O2749" t="s">
        <v>19</v>
      </c>
    </row>
    <row r="2750" spans="1:15" x14ac:dyDescent="0.25">
      <c r="A2750" t="s">
        <v>2332</v>
      </c>
      <c r="B2750" t="s">
        <v>15</v>
      </c>
      <c r="C2750" t="s">
        <v>2135</v>
      </c>
      <c r="D2750" t="s">
        <v>17</v>
      </c>
      <c r="E2750" t="s">
        <v>18</v>
      </c>
      <c r="F2750" t="s">
        <v>19</v>
      </c>
      <c r="G2750" t="s">
        <v>20</v>
      </c>
      <c r="J2750" t="s">
        <v>17</v>
      </c>
      <c r="K2750" t="str">
        <f>"762301156"</f>
        <v>762301156</v>
      </c>
      <c r="L2750" t="str">
        <f>"762301156"</f>
        <v>762301156</v>
      </c>
      <c r="M2750" t="s">
        <v>75</v>
      </c>
      <c r="N2750" s="1">
        <v>42872.849305555559</v>
      </c>
      <c r="O2750" t="s">
        <v>19</v>
      </c>
    </row>
    <row r="2751" spans="1:15" x14ac:dyDescent="0.25">
      <c r="A2751" t="s">
        <v>2333</v>
      </c>
      <c r="B2751" t="s">
        <v>15</v>
      </c>
      <c r="C2751" t="s">
        <v>2135</v>
      </c>
      <c r="D2751" t="s">
        <v>17</v>
      </c>
      <c r="E2751" t="s">
        <v>18</v>
      </c>
      <c r="F2751" t="s">
        <v>19</v>
      </c>
      <c r="G2751" t="s">
        <v>20</v>
      </c>
      <c r="J2751" t="s">
        <v>17</v>
      </c>
      <c r="K2751" t="str">
        <f>"7676020182"</f>
        <v>7676020182</v>
      </c>
      <c r="L2751" t="str">
        <f>"7676020182"</f>
        <v>7676020182</v>
      </c>
      <c r="M2751" t="s">
        <v>75</v>
      </c>
      <c r="N2751" s="1">
        <v>42872.849305555559</v>
      </c>
      <c r="O2751" t="s">
        <v>19</v>
      </c>
    </row>
    <row r="2752" spans="1:15" x14ac:dyDescent="0.25">
      <c r="A2752" t="s">
        <v>2334</v>
      </c>
      <c r="B2752" t="s">
        <v>15</v>
      </c>
      <c r="C2752" t="s">
        <v>2135</v>
      </c>
      <c r="D2752" t="s">
        <v>17</v>
      </c>
      <c r="E2752" t="s">
        <v>18</v>
      </c>
      <c r="F2752" t="s">
        <v>19</v>
      </c>
      <c r="G2752" t="s">
        <v>20</v>
      </c>
      <c r="J2752" t="s">
        <v>17</v>
      </c>
      <c r="K2752" t="str">
        <f>"762320248"</f>
        <v>762320248</v>
      </c>
      <c r="L2752" t="str">
        <f>"762320248"</f>
        <v>762320248</v>
      </c>
      <c r="M2752" t="s">
        <v>75</v>
      </c>
      <c r="N2752" s="1">
        <v>42872.849305555559</v>
      </c>
      <c r="O2752" t="s">
        <v>19</v>
      </c>
    </row>
    <row r="2753" spans="1:15" x14ac:dyDescent="0.25">
      <c r="A2753" t="s">
        <v>2335</v>
      </c>
      <c r="B2753" t="s">
        <v>15</v>
      </c>
      <c r="C2753" t="s">
        <v>2135</v>
      </c>
      <c r="D2753" t="s">
        <v>17</v>
      </c>
      <c r="E2753" t="s">
        <v>18</v>
      </c>
      <c r="F2753" t="s">
        <v>19</v>
      </c>
      <c r="G2753" t="s">
        <v>20</v>
      </c>
      <c r="J2753" t="s">
        <v>17</v>
      </c>
      <c r="K2753" t="str">
        <f>"762320182"</f>
        <v>762320182</v>
      </c>
      <c r="L2753" t="str">
        <f>"762320182"</f>
        <v>762320182</v>
      </c>
      <c r="M2753" t="s">
        <v>75</v>
      </c>
      <c r="N2753" s="1">
        <v>42872.849305555559</v>
      </c>
      <c r="O2753" t="s">
        <v>19</v>
      </c>
    </row>
    <row r="2754" spans="1:15" x14ac:dyDescent="0.25">
      <c r="A2754" t="s">
        <v>2335</v>
      </c>
      <c r="B2754" t="s">
        <v>15</v>
      </c>
      <c r="C2754" t="s">
        <v>2135</v>
      </c>
      <c r="D2754" t="s">
        <v>17</v>
      </c>
      <c r="E2754" t="s">
        <v>18</v>
      </c>
      <c r="F2754" t="s">
        <v>19</v>
      </c>
      <c r="G2754" t="s">
        <v>20</v>
      </c>
      <c r="J2754" t="s">
        <v>17</v>
      </c>
      <c r="K2754" t="str">
        <f>"766020182"</f>
        <v>766020182</v>
      </c>
      <c r="L2754" t="str">
        <f>"766020182"</f>
        <v>766020182</v>
      </c>
      <c r="M2754" t="s">
        <v>75</v>
      </c>
      <c r="N2754" s="1">
        <v>42872.849305555559</v>
      </c>
      <c r="O2754" t="s">
        <v>19</v>
      </c>
    </row>
    <row r="2755" spans="1:15" x14ac:dyDescent="0.25">
      <c r="A2755" t="s">
        <v>2336</v>
      </c>
      <c r="B2755" t="s">
        <v>15</v>
      </c>
      <c r="C2755" t="s">
        <v>2135</v>
      </c>
      <c r="D2755" t="s">
        <v>17</v>
      </c>
      <c r="E2755" t="s">
        <v>18</v>
      </c>
      <c r="F2755" t="s">
        <v>19</v>
      </c>
      <c r="G2755" t="s">
        <v>20</v>
      </c>
      <c r="J2755" t="s">
        <v>17</v>
      </c>
      <c r="K2755" t="str">
        <f>"762320123"</f>
        <v>762320123</v>
      </c>
      <c r="L2755" t="str">
        <f>"762320123"</f>
        <v>762320123</v>
      </c>
      <c r="M2755" t="s">
        <v>75</v>
      </c>
      <c r="N2755" s="1">
        <v>42872.849305555559</v>
      </c>
      <c r="O2755" t="s">
        <v>19</v>
      </c>
    </row>
    <row r="2756" spans="1:15" x14ac:dyDescent="0.25">
      <c r="A2756" t="s">
        <v>2336</v>
      </c>
      <c r="B2756" t="s">
        <v>15</v>
      </c>
      <c r="C2756" t="s">
        <v>2135</v>
      </c>
      <c r="D2756" t="s">
        <v>17</v>
      </c>
      <c r="E2756" t="s">
        <v>18</v>
      </c>
      <c r="F2756" t="s">
        <v>19</v>
      </c>
      <c r="G2756" t="s">
        <v>20</v>
      </c>
      <c r="J2756" t="s">
        <v>17</v>
      </c>
      <c r="K2756" t="str">
        <f>"766020123"</f>
        <v>766020123</v>
      </c>
      <c r="L2756" t="str">
        <f>"766020123"</f>
        <v>766020123</v>
      </c>
      <c r="M2756" t="s">
        <v>75</v>
      </c>
      <c r="N2756" s="1">
        <v>42872.849305555559</v>
      </c>
      <c r="O2756" t="s">
        <v>19</v>
      </c>
    </row>
    <row r="2757" spans="1:15" x14ac:dyDescent="0.25">
      <c r="A2757" t="s">
        <v>2336</v>
      </c>
      <c r="B2757" t="s">
        <v>15</v>
      </c>
      <c r="C2757" t="s">
        <v>2135</v>
      </c>
      <c r="D2757" t="s">
        <v>17</v>
      </c>
      <c r="E2757" t="s">
        <v>18</v>
      </c>
      <c r="F2757" t="s">
        <v>19</v>
      </c>
      <c r="G2757" t="s">
        <v>20</v>
      </c>
      <c r="J2757" t="s">
        <v>17</v>
      </c>
      <c r="K2757" t="str">
        <f>"766320123"</f>
        <v>766320123</v>
      </c>
      <c r="L2757" t="str">
        <f>"766320123"</f>
        <v>766320123</v>
      </c>
      <c r="M2757" t="s">
        <v>75</v>
      </c>
      <c r="N2757" s="1">
        <v>42872.849305555559</v>
      </c>
      <c r="O2757" t="s">
        <v>19</v>
      </c>
    </row>
    <row r="2758" spans="1:15" x14ac:dyDescent="0.25">
      <c r="A2758" t="s">
        <v>2337</v>
      </c>
      <c r="B2758" t="s">
        <v>15</v>
      </c>
      <c r="C2758" t="s">
        <v>2135</v>
      </c>
      <c r="D2758" t="s">
        <v>17</v>
      </c>
      <c r="E2758" t="s">
        <v>18</v>
      </c>
      <c r="F2758" t="s">
        <v>19</v>
      </c>
      <c r="G2758" t="s">
        <v>20</v>
      </c>
      <c r="J2758" t="s">
        <v>17</v>
      </c>
      <c r="K2758" t="str">
        <f>"766020114"</f>
        <v>766020114</v>
      </c>
      <c r="L2758" t="str">
        <f>"766020114"</f>
        <v>766020114</v>
      </c>
      <c r="M2758" t="s">
        <v>75</v>
      </c>
      <c r="N2758" s="1">
        <v>42872.849305555559</v>
      </c>
      <c r="O2758" t="s">
        <v>19</v>
      </c>
    </row>
    <row r="2759" spans="1:15" x14ac:dyDescent="0.25">
      <c r="A2759" t="s">
        <v>2337</v>
      </c>
      <c r="B2759" t="s">
        <v>15</v>
      </c>
      <c r="C2759" t="s">
        <v>2135</v>
      </c>
      <c r="D2759" t="s">
        <v>17</v>
      </c>
      <c r="E2759" t="s">
        <v>18</v>
      </c>
      <c r="F2759" t="s">
        <v>19</v>
      </c>
      <c r="G2759" t="s">
        <v>20</v>
      </c>
      <c r="J2759" t="s">
        <v>17</v>
      </c>
      <c r="K2759" t="str">
        <f>"766020115"</f>
        <v>766020115</v>
      </c>
      <c r="L2759" t="str">
        <f>"766020115"</f>
        <v>766020115</v>
      </c>
      <c r="M2759" t="s">
        <v>75</v>
      </c>
      <c r="N2759" s="1">
        <v>42872.849305555559</v>
      </c>
      <c r="O2759" t="s">
        <v>19</v>
      </c>
    </row>
    <row r="2760" spans="1:15" x14ac:dyDescent="0.25">
      <c r="A2760" t="s">
        <v>2337</v>
      </c>
      <c r="B2760" t="s">
        <v>15</v>
      </c>
      <c r="C2760" t="s">
        <v>2135</v>
      </c>
      <c r="D2760" t="s">
        <v>17</v>
      </c>
      <c r="E2760" t="s">
        <v>18</v>
      </c>
      <c r="F2760" t="s">
        <v>19</v>
      </c>
      <c r="G2760" t="s">
        <v>20</v>
      </c>
      <c r="J2760" t="s">
        <v>17</v>
      </c>
      <c r="K2760" t="str">
        <f>"766320114"</f>
        <v>766320114</v>
      </c>
      <c r="L2760" t="str">
        <f>"766320114"</f>
        <v>766320114</v>
      </c>
      <c r="M2760" t="s">
        <v>75</v>
      </c>
      <c r="N2760" s="1">
        <v>42872.849305555559</v>
      </c>
      <c r="O2760" t="s">
        <v>19</v>
      </c>
    </row>
    <row r="2761" spans="1:15" x14ac:dyDescent="0.25">
      <c r="A2761" t="s">
        <v>2338</v>
      </c>
      <c r="B2761" t="s">
        <v>15</v>
      </c>
      <c r="C2761" t="s">
        <v>2135</v>
      </c>
      <c r="D2761" t="s">
        <v>17</v>
      </c>
      <c r="E2761" t="s">
        <v>18</v>
      </c>
      <c r="F2761" t="s">
        <v>19</v>
      </c>
      <c r="G2761" t="s">
        <v>20</v>
      </c>
      <c r="J2761" t="s">
        <v>17</v>
      </c>
      <c r="K2761" t="str">
        <f>"762320181"</f>
        <v>762320181</v>
      </c>
      <c r="L2761" t="str">
        <f>"762320181"</f>
        <v>762320181</v>
      </c>
      <c r="M2761" t="s">
        <v>75</v>
      </c>
      <c r="N2761" s="1">
        <v>42872.849305555559</v>
      </c>
      <c r="O2761" t="s">
        <v>19</v>
      </c>
    </row>
    <row r="2762" spans="1:15" x14ac:dyDescent="0.25">
      <c r="A2762" t="s">
        <v>2338</v>
      </c>
      <c r="B2762" t="s">
        <v>15</v>
      </c>
      <c r="C2762" t="s">
        <v>2135</v>
      </c>
      <c r="D2762" t="s">
        <v>17</v>
      </c>
      <c r="E2762" t="s">
        <v>18</v>
      </c>
      <c r="F2762" t="s">
        <v>19</v>
      </c>
      <c r="G2762" t="s">
        <v>20</v>
      </c>
      <c r="J2762" t="s">
        <v>17</v>
      </c>
      <c r="K2762" t="str">
        <f>"766020181"</f>
        <v>766020181</v>
      </c>
      <c r="L2762" t="str">
        <f>"766020181"</f>
        <v>766020181</v>
      </c>
      <c r="M2762" t="s">
        <v>75</v>
      </c>
      <c r="N2762" s="1">
        <v>42872.849305555559</v>
      </c>
      <c r="O2762" t="s">
        <v>19</v>
      </c>
    </row>
    <row r="2763" spans="1:15" x14ac:dyDescent="0.25">
      <c r="A2763" t="s">
        <v>2339</v>
      </c>
      <c r="B2763" t="s">
        <v>15</v>
      </c>
      <c r="C2763" t="s">
        <v>2135</v>
      </c>
      <c r="D2763" t="s">
        <v>17</v>
      </c>
      <c r="E2763" t="s">
        <v>18</v>
      </c>
      <c r="F2763" t="s">
        <v>19</v>
      </c>
      <c r="G2763" t="s">
        <v>20</v>
      </c>
      <c r="J2763" t="s">
        <v>17</v>
      </c>
      <c r="K2763" t="str">
        <f>"762320242"</f>
        <v>762320242</v>
      </c>
      <c r="L2763" t="str">
        <f>"762320242"</f>
        <v>762320242</v>
      </c>
      <c r="M2763" t="s">
        <v>75</v>
      </c>
      <c r="N2763" s="1">
        <v>42872.849305555559</v>
      </c>
      <c r="O2763" t="s">
        <v>19</v>
      </c>
    </row>
    <row r="2764" spans="1:15" x14ac:dyDescent="0.25">
      <c r="A2764" t="s">
        <v>2339</v>
      </c>
      <c r="B2764" t="s">
        <v>15</v>
      </c>
      <c r="C2764" t="s">
        <v>2135</v>
      </c>
      <c r="D2764" t="s">
        <v>17</v>
      </c>
      <c r="E2764" t="s">
        <v>18</v>
      </c>
      <c r="F2764" t="s">
        <v>19</v>
      </c>
      <c r="G2764" t="s">
        <v>20</v>
      </c>
      <c r="J2764" t="s">
        <v>17</v>
      </c>
      <c r="K2764" t="str">
        <f>"766020242"</f>
        <v>766020242</v>
      </c>
      <c r="L2764" t="str">
        <f>"766020242"</f>
        <v>766020242</v>
      </c>
      <c r="M2764" t="s">
        <v>75</v>
      </c>
      <c r="N2764" s="1">
        <v>42872.849305555559</v>
      </c>
      <c r="O2764" t="s">
        <v>19</v>
      </c>
    </row>
    <row r="2765" spans="1:15" x14ac:dyDescent="0.25">
      <c r="A2765" t="s">
        <v>2340</v>
      </c>
      <c r="B2765" t="s">
        <v>15</v>
      </c>
      <c r="C2765" t="s">
        <v>2135</v>
      </c>
      <c r="D2765" t="s">
        <v>17</v>
      </c>
      <c r="E2765" t="s">
        <v>18</v>
      </c>
      <c r="F2765" t="s">
        <v>19</v>
      </c>
      <c r="G2765" t="s">
        <v>20</v>
      </c>
      <c r="J2765" t="s">
        <v>17</v>
      </c>
      <c r="K2765" t="str">
        <f>"762320180"</f>
        <v>762320180</v>
      </c>
      <c r="L2765" t="str">
        <f>"762320180"</f>
        <v>762320180</v>
      </c>
      <c r="M2765" t="s">
        <v>75</v>
      </c>
      <c r="N2765" s="1">
        <v>42872.849305555559</v>
      </c>
      <c r="O2765" t="s">
        <v>19</v>
      </c>
    </row>
    <row r="2766" spans="1:15" x14ac:dyDescent="0.25">
      <c r="A2766" t="s">
        <v>2340</v>
      </c>
      <c r="B2766" t="s">
        <v>15</v>
      </c>
      <c r="C2766" t="s">
        <v>2135</v>
      </c>
      <c r="D2766" t="s">
        <v>17</v>
      </c>
      <c r="E2766" t="s">
        <v>18</v>
      </c>
      <c r="F2766" t="s">
        <v>19</v>
      </c>
      <c r="G2766" t="s">
        <v>20</v>
      </c>
      <c r="J2766" t="s">
        <v>17</v>
      </c>
      <c r="K2766" t="str">
        <f>"766020180"</f>
        <v>766020180</v>
      </c>
      <c r="L2766" t="str">
        <f>"766020180"</f>
        <v>766020180</v>
      </c>
      <c r="M2766" t="s">
        <v>75</v>
      </c>
      <c r="N2766" s="1">
        <v>42872.849305555559</v>
      </c>
      <c r="O2766" t="s">
        <v>19</v>
      </c>
    </row>
    <row r="2767" spans="1:15" x14ac:dyDescent="0.25">
      <c r="A2767" t="s">
        <v>2341</v>
      </c>
      <c r="B2767" t="s">
        <v>15</v>
      </c>
      <c r="C2767" t="s">
        <v>2135</v>
      </c>
      <c r="D2767" t="s">
        <v>17</v>
      </c>
      <c r="E2767" t="s">
        <v>18</v>
      </c>
      <c r="F2767" t="s">
        <v>19</v>
      </c>
      <c r="G2767" t="s">
        <v>20</v>
      </c>
      <c r="J2767" t="s">
        <v>17</v>
      </c>
      <c r="K2767" t="str">
        <f>"17230548"</f>
        <v>17230548</v>
      </c>
      <c r="L2767" t="str">
        <f>"17230548"</f>
        <v>17230548</v>
      </c>
      <c r="M2767" t="s">
        <v>75</v>
      </c>
      <c r="N2767" s="1">
        <v>42872.839583333334</v>
      </c>
      <c r="O2767" t="s">
        <v>19</v>
      </c>
    </row>
    <row r="2768" spans="1:15" x14ac:dyDescent="0.25">
      <c r="A2768" t="s">
        <v>2342</v>
      </c>
      <c r="B2768" t="s">
        <v>15</v>
      </c>
      <c r="C2768" t="s">
        <v>2135</v>
      </c>
      <c r="D2768" t="s">
        <v>17</v>
      </c>
      <c r="E2768" t="s">
        <v>18</v>
      </c>
      <c r="F2768" t="s">
        <v>19</v>
      </c>
      <c r="G2768" t="s">
        <v>20</v>
      </c>
      <c r="J2768" t="s">
        <v>17</v>
      </c>
      <c r="K2768" t="str">
        <f>"342301129"</f>
        <v>342301129</v>
      </c>
      <c r="L2768" t="str">
        <f>"342301129"</f>
        <v>342301129</v>
      </c>
      <c r="M2768" t="s">
        <v>75</v>
      </c>
      <c r="N2768" s="1">
        <v>42872.849305555559</v>
      </c>
      <c r="O2768" t="s">
        <v>19</v>
      </c>
    </row>
    <row r="2769" spans="1:15" x14ac:dyDescent="0.25">
      <c r="A2769" t="s">
        <v>2343</v>
      </c>
      <c r="B2769" t="s">
        <v>15</v>
      </c>
      <c r="C2769" t="s">
        <v>2135</v>
      </c>
      <c r="D2769" t="s">
        <v>17</v>
      </c>
      <c r="E2769" t="s">
        <v>18</v>
      </c>
      <c r="F2769" t="s">
        <v>19</v>
      </c>
      <c r="G2769" t="s">
        <v>20</v>
      </c>
      <c r="J2769" t="s">
        <v>17</v>
      </c>
      <c r="K2769" t="str">
        <f>"762320114"</f>
        <v>762320114</v>
      </c>
      <c r="L2769" t="str">
        <f>"762320114"</f>
        <v>762320114</v>
      </c>
      <c r="M2769" t="s">
        <v>75</v>
      </c>
      <c r="N2769" s="1">
        <v>42872.849305555559</v>
      </c>
      <c r="O2769" t="s">
        <v>19</v>
      </c>
    </row>
    <row r="2770" spans="1:15" x14ac:dyDescent="0.25">
      <c r="A2770" t="s">
        <v>2344</v>
      </c>
      <c r="B2770" t="s">
        <v>15</v>
      </c>
      <c r="C2770" t="s">
        <v>2135</v>
      </c>
      <c r="D2770" t="s">
        <v>17</v>
      </c>
      <c r="E2770" t="s">
        <v>18</v>
      </c>
      <c r="F2770" t="s">
        <v>19</v>
      </c>
      <c r="G2770" t="s">
        <v>20</v>
      </c>
      <c r="J2770" t="s">
        <v>17</v>
      </c>
      <c r="K2770" t="str">
        <f>"110760004"</f>
        <v>110760004</v>
      </c>
      <c r="L2770" t="str">
        <f>"110760004"</f>
        <v>110760004</v>
      </c>
      <c r="M2770" t="s">
        <v>75</v>
      </c>
      <c r="N2770" s="1">
        <v>42872.847222222219</v>
      </c>
      <c r="O2770" t="s">
        <v>19</v>
      </c>
    </row>
    <row r="2771" spans="1:15" x14ac:dyDescent="0.25">
      <c r="A2771" t="s">
        <v>2345</v>
      </c>
      <c r="B2771" t="s">
        <v>15</v>
      </c>
      <c r="C2771" t="s">
        <v>2135</v>
      </c>
      <c r="D2771" t="s">
        <v>17</v>
      </c>
      <c r="E2771" t="s">
        <v>18</v>
      </c>
      <c r="F2771" t="s">
        <v>19</v>
      </c>
      <c r="G2771" t="s">
        <v>20</v>
      </c>
      <c r="J2771" t="s">
        <v>17</v>
      </c>
      <c r="K2771" t="str">
        <f>"612314289"</f>
        <v>612314289</v>
      </c>
      <c r="L2771" t="str">
        <f>"612314289"</f>
        <v>612314289</v>
      </c>
      <c r="M2771" t="s">
        <v>21</v>
      </c>
      <c r="N2771" s="1">
        <v>44252.861805555556</v>
      </c>
      <c r="O2771" t="s">
        <v>19</v>
      </c>
    </row>
    <row r="2772" spans="1:15" x14ac:dyDescent="0.25">
      <c r="A2772" t="s">
        <v>2346</v>
      </c>
      <c r="B2772" t="s">
        <v>15</v>
      </c>
      <c r="C2772" t="s">
        <v>2135</v>
      </c>
      <c r="D2772" t="s">
        <v>17</v>
      </c>
      <c r="E2772" t="s">
        <v>18</v>
      </c>
      <c r="F2772" t="s">
        <v>19</v>
      </c>
      <c r="G2772" t="s">
        <v>20</v>
      </c>
      <c r="J2772" t="s">
        <v>17</v>
      </c>
      <c r="K2772" t="str">
        <f>"762314279"</f>
        <v>762314279</v>
      </c>
      <c r="L2772" t="str">
        <f>"612314279"</f>
        <v>612314279</v>
      </c>
      <c r="M2772" t="s">
        <v>21</v>
      </c>
      <c r="N2772" s="1">
        <v>43754.865972222222</v>
      </c>
      <c r="O2772" t="s">
        <v>19</v>
      </c>
    </row>
    <row r="2773" spans="1:15" x14ac:dyDescent="0.25">
      <c r="A2773" t="s">
        <v>2347</v>
      </c>
      <c r="B2773" t="s">
        <v>15</v>
      </c>
      <c r="C2773" t="s">
        <v>2135</v>
      </c>
      <c r="D2773" t="s">
        <v>17</v>
      </c>
      <c r="E2773" t="s">
        <v>18</v>
      </c>
      <c r="F2773" t="s">
        <v>19</v>
      </c>
      <c r="G2773" t="s">
        <v>20</v>
      </c>
      <c r="J2773" t="s">
        <v>17</v>
      </c>
      <c r="K2773" t="str">
        <f>"762314284"</f>
        <v>762314284</v>
      </c>
      <c r="L2773" t="str">
        <f>"762314284"</f>
        <v>762314284</v>
      </c>
      <c r="M2773" t="s">
        <v>21</v>
      </c>
      <c r="N2773" s="1">
        <v>43825.855555555558</v>
      </c>
      <c r="O2773" t="s">
        <v>19</v>
      </c>
    </row>
    <row r="2774" spans="1:15" x14ac:dyDescent="0.25">
      <c r="A2774" t="s">
        <v>2347</v>
      </c>
      <c r="B2774" t="s">
        <v>15</v>
      </c>
      <c r="C2774" t="s">
        <v>2135</v>
      </c>
      <c r="D2774" t="s">
        <v>17</v>
      </c>
      <c r="E2774" t="s">
        <v>18</v>
      </c>
      <c r="F2774" t="s">
        <v>19</v>
      </c>
      <c r="G2774" t="s">
        <v>20</v>
      </c>
      <c r="J2774" t="s">
        <v>17</v>
      </c>
      <c r="K2774" t="str">
        <f>"612314284"</f>
        <v>612314284</v>
      </c>
      <c r="L2774" t="str">
        <f>"612314284"</f>
        <v>612314284</v>
      </c>
      <c r="M2774" t="s">
        <v>21</v>
      </c>
      <c r="N2774" s="1">
        <v>44252.861805555556</v>
      </c>
      <c r="O2774" t="s">
        <v>19</v>
      </c>
    </row>
    <row r="2775" spans="1:15" x14ac:dyDescent="0.25">
      <c r="A2775" t="s">
        <v>2348</v>
      </c>
      <c r="B2775" t="s">
        <v>15</v>
      </c>
      <c r="C2775" t="s">
        <v>2135</v>
      </c>
      <c r="D2775" t="s">
        <v>17</v>
      </c>
      <c r="E2775" t="s">
        <v>18</v>
      </c>
      <c r="F2775" t="s">
        <v>19</v>
      </c>
      <c r="G2775" t="s">
        <v>20</v>
      </c>
      <c r="J2775" t="s">
        <v>17</v>
      </c>
      <c r="K2775" t="str">
        <f>"612314287"</f>
        <v>612314287</v>
      </c>
      <c r="L2775" t="str">
        <f>"612314287"</f>
        <v>612314287</v>
      </c>
      <c r="M2775" t="s">
        <v>21</v>
      </c>
      <c r="N2775" s="1">
        <v>44252.863888888889</v>
      </c>
      <c r="O2775" t="s">
        <v>19</v>
      </c>
    </row>
    <row r="2776" spans="1:15" x14ac:dyDescent="0.25">
      <c r="A2776" t="s">
        <v>2349</v>
      </c>
      <c r="B2776" t="s">
        <v>15</v>
      </c>
      <c r="C2776" t="s">
        <v>2135</v>
      </c>
      <c r="D2776" t="s">
        <v>17</v>
      </c>
      <c r="E2776" t="s">
        <v>18</v>
      </c>
      <c r="F2776" t="s">
        <v>19</v>
      </c>
      <c r="G2776" t="s">
        <v>20</v>
      </c>
      <c r="J2776" t="s">
        <v>17</v>
      </c>
      <c r="K2776" t="str">
        <f>"762314275"</f>
        <v>762314275</v>
      </c>
      <c r="L2776" t="str">
        <f>"762314275"</f>
        <v>762314275</v>
      </c>
      <c r="M2776" t="s">
        <v>21</v>
      </c>
      <c r="N2776" s="1">
        <v>43706.695138888892</v>
      </c>
      <c r="O2776" t="s">
        <v>19</v>
      </c>
    </row>
    <row r="2777" spans="1:15" x14ac:dyDescent="0.25">
      <c r="A2777" t="s">
        <v>2349</v>
      </c>
      <c r="B2777" t="s">
        <v>15</v>
      </c>
      <c r="C2777" t="s">
        <v>2135</v>
      </c>
      <c r="D2777" t="s">
        <v>17</v>
      </c>
      <c r="E2777" t="s">
        <v>18</v>
      </c>
      <c r="F2777" t="s">
        <v>19</v>
      </c>
      <c r="G2777" t="s">
        <v>20</v>
      </c>
      <c r="J2777" t="s">
        <v>17</v>
      </c>
      <c r="K2777" t="str">
        <f>"682314275"</f>
        <v>682314275</v>
      </c>
      <c r="L2777" t="str">
        <f>"682314275"</f>
        <v>682314275</v>
      </c>
      <c r="M2777" t="s">
        <v>21</v>
      </c>
      <c r="N2777" s="1">
        <v>43721.589583333334</v>
      </c>
      <c r="O2777" t="s">
        <v>19</v>
      </c>
    </row>
    <row r="2778" spans="1:15" x14ac:dyDescent="0.25">
      <c r="A2778" t="s">
        <v>2349</v>
      </c>
      <c r="B2778" t="s">
        <v>15</v>
      </c>
      <c r="C2778" t="s">
        <v>2135</v>
      </c>
      <c r="D2778" t="s">
        <v>17</v>
      </c>
      <c r="E2778" t="s">
        <v>18</v>
      </c>
      <c r="F2778" t="s">
        <v>19</v>
      </c>
      <c r="G2778" t="s">
        <v>20</v>
      </c>
      <c r="J2778" t="s">
        <v>17</v>
      </c>
      <c r="K2778" t="str">
        <f>"762314281"</f>
        <v>762314281</v>
      </c>
      <c r="L2778" t="str">
        <f>"762314281"</f>
        <v>762314281</v>
      </c>
      <c r="M2778" t="s">
        <v>21</v>
      </c>
      <c r="N2778" s="1">
        <v>43754.865972222222</v>
      </c>
      <c r="O2778" t="s">
        <v>19</v>
      </c>
    </row>
    <row r="2779" spans="1:15" x14ac:dyDescent="0.25">
      <c r="A2779" t="s">
        <v>2349</v>
      </c>
      <c r="B2779" t="s">
        <v>15</v>
      </c>
      <c r="C2779" t="s">
        <v>2135</v>
      </c>
      <c r="D2779" t="s">
        <v>17</v>
      </c>
      <c r="E2779" t="s">
        <v>18</v>
      </c>
      <c r="F2779" t="s">
        <v>19</v>
      </c>
      <c r="G2779" t="s">
        <v>20</v>
      </c>
      <c r="J2779" t="s">
        <v>17</v>
      </c>
      <c r="K2779" t="str">
        <f>"612314281"</f>
        <v>612314281</v>
      </c>
      <c r="L2779" t="str">
        <f>"612314281"</f>
        <v>612314281</v>
      </c>
      <c r="M2779" t="s">
        <v>21</v>
      </c>
      <c r="N2779" s="1">
        <v>44252.866666666669</v>
      </c>
      <c r="O2779" t="s">
        <v>19</v>
      </c>
    </row>
    <row r="2780" spans="1:15" x14ac:dyDescent="0.25">
      <c r="A2780" t="s">
        <v>2350</v>
      </c>
      <c r="B2780" t="s">
        <v>15</v>
      </c>
      <c r="C2780" t="s">
        <v>2135</v>
      </c>
      <c r="D2780" t="s">
        <v>17</v>
      </c>
      <c r="E2780" t="s">
        <v>18</v>
      </c>
      <c r="F2780" t="s">
        <v>19</v>
      </c>
      <c r="G2780" t="s">
        <v>20</v>
      </c>
      <c r="J2780" t="s">
        <v>17</v>
      </c>
      <c r="K2780" t="str">
        <f>"762314355"</f>
        <v>762314355</v>
      </c>
      <c r="L2780" t="str">
        <f>"612314355"</f>
        <v>612314355</v>
      </c>
      <c r="M2780" t="s">
        <v>21</v>
      </c>
      <c r="N2780" s="1">
        <v>43833.881944444445</v>
      </c>
      <c r="O2780" t="s">
        <v>19</v>
      </c>
    </row>
    <row r="2781" spans="1:15" x14ac:dyDescent="0.25">
      <c r="A2781" t="s">
        <v>2350</v>
      </c>
      <c r="B2781" t="s">
        <v>15</v>
      </c>
      <c r="C2781" t="s">
        <v>2135</v>
      </c>
      <c r="D2781" t="s">
        <v>17</v>
      </c>
      <c r="E2781" t="s">
        <v>18</v>
      </c>
      <c r="F2781" t="s">
        <v>19</v>
      </c>
      <c r="G2781" t="s">
        <v>20</v>
      </c>
      <c r="J2781" t="s">
        <v>17</v>
      </c>
      <c r="K2781" t="str">
        <f>"612314285"</f>
        <v>612314285</v>
      </c>
      <c r="L2781" t="str">
        <f>"612314285"</f>
        <v>612314285</v>
      </c>
      <c r="M2781" t="s">
        <v>21</v>
      </c>
      <c r="N2781" s="1">
        <v>44252.863194444442</v>
      </c>
      <c r="O2781" t="s">
        <v>19</v>
      </c>
    </row>
    <row r="2782" spans="1:15" x14ac:dyDescent="0.25">
      <c r="A2782" t="s">
        <v>2350</v>
      </c>
      <c r="B2782" t="s">
        <v>15</v>
      </c>
      <c r="C2782" t="s">
        <v>2135</v>
      </c>
      <c r="D2782" t="s">
        <v>17</v>
      </c>
      <c r="E2782" t="s">
        <v>18</v>
      </c>
      <c r="F2782" t="s">
        <v>19</v>
      </c>
      <c r="G2782" t="s">
        <v>20</v>
      </c>
      <c r="J2782" t="s">
        <v>17</v>
      </c>
      <c r="K2782" t="str">
        <f>"1578085857930"</f>
        <v>1578085857930</v>
      </c>
      <c r="L2782" t="str">
        <f>"1578085857930"</f>
        <v>1578085857930</v>
      </c>
      <c r="M2782" t="s">
        <v>21</v>
      </c>
      <c r="N2782" s="1">
        <v>43833.881944444445</v>
      </c>
      <c r="O2782" t="s">
        <v>33</v>
      </c>
    </row>
    <row r="2783" spans="1:15" x14ac:dyDescent="0.25">
      <c r="A2783" t="s">
        <v>2351</v>
      </c>
      <c r="B2783" t="s">
        <v>15</v>
      </c>
      <c r="C2783" t="s">
        <v>2135</v>
      </c>
      <c r="D2783" t="s">
        <v>17</v>
      </c>
      <c r="E2783" t="s">
        <v>18</v>
      </c>
      <c r="F2783" t="s">
        <v>19</v>
      </c>
      <c r="G2783" t="s">
        <v>20</v>
      </c>
      <c r="J2783" t="s">
        <v>17</v>
      </c>
      <c r="K2783" t="str">
        <f>"762314293"</f>
        <v>762314293</v>
      </c>
      <c r="L2783" t="str">
        <f>"612314293"</f>
        <v>612314293</v>
      </c>
      <c r="M2783" t="s">
        <v>21</v>
      </c>
      <c r="N2783" s="1">
        <v>42872.839583333334</v>
      </c>
      <c r="O2783" t="s">
        <v>19</v>
      </c>
    </row>
    <row r="2784" spans="1:15" x14ac:dyDescent="0.25">
      <c r="A2784" t="s">
        <v>2351</v>
      </c>
      <c r="B2784" t="s">
        <v>15</v>
      </c>
      <c r="C2784" t="s">
        <v>2135</v>
      </c>
      <c r="D2784" t="s">
        <v>17</v>
      </c>
      <c r="E2784" t="s">
        <v>18</v>
      </c>
      <c r="F2784" t="s">
        <v>19</v>
      </c>
      <c r="G2784" t="s">
        <v>20</v>
      </c>
      <c r="J2784" t="s">
        <v>17</v>
      </c>
      <c r="K2784" t="str">
        <f>"2020060801186"</f>
        <v>2020060801186</v>
      </c>
      <c r="L2784" t="str">
        <f>"182314293"</f>
        <v>182314293</v>
      </c>
      <c r="M2784" t="s">
        <v>21</v>
      </c>
      <c r="N2784" s="1">
        <v>43110.737500000003</v>
      </c>
      <c r="O2784" t="s">
        <v>19</v>
      </c>
    </row>
    <row r="2785" spans="1:15" x14ac:dyDescent="0.25">
      <c r="A2785" t="s">
        <v>2352</v>
      </c>
      <c r="B2785" t="s">
        <v>15</v>
      </c>
      <c r="C2785" t="s">
        <v>2135</v>
      </c>
      <c r="D2785" t="s">
        <v>17</v>
      </c>
      <c r="E2785" t="s">
        <v>18</v>
      </c>
      <c r="F2785" t="s">
        <v>19</v>
      </c>
      <c r="G2785" t="s">
        <v>20</v>
      </c>
      <c r="J2785" t="s">
        <v>17</v>
      </c>
      <c r="K2785" t="str">
        <f>"766014197"</f>
        <v>766014197</v>
      </c>
      <c r="L2785" t="str">
        <f>"766014197"</f>
        <v>766014197</v>
      </c>
      <c r="M2785" t="s">
        <v>75</v>
      </c>
      <c r="N2785" s="1">
        <v>42872.849305555559</v>
      </c>
      <c r="O2785" t="s">
        <v>19</v>
      </c>
    </row>
    <row r="2786" spans="1:15" x14ac:dyDescent="0.25">
      <c r="A2786" t="s">
        <v>2353</v>
      </c>
      <c r="B2786" t="s">
        <v>15</v>
      </c>
      <c r="C2786" t="s">
        <v>2135</v>
      </c>
      <c r="D2786" t="s">
        <v>17</v>
      </c>
      <c r="E2786" t="s">
        <v>18</v>
      </c>
      <c r="F2786" t="s">
        <v>19</v>
      </c>
      <c r="G2786" t="s">
        <v>20</v>
      </c>
      <c r="J2786" t="s">
        <v>17</v>
      </c>
      <c r="K2786" t="str">
        <f>"762314274"</f>
        <v>762314274</v>
      </c>
      <c r="L2786" t="str">
        <f>"762314274"</f>
        <v>762314274</v>
      </c>
      <c r="M2786" t="s">
        <v>21</v>
      </c>
      <c r="N2786" s="1">
        <v>43706.695138888892</v>
      </c>
      <c r="O2786" t="s">
        <v>19</v>
      </c>
    </row>
    <row r="2787" spans="1:15" x14ac:dyDescent="0.25">
      <c r="A2787" t="s">
        <v>2354</v>
      </c>
      <c r="B2787" t="s">
        <v>15</v>
      </c>
      <c r="C2787" t="s">
        <v>2135</v>
      </c>
      <c r="D2787" t="s">
        <v>17</v>
      </c>
      <c r="E2787" t="s">
        <v>18</v>
      </c>
      <c r="F2787" t="s">
        <v>19</v>
      </c>
      <c r="G2787" t="s">
        <v>20</v>
      </c>
      <c r="J2787" t="s">
        <v>17</v>
      </c>
      <c r="K2787" t="str">
        <f>"762314286"</f>
        <v>762314286</v>
      </c>
      <c r="L2787" t="str">
        <f>"762314286"</f>
        <v>762314286</v>
      </c>
      <c r="M2787" t="s">
        <v>21</v>
      </c>
      <c r="N2787" s="1">
        <v>43862.830555555556</v>
      </c>
      <c r="O2787" t="s">
        <v>19</v>
      </c>
    </row>
    <row r="2788" spans="1:15" x14ac:dyDescent="0.25">
      <c r="A2788" t="s">
        <v>2354</v>
      </c>
      <c r="B2788" t="s">
        <v>15</v>
      </c>
      <c r="C2788" t="s">
        <v>2135</v>
      </c>
      <c r="D2788" t="s">
        <v>17</v>
      </c>
      <c r="E2788" t="s">
        <v>18</v>
      </c>
      <c r="F2788" t="s">
        <v>19</v>
      </c>
      <c r="G2788" t="s">
        <v>20</v>
      </c>
      <c r="J2788" t="s">
        <v>17</v>
      </c>
      <c r="K2788" t="str">
        <f>"761314286"</f>
        <v>761314286</v>
      </c>
      <c r="L2788" t="str">
        <f>"761314286"</f>
        <v>761314286</v>
      </c>
      <c r="M2788" t="s">
        <v>21</v>
      </c>
      <c r="N2788" s="1">
        <v>44210.930555555555</v>
      </c>
      <c r="O2788" t="s">
        <v>19</v>
      </c>
    </row>
    <row r="2789" spans="1:15" x14ac:dyDescent="0.25">
      <c r="A2789" t="s">
        <v>2355</v>
      </c>
      <c r="B2789" t="s">
        <v>15</v>
      </c>
      <c r="C2789" t="s">
        <v>2135</v>
      </c>
      <c r="D2789" t="s">
        <v>17</v>
      </c>
      <c r="E2789" t="s">
        <v>18</v>
      </c>
      <c r="F2789" t="s">
        <v>19</v>
      </c>
      <c r="G2789" t="s">
        <v>20</v>
      </c>
      <c r="J2789" t="s">
        <v>17</v>
      </c>
      <c r="K2789" t="str">
        <f>"762314294"</f>
        <v>762314294</v>
      </c>
      <c r="L2789" t="str">
        <f>"762314294"</f>
        <v>762314294</v>
      </c>
      <c r="M2789" t="s">
        <v>21</v>
      </c>
      <c r="N2789" s="1">
        <v>42872.847222222219</v>
      </c>
      <c r="O2789" t="s">
        <v>19</v>
      </c>
    </row>
    <row r="2790" spans="1:15" x14ac:dyDescent="0.25">
      <c r="A2790" t="s">
        <v>2356</v>
      </c>
      <c r="B2790" t="s">
        <v>15</v>
      </c>
      <c r="C2790" t="s">
        <v>2135</v>
      </c>
      <c r="D2790" t="s">
        <v>17</v>
      </c>
      <c r="E2790" t="s">
        <v>18</v>
      </c>
      <c r="F2790" t="s">
        <v>19</v>
      </c>
      <c r="G2790" t="s">
        <v>20</v>
      </c>
      <c r="J2790" t="s">
        <v>17</v>
      </c>
      <c r="K2790" t="str">
        <f>"110761115"</f>
        <v>110761115</v>
      </c>
      <c r="L2790" t="str">
        <f>"110761115"</f>
        <v>110761115</v>
      </c>
      <c r="M2790" t="s">
        <v>75</v>
      </c>
      <c r="N2790" s="1">
        <v>42872.847222222219</v>
      </c>
      <c r="O2790" t="s">
        <v>19</v>
      </c>
    </row>
    <row r="2791" spans="1:15" x14ac:dyDescent="0.25">
      <c r="A2791" t="s">
        <v>2356</v>
      </c>
      <c r="B2791" t="s">
        <v>15</v>
      </c>
      <c r="C2791" t="s">
        <v>2135</v>
      </c>
      <c r="D2791" t="s">
        <v>17</v>
      </c>
      <c r="E2791" t="s">
        <v>18</v>
      </c>
      <c r="F2791" t="s">
        <v>19</v>
      </c>
      <c r="G2791" t="s">
        <v>20</v>
      </c>
      <c r="J2791" t="s">
        <v>17</v>
      </c>
      <c r="K2791" t="str">
        <f>"76231432"</f>
        <v>76231432</v>
      </c>
      <c r="L2791" t="str">
        <f>"76231432"</f>
        <v>76231432</v>
      </c>
      <c r="M2791" t="s">
        <v>75</v>
      </c>
      <c r="N2791" s="1">
        <v>42872.847222222219</v>
      </c>
      <c r="O2791" t="s">
        <v>19</v>
      </c>
    </row>
    <row r="2792" spans="1:15" x14ac:dyDescent="0.25">
      <c r="A2792" t="s">
        <v>2357</v>
      </c>
      <c r="B2792" t="s">
        <v>15</v>
      </c>
      <c r="C2792" t="s">
        <v>2135</v>
      </c>
      <c r="D2792" t="s">
        <v>17</v>
      </c>
      <c r="E2792" t="s">
        <v>18</v>
      </c>
      <c r="F2792" t="s">
        <v>19</v>
      </c>
      <c r="G2792" t="s">
        <v>20</v>
      </c>
      <c r="J2792" t="s">
        <v>17</v>
      </c>
      <c r="K2792" t="str">
        <f>"76601401"</f>
        <v>76601401</v>
      </c>
      <c r="L2792" t="str">
        <f>"76601401"</f>
        <v>76601401</v>
      </c>
      <c r="M2792" t="s">
        <v>75</v>
      </c>
      <c r="N2792" s="1">
        <v>42872.847222222219</v>
      </c>
      <c r="O2792" t="s">
        <v>19</v>
      </c>
    </row>
    <row r="2793" spans="1:15" x14ac:dyDescent="0.25">
      <c r="A2793" t="s">
        <v>2357</v>
      </c>
      <c r="B2793" t="s">
        <v>15</v>
      </c>
      <c r="C2793" t="s">
        <v>2135</v>
      </c>
      <c r="D2793" t="s">
        <v>17</v>
      </c>
      <c r="E2793" t="s">
        <v>18</v>
      </c>
      <c r="F2793" t="s">
        <v>19</v>
      </c>
      <c r="G2793" t="s">
        <v>20</v>
      </c>
      <c r="J2793" t="s">
        <v>17</v>
      </c>
      <c r="K2793" t="str">
        <f>"762314179"</f>
        <v>762314179</v>
      </c>
      <c r="L2793" t="str">
        <f>"762314179"</f>
        <v>762314179</v>
      </c>
      <c r="M2793" t="s">
        <v>75</v>
      </c>
      <c r="N2793" s="1">
        <v>42872.849305555559</v>
      </c>
      <c r="O2793" t="s">
        <v>19</v>
      </c>
    </row>
    <row r="2794" spans="1:15" x14ac:dyDescent="0.25">
      <c r="A2794" t="s">
        <v>2357</v>
      </c>
      <c r="B2794" t="s">
        <v>15</v>
      </c>
      <c r="C2794" t="s">
        <v>2135</v>
      </c>
      <c r="D2794" t="s">
        <v>17</v>
      </c>
      <c r="E2794" t="s">
        <v>18</v>
      </c>
      <c r="F2794" t="s">
        <v>19</v>
      </c>
      <c r="G2794" t="s">
        <v>20</v>
      </c>
      <c r="J2794" t="s">
        <v>17</v>
      </c>
      <c r="K2794" t="str">
        <f>"766014179"</f>
        <v>766014179</v>
      </c>
      <c r="L2794" t="str">
        <f>"766014179"</f>
        <v>766014179</v>
      </c>
      <c r="M2794" t="s">
        <v>75</v>
      </c>
      <c r="N2794" s="1">
        <v>42872.849305555559</v>
      </c>
      <c r="O2794" t="s">
        <v>19</v>
      </c>
    </row>
    <row r="2795" spans="1:15" x14ac:dyDescent="0.25">
      <c r="A2795" t="s">
        <v>2358</v>
      </c>
      <c r="B2795" t="s">
        <v>15</v>
      </c>
      <c r="C2795" t="s">
        <v>2135</v>
      </c>
      <c r="D2795" t="s">
        <v>17</v>
      </c>
      <c r="E2795" t="s">
        <v>18</v>
      </c>
      <c r="F2795" t="s">
        <v>19</v>
      </c>
      <c r="G2795" t="s">
        <v>20</v>
      </c>
      <c r="J2795" t="s">
        <v>17</v>
      </c>
      <c r="K2795" t="str">
        <f>"1578086040274"</f>
        <v>1578086040274</v>
      </c>
      <c r="L2795" t="str">
        <f>"762305144"</f>
        <v>762305144</v>
      </c>
      <c r="M2795" t="s">
        <v>21</v>
      </c>
      <c r="N2795" s="1">
        <v>43833.884722222225</v>
      </c>
      <c r="O2795" t="s">
        <v>19</v>
      </c>
    </row>
    <row r="2796" spans="1:15" x14ac:dyDescent="0.25">
      <c r="A2796" t="s">
        <v>2358</v>
      </c>
      <c r="B2796" t="s">
        <v>15</v>
      </c>
      <c r="C2796" t="s">
        <v>2135</v>
      </c>
      <c r="D2796" t="s">
        <v>17</v>
      </c>
      <c r="E2796" t="s">
        <v>18</v>
      </c>
      <c r="F2796" t="s">
        <v>19</v>
      </c>
      <c r="G2796" t="s">
        <v>20</v>
      </c>
      <c r="J2796" t="s">
        <v>17</v>
      </c>
      <c r="K2796" t="str">
        <f>"612314275"</f>
        <v>612314275</v>
      </c>
      <c r="L2796" t="str">
        <f>"612314275"</f>
        <v>612314275</v>
      </c>
      <c r="M2796" t="s">
        <v>21</v>
      </c>
      <c r="N2796" s="1">
        <v>44252.864583333336</v>
      </c>
      <c r="O2796" t="s">
        <v>19</v>
      </c>
    </row>
    <row r="2797" spans="1:15" x14ac:dyDescent="0.25">
      <c r="A2797" t="s">
        <v>2359</v>
      </c>
      <c r="B2797" t="s">
        <v>15</v>
      </c>
      <c r="C2797" t="s">
        <v>2135</v>
      </c>
      <c r="D2797" t="s">
        <v>17</v>
      </c>
      <c r="E2797" t="s">
        <v>18</v>
      </c>
      <c r="F2797" t="s">
        <v>19</v>
      </c>
      <c r="G2797" t="s">
        <v>20</v>
      </c>
      <c r="J2797" t="s">
        <v>17</v>
      </c>
      <c r="K2797" t="str">
        <f>"762314288"</f>
        <v>762314288</v>
      </c>
      <c r="L2797" t="str">
        <f>"762314288"</f>
        <v>762314288</v>
      </c>
      <c r="M2797" t="s">
        <v>21</v>
      </c>
      <c r="N2797" s="1">
        <v>44210.930555555555</v>
      </c>
      <c r="O2797" t="s">
        <v>19</v>
      </c>
    </row>
    <row r="2798" spans="1:15" x14ac:dyDescent="0.25">
      <c r="A2798" t="s">
        <v>2360</v>
      </c>
      <c r="B2798" t="s">
        <v>15</v>
      </c>
      <c r="C2798" t="s">
        <v>2135</v>
      </c>
      <c r="D2798" t="s">
        <v>17</v>
      </c>
      <c r="E2798" t="s">
        <v>18</v>
      </c>
      <c r="F2798" t="s">
        <v>19</v>
      </c>
      <c r="G2798" t="s">
        <v>20</v>
      </c>
      <c r="J2798" t="s">
        <v>17</v>
      </c>
      <c r="K2798" t="str">
        <f>"766314294"</f>
        <v>766314294</v>
      </c>
      <c r="L2798" t="str">
        <f>"766314294"</f>
        <v>766314294</v>
      </c>
      <c r="M2798" t="s">
        <v>75</v>
      </c>
      <c r="N2798" s="1">
        <v>43005.765277777777</v>
      </c>
      <c r="O2798" t="s">
        <v>19</v>
      </c>
    </row>
    <row r="2799" spans="1:15" x14ac:dyDescent="0.25">
      <c r="A2799" t="s">
        <v>2361</v>
      </c>
      <c r="B2799" t="s">
        <v>15</v>
      </c>
      <c r="C2799" t="s">
        <v>2135</v>
      </c>
      <c r="D2799" t="s">
        <v>17</v>
      </c>
      <c r="E2799" t="s">
        <v>18</v>
      </c>
      <c r="F2799" t="s">
        <v>19</v>
      </c>
      <c r="G2799" t="s">
        <v>20</v>
      </c>
      <c r="J2799" t="s">
        <v>17</v>
      </c>
      <c r="K2799" t="str">
        <f>"766014177"</f>
        <v>766014177</v>
      </c>
      <c r="L2799" t="str">
        <f>"766014177"</f>
        <v>766014177</v>
      </c>
      <c r="M2799" t="s">
        <v>75</v>
      </c>
      <c r="N2799" s="1">
        <v>42872.849305555559</v>
      </c>
      <c r="O2799" t="s">
        <v>19</v>
      </c>
    </row>
    <row r="2800" spans="1:15" x14ac:dyDescent="0.25">
      <c r="A2800" t="s">
        <v>2362</v>
      </c>
      <c r="B2800" t="s">
        <v>15</v>
      </c>
      <c r="C2800" t="s">
        <v>2135</v>
      </c>
      <c r="D2800" t="s">
        <v>17</v>
      </c>
      <c r="E2800" t="s">
        <v>18</v>
      </c>
      <c r="F2800" t="s">
        <v>19</v>
      </c>
      <c r="G2800" t="s">
        <v>20</v>
      </c>
      <c r="J2800" t="s">
        <v>17</v>
      </c>
      <c r="K2800" t="str">
        <f>"762314277"</f>
        <v>762314277</v>
      </c>
      <c r="L2800" t="str">
        <f>"762314277"</f>
        <v>762314277</v>
      </c>
      <c r="M2800" t="s">
        <v>21</v>
      </c>
      <c r="N2800" s="1">
        <v>43719.816666666666</v>
      </c>
      <c r="O2800" t="s">
        <v>19</v>
      </c>
    </row>
    <row r="2801" spans="1:15" x14ac:dyDescent="0.25">
      <c r="A2801" t="s">
        <v>2362</v>
      </c>
      <c r="B2801" t="s">
        <v>15</v>
      </c>
      <c r="C2801" t="s">
        <v>2135</v>
      </c>
      <c r="D2801" t="s">
        <v>17</v>
      </c>
      <c r="E2801" t="s">
        <v>18</v>
      </c>
      <c r="F2801" t="s">
        <v>19</v>
      </c>
      <c r="G2801" t="s">
        <v>20</v>
      </c>
      <c r="J2801" t="s">
        <v>17</v>
      </c>
      <c r="K2801" t="str">
        <f>"682314277"</f>
        <v>682314277</v>
      </c>
      <c r="L2801" t="str">
        <f>"682314277"</f>
        <v>682314277</v>
      </c>
      <c r="M2801" t="s">
        <v>21</v>
      </c>
      <c r="N2801" s="1">
        <v>43798.830555555556</v>
      </c>
      <c r="O2801" t="s">
        <v>19</v>
      </c>
    </row>
    <row r="2802" spans="1:15" x14ac:dyDescent="0.25">
      <c r="A2802" t="s">
        <v>2363</v>
      </c>
      <c r="B2802" t="s">
        <v>15</v>
      </c>
      <c r="C2802" t="s">
        <v>2135</v>
      </c>
      <c r="D2802" t="s">
        <v>17</v>
      </c>
      <c r="E2802" t="s">
        <v>18</v>
      </c>
      <c r="F2802" t="s">
        <v>19</v>
      </c>
      <c r="G2802" t="s">
        <v>20</v>
      </c>
      <c r="J2802" t="s">
        <v>17</v>
      </c>
      <c r="K2802" t="str">
        <f>"762314290"</f>
        <v>762314290</v>
      </c>
      <c r="L2802" t="str">
        <f>"762314290"</f>
        <v>762314290</v>
      </c>
      <c r="M2802" t="s">
        <v>21</v>
      </c>
      <c r="N2802" s="1">
        <v>44210.929861111108</v>
      </c>
      <c r="O2802" t="s">
        <v>19</v>
      </c>
    </row>
    <row r="2803" spans="1:15" x14ac:dyDescent="0.25">
      <c r="A2803" t="s">
        <v>2364</v>
      </c>
      <c r="B2803" t="s">
        <v>15</v>
      </c>
      <c r="C2803" t="s">
        <v>2135</v>
      </c>
      <c r="D2803" t="s">
        <v>17</v>
      </c>
      <c r="E2803" t="s">
        <v>18</v>
      </c>
      <c r="F2803" t="s">
        <v>19</v>
      </c>
      <c r="G2803" t="s">
        <v>20</v>
      </c>
      <c r="J2803" t="s">
        <v>17</v>
      </c>
      <c r="K2803" t="str">
        <f>"342314138"</f>
        <v>342314138</v>
      </c>
      <c r="L2803" t="str">
        <f>"342314138"</f>
        <v>342314138</v>
      </c>
      <c r="M2803" t="s">
        <v>75</v>
      </c>
      <c r="N2803" s="1">
        <v>43217.603472222225</v>
      </c>
      <c r="O2803" t="s">
        <v>19</v>
      </c>
    </row>
    <row r="2804" spans="1:15" x14ac:dyDescent="0.25">
      <c r="A2804" t="s">
        <v>2364</v>
      </c>
      <c r="B2804" t="s">
        <v>15</v>
      </c>
      <c r="C2804" t="s">
        <v>2135</v>
      </c>
      <c r="D2804" t="s">
        <v>17</v>
      </c>
      <c r="E2804" t="s">
        <v>18</v>
      </c>
      <c r="F2804" t="s">
        <v>19</v>
      </c>
      <c r="G2804" t="s">
        <v>20</v>
      </c>
      <c r="J2804" t="s">
        <v>17</v>
      </c>
      <c r="K2804" t="str">
        <f>"862314168"</f>
        <v>862314168</v>
      </c>
      <c r="L2804" t="str">
        <f>"862314168"</f>
        <v>862314168</v>
      </c>
      <c r="M2804" t="s">
        <v>84</v>
      </c>
      <c r="N2804" s="1">
        <v>43280.710416666669</v>
      </c>
      <c r="O2804" t="s">
        <v>19</v>
      </c>
    </row>
    <row r="2805" spans="1:15" x14ac:dyDescent="0.25">
      <c r="A2805" t="s">
        <v>2364</v>
      </c>
      <c r="B2805" t="s">
        <v>15</v>
      </c>
      <c r="C2805" t="s">
        <v>2135</v>
      </c>
      <c r="D2805" t="s">
        <v>17</v>
      </c>
      <c r="E2805" t="s">
        <v>18</v>
      </c>
      <c r="F2805" t="s">
        <v>19</v>
      </c>
      <c r="G2805" t="s">
        <v>20</v>
      </c>
      <c r="J2805" t="s">
        <v>17</v>
      </c>
      <c r="K2805" t="str">
        <f>"7290112310316"</f>
        <v>7290112310316</v>
      </c>
      <c r="L2805" t="str">
        <f>"342314168"</f>
        <v>342314168</v>
      </c>
      <c r="M2805" t="s">
        <v>84</v>
      </c>
      <c r="N2805" s="1">
        <v>43370.879861111112</v>
      </c>
      <c r="O2805" t="s">
        <v>19</v>
      </c>
    </row>
    <row r="2806" spans="1:15" x14ac:dyDescent="0.25">
      <c r="A2806" t="s">
        <v>2365</v>
      </c>
      <c r="B2806" t="s">
        <v>15</v>
      </c>
      <c r="C2806" t="s">
        <v>2135</v>
      </c>
      <c r="D2806" t="s">
        <v>17</v>
      </c>
      <c r="E2806" t="s">
        <v>18</v>
      </c>
      <c r="F2806" t="s">
        <v>19</v>
      </c>
      <c r="G2806" t="s">
        <v>20</v>
      </c>
      <c r="J2806" t="s">
        <v>17</v>
      </c>
      <c r="K2806" t="str">
        <f>"342314139"</f>
        <v>342314139</v>
      </c>
      <c r="L2806" t="str">
        <f>"342314139"</f>
        <v>342314139</v>
      </c>
      <c r="M2806" t="s">
        <v>75</v>
      </c>
      <c r="N2806" s="1">
        <v>43217.604861111111</v>
      </c>
      <c r="O2806" t="s">
        <v>19</v>
      </c>
    </row>
    <row r="2807" spans="1:15" x14ac:dyDescent="0.25">
      <c r="A2807" t="s">
        <v>2365</v>
      </c>
      <c r="B2807" t="s">
        <v>15</v>
      </c>
      <c r="C2807" t="s">
        <v>2135</v>
      </c>
      <c r="D2807" t="s">
        <v>17</v>
      </c>
      <c r="E2807" t="s">
        <v>18</v>
      </c>
      <c r="F2807" t="s">
        <v>19</v>
      </c>
      <c r="G2807" t="s">
        <v>20</v>
      </c>
      <c r="J2807" t="s">
        <v>17</v>
      </c>
      <c r="K2807" t="str">
        <f>"762314139"</f>
        <v>762314139</v>
      </c>
      <c r="L2807" t="str">
        <f>"762314139"</f>
        <v>762314139</v>
      </c>
      <c r="M2807" t="s">
        <v>84</v>
      </c>
      <c r="N2807" s="1">
        <v>43280.709722222222</v>
      </c>
      <c r="O2807" t="s">
        <v>19</v>
      </c>
    </row>
    <row r="2808" spans="1:15" x14ac:dyDescent="0.25">
      <c r="A2808" t="s">
        <v>2366</v>
      </c>
      <c r="B2808" t="s">
        <v>15</v>
      </c>
      <c r="C2808" t="s">
        <v>2135</v>
      </c>
      <c r="D2808" t="s">
        <v>17</v>
      </c>
      <c r="E2808" t="s">
        <v>18</v>
      </c>
      <c r="F2808" t="s">
        <v>19</v>
      </c>
      <c r="G2808" t="s">
        <v>20</v>
      </c>
      <c r="J2808" t="s">
        <v>17</v>
      </c>
      <c r="K2808" t="str">
        <f>"672314282"</f>
        <v>672314282</v>
      </c>
      <c r="L2808" t="str">
        <f>"672314282"</f>
        <v>672314282</v>
      </c>
      <c r="M2808" t="s">
        <v>21</v>
      </c>
      <c r="N2808" s="1">
        <v>43873.774305555555</v>
      </c>
      <c r="O2808" t="s">
        <v>19</v>
      </c>
    </row>
    <row r="2809" spans="1:15" x14ac:dyDescent="0.25">
      <c r="A2809" t="s">
        <v>2367</v>
      </c>
      <c r="B2809" t="s">
        <v>15</v>
      </c>
      <c r="C2809" t="s">
        <v>2135</v>
      </c>
      <c r="D2809" t="s">
        <v>17</v>
      </c>
      <c r="E2809" t="s">
        <v>18</v>
      </c>
      <c r="F2809" t="s">
        <v>19</v>
      </c>
      <c r="G2809" t="s">
        <v>20</v>
      </c>
      <c r="J2809" t="s">
        <v>17</v>
      </c>
      <c r="K2809" t="str">
        <f>"76121413"</f>
        <v>76121413</v>
      </c>
      <c r="L2809" t="str">
        <f>"76121413"</f>
        <v>76121413</v>
      </c>
      <c r="M2809" t="s">
        <v>75</v>
      </c>
      <c r="N2809" s="1">
        <v>42872.847222222219</v>
      </c>
      <c r="O2809" t="s">
        <v>19</v>
      </c>
    </row>
    <row r="2810" spans="1:15" x14ac:dyDescent="0.25">
      <c r="A2810" t="s">
        <v>2367</v>
      </c>
      <c r="B2810" t="s">
        <v>15</v>
      </c>
      <c r="C2810" t="s">
        <v>2135</v>
      </c>
      <c r="D2810" t="s">
        <v>17</v>
      </c>
      <c r="E2810" t="s">
        <v>18</v>
      </c>
      <c r="F2810" t="s">
        <v>19</v>
      </c>
      <c r="G2810" t="s">
        <v>20</v>
      </c>
      <c r="J2810" t="s">
        <v>17</v>
      </c>
      <c r="K2810" t="str">
        <f>"76721413"</f>
        <v>76721413</v>
      </c>
      <c r="L2810" t="str">
        <f>"76721413"</f>
        <v>76721413</v>
      </c>
      <c r="M2810" t="s">
        <v>75</v>
      </c>
      <c r="N2810" s="1">
        <v>42872.847222222219</v>
      </c>
      <c r="O2810" t="s">
        <v>19</v>
      </c>
    </row>
    <row r="2811" spans="1:15" x14ac:dyDescent="0.25">
      <c r="A2811" t="s">
        <v>2367</v>
      </c>
      <c r="B2811" t="s">
        <v>15</v>
      </c>
      <c r="C2811" t="s">
        <v>2135</v>
      </c>
      <c r="D2811" t="s">
        <v>17</v>
      </c>
      <c r="E2811" t="s">
        <v>18</v>
      </c>
      <c r="F2811" t="s">
        <v>19</v>
      </c>
      <c r="G2811" t="s">
        <v>20</v>
      </c>
      <c r="J2811" t="s">
        <v>17</v>
      </c>
      <c r="K2811" t="str">
        <f>"76231413"</f>
        <v>76231413</v>
      </c>
      <c r="L2811" t="str">
        <f>"76231413"</f>
        <v>76231413</v>
      </c>
      <c r="M2811" t="s">
        <v>75</v>
      </c>
      <c r="N2811" s="1">
        <v>42872.847222222219</v>
      </c>
      <c r="O2811" t="s">
        <v>19</v>
      </c>
    </row>
    <row r="2812" spans="1:15" x14ac:dyDescent="0.25">
      <c r="A2812" t="s">
        <v>2367</v>
      </c>
      <c r="B2812" t="s">
        <v>15</v>
      </c>
      <c r="C2812" t="s">
        <v>2135</v>
      </c>
      <c r="D2812" t="s">
        <v>17</v>
      </c>
      <c r="E2812" t="s">
        <v>18</v>
      </c>
      <c r="F2812" t="s">
        <v>19</v>
      </c>
      <c r="G2812" t="s">
        <v>20</v>
      </c>
      <c r="J2812" t="s">
        <v>17</v>
      </c>
      <c r="K2812" t="str">
        <f>"76601413"</f>
        <v>76601413</v>
      </c>
      <c r="L2812" t="str">
        <f>"76601413"</f>
        <v>76601413</v>
      </c>
      <c r="M2812" t="s">
        <v>75</v>
      </c>
      <c r="N2812" s="1">
        <v>42872.847222222219</v>
      </c>
      <c r="O2812" t="s">
        <v>19</v>
      </c>
    </row>
    <row r="2813" spans="1:15" x14ac:dyDescent="0.25">
      <c r="A2813" t="s">
        <v>2367</v>
      </c>
      <c r="B2813" t="s">
        <v>15</v>
      </c>
      <c r="C2813" t="s">
        <v>2135</v>
      </c>
      <c r="D2813" t="s">
        <v>17</v>
      </c>
      <c r="E2813" t="s">
        <v>18</v>
      </c>
      <c r="F2813" t="s">
        <v>19</v>
      </c>
      <c r="G2813" t="s">
        <v>20</v>
      </c>
      <c r="J2813" t="s">
        <v>17</v>
      </c>
      <c r="K2813" t="str">
        <f>"76631413"</f>
        <v>76631413</v>
      </c>
      <c r="L2813" t="str">
        <f>"76631413"</f>
        <v>76631413</v>
      </c>
      <c r="M2813" t="s">
        <v>75</v>
      </c>
      <c r="N2813" s="1">
        <v>42872.847222222219</v>
      </c>
      <c r="O2813" t="s">
        <v>19</v>
      </c>
    </row>
    <row r="2814" spans="1:15" x14ac:dyDescent="0.25">
      <c r="A2814" t="s">
        <v>2367</v>
      </c>
      <c r="B2814" t="s">
        <v>15</v>
      </c>
      <c r="C2814" t="s">
        <v>2135</v>
      </c>
      <c r="D2814" t="s">
        <v>17</v>
      </c>
      <c r="E2814" t="s">
        <v>18</v>
      </c>
      <c r="F2814" t="s">
        <v>19</v>
      </c>
      <c r="G2814" t="s">
        <v>20</v>
      </c>
      <c r="J2814" t="s">
        <v>17</v>
      </c>
      <c r="K2814" t="str">
        <f>"76631453"</f>
        <v>76631453</v>
      </c>
      <c r="L2814" t="str">
        <f>"76631453"</f>
        <v>76631453</v>
      </c>
      <c r="M2814" t="s">
        <v>75</v>
      </c>
      <c r="N2814" s="1">
        <v>42872.847222222219</v>
      </c>
      <c r="O2814" t="s">
        <v>19</v>
      </c>
    </row>
    <row r="2815" spans="1:15" x14ac:dyDescent="0.25">
      <c r="A2815" t="s">
        <v>2367</v>
      </c>
      <c r="B2815" t="s">
        <v>15</v>
      </c>
      <c r="C2815" t="s">
        <v>2135</v>
      </c>
      <c r="D2815" t="s">
        <v>17</v>
      </c>
      <c r="E2815" t="s">
        <v>18</v>
      </c>
      <c r="F2815" t="s">
        <v>19</v>
      </c>
      <c r="G2815" t="s">
        <v>20</v>
      </c>
      <c r="J2815" t="s">
        <v>17</v>
      </c>
      <c r="K2815" t="str">
        <f>"767631413"</f>
        <v>767631413</v>
      </c>
      <c r="L2815" t="str">
        <f>"767631413"</f>
        <v>767631413</v>
      </c>
      <c r="M2815" t="s">
        <v>75</v>
      </c>
      <c r="N2815" s="1">
        <v>42872.849305555559</v>
      </c>
      <c r="O2815" t="s">
        <v>19</v>
      </c>
    </row>
    <row r="2816" spans="1:15" x14ac:dyDescent="0.25">
      <c r="A2816" t="s">
        <v>2368</v>
      </c>
      <c r="B2816" t="s">
        <v>15</v>
      </c>
      <c r="C2816" t="s">
        <v>2135</v>
      </c>
      <c r="D2816" t="s">
        <v>17</v>
      </c>
      <c r="E2816" t="s">
        <v>18</v>
      </c>
      <c r="F2816" t="s">
        <v>19</v>
      </c>
      <c r="G2816" t="s">
        <v>20</v>
      </c>
      <c r="J2816" t="s">
        <v>17</v>
      </c>
      <c r="K2816" t="str">
        <f>"11231425"</f>
        <v>11231425</v>
      </c>
      <c r="L2816" t="str">
        <f>"11231425"</f>
        <v>11231425</v>
      </c>
      <c r="M2816" t="s">
        <v>75</v>
      </c>
      <c r="N2816" s="1">
        <v>42872.847222222219</v>
      </c>
      <c r="O2816" t="s">
        <v>19</v>
      </c>
    </row>
    <row r="2817" spans="1:15" x14ac:dyDescent="0.25">
      <c r="A2817" t="s">
        <v>2369</v>
      </c>
      <c r="B2817" t="s">
        <v>15</v>
      </c>
      <c r="C2817" t="s">
        <v>2135</v>
      </c>
      <c r="D2817" t="s">
        <v>17</v>
      </c>
      <c r="E2817" t="s">
        <v>18</v>
      </c>
      <c r="F2817" t="s">
        <v>19</v>
      </c>
      <c r="G2817" t="s">
        <v>20</v>
      </c>
      <c r="J2817" t="s">
        <v>17</v>
      </c>
      <c r="K2817" t="str">
        <f>"17231425"</f>
        <v>17231425</v>
      </c>
      <c r="L2817" t="str">
        <f>"17231425"</f>
        <v>17231425</v>
      </c>
      <c r="M2817" t="s">
        <v>75</v>
      </c>
      <c r="N2817" s="1">
        <v>42872.839583333334</v>
      </c>
      <c r="O2817" t="s">
        <v>19</v>
      </c>
    </row>
    <row r="2818" spans="1:15" x14ac:dyDescent="0.25">
      <c r="A2818" t="s">
        <v>2369</v>
      </c>
      <c r="B2818" t="s">
        <v>15</v>
      </c>
      <c r="C2818" t="s">
        <v>2135</v>
      </c>
      <c r="D2818" t="s">
        <v>17</v>
      </c>
      <c r="E2818" t="s">
        <v>18</v>
      </c>
      <c r="F2818" t="s">
        <v>19</v>
      </c>
      <c r="G2818" t="s">
        <v>20</v>
      </c>
      <c r="J2818" t="s">
        <v>17</v>
      </c>
      <c r="K2818" t="str">
        <f>"34231455"</f>
        <v>34231455</v>
      </c>
      <c r="L2818" t="str">
        <f>"34231455"</f>
        <v>34231455</v>
      </c>
      <c r="M2818" t="s">
        <v>75</v>
      </c>
      <c r="N2818" s="1">
        <v>42872.839583333334</v>
      </c>
      <c r="O2818" t="s">
        <v>19</v>
      </c>
    </row>
    <row r="2819" spans="1:15" x14ac:dyDescent="0.25">
      <c r="A2819" t="s">
        <v>2369</v>
      </c>
      <c r="B2819" t="s">
        <v>15</v>
      </c>
      <c r="C2819" t="s">
        <v>2135</v>
      </c>
      <c r="D2819" t="s">
        <v>17</v>
      </c>
      <c r="E2819" t="s">
        <v>18</v>
      </c>
      <c r="F2819" t="s">
        <v>19</v>
      </c>
      <c r="G2819" t="s">
        <v>20</v>
      </c>
      <c r="J2819" t="s">
        <v>17</v>
      </c>
      <c r="K2819" t="str">
        <f>"68601422"</f>
        <v>68601422</v>
      </c>
      <c r="L2819" t="str">
        <f>"68601422"</f>
        <v>68601422</v>
      </c>
      <c r="M2819" t="s">
        <v>75</v>
      </c>
      <c r="N2819" s="1">
        <v>42872.847222222219</v>
      </c>
      <c r="O2819" t="s">
        <v>19</v>
      </c>
    </row>
    <row r="2820" spans="1:15" x14ac:dyDescent="0.25">
      <c r="A2820" t="s">
        <v>2369</v>
      </c>
      <c r="B2820" t="s">
        <v>15</v>
      </c>
      <c r="C2820" t="s">
        <v>2135</v>
      </c>
      <c r="D2820" t="s">
        <v>17</v>
      </c>
      <c r="E2820" t="s">
        <v>18</v>
      </c>
      <c r="F2820" t="s">
        <v>19</v>
      </c>
      <c r="G2820" t="s">
        <v>20</v>
      </c>
      <c r="J2820" t="s">
        <v>17</v>
      </c>
      <c r="K2820" t="str">
        <f>"76231425"</f>
        <v>76231425</v>
      </c>
      <c r="L2820" t="str">
        <f>"76231425"</f>
        <v>76231425</v>
      </c>
      <c r="M2820" t="s">
        <v>75</v>
      </c>
      <c r="N2820" s="1">
        <v>42872.847222222219</v>
      </c>
      <c r="O2820" t="s">
        <v>19</v>
      </c>
    </row>
    <row r="2821" spans="1:15" x14ac:dyDescent="0.25">
      <c r="A2821" t="s">
        <v>2369</v>
      </c>
      <c r="B2821" t="s">
        <v>15</v>
      </c>
      <c r="C2821" t="s">
        <v>2135</v>
      </c>
      <c r="D2821" t="s">
        <v>17</v>
      </c>
      <c r="E2821" t="s">
        <v>18</v>
      </c>
      <c r="F2821" t="s">
        <v>19</v>
      </c>
      <c r="G2821" t="s">
        <v>20</v>
      </c>
      <c r="J2821" t="s">
        <v>17</v>
      </c>
      <c r="K2821" t="str">
        <f>"76231455"</f>
        <v>76231455</v>
      </c>
      <c r="L2821" t="str">
        <f>"76231455"</f>
        <v>76231455</v>
      </c>
      <c r="M2821" t="s">
        <v>75</v>
      </c>
      <c r="N2821" s="1">
        <v>42872.847222222219</v>
      </c>
      <c r="O2821" t="s">
        <v>19</v>
      </c>
    </row>
    <row r="2822" spans="1:15" x14ac:dyDescent="0.25">
      <c r="A2822" t="s">
        <v>2369</v>
      </c>
      <c r="B2822" t="s">
        <v>15</v>
      </c>
      <c r="C2822" t="s">
        <v>2135</v>
      </c>
      <c r="D2822" t="s">
        <v>17</v>
      </c>
      <c r="E2822" t="s">
        <v>18</v>
      </c>
      <c r="F2822" t="s">
        <v>19</v>
      </c>
      <c r="G2822" t="s">
        <v>20</v>
      </c>
      <c r="J2822" t="s">
        <v>17</v>
      </c>
      <c r="K2822" t="str">
        <f>"76601425"</f>
        <v>76601425</v>
      </c>
      <c r="L2822" t="str">
        <f>"76601425"</f>
        <v>76601425</v>
      </c>
      <c r="M2822" t="s">
        <v>75</v>
      </c>
      <c r="N2822" s="1">
        <v>42872.847222222219</v>
      </c>
      <c r="O2822" t="s">
        <v>19</v>
      </c>
    </row>
    <row r="2823" spans="1:15" x14ac:dyDescent="0.25">
      <c r="A2823" t="s">
        <v>2369</v>
      </c>
      <c r="B2823" t="s">
        <v>15</v>
      </c>
      <c r="C2823" t="s">
        <v>2135</v>
      </c>
      <c r="D2823" t="s">
        <v>17</v>
      </c>
      <c r="E2823" t="s">
        <v>18</v>
      </c>
      <c r="F2823" t="s">
        <v>19</v>
      </c>
      <c r="G2823" t="s">
        <v>20</v>
      </c>
      <c r="J2823" t="s">
        <v>17</v>
      </c>
      <c r="K2823" t="str">
        <f>"76601455"</f>
        <v>76601455</v>
      </c>
      <c r="L2823" t="str">
        <f>"76601455"</f>
        <v>76601455</v>
      </c>
      <c r="M2823" t="s">
        <v>75</v>
      </c>
      <c r="N2823" s="1">
        <v>42872.847222222219</v>
      </c>
      <c r="O2823" t="s">
        <v>19</v>
      </c>
    </row>
    <row r="2824" spans="1:15" x14ac:dyDescent="0.25">
      <c r="A2824" t="s">
        <v>2369</v>
      </c>
      <c r="B2824" t="s">
        <v>15</v>
      </c>
      <c r="C2824" t="s">
        <v>2135</v>
      </c>
      <c r="D2824" t="s">
        <v>17</v>
      </c>
      <c r="E2824" t="s">
        <v>18</v>
      </c>
      <c r="F2824" t="s">
        <v>19</v>
      </c>
      <c r="G2824" t="s">
        <v>20</v>
      </c>
      <c r="J2824" t="s">
        <v>17</v>
      </c>
      <c r="K2824" t="str">
        <f>"76631425"</f>
        <v>76631425</v>
      </c>
      <c r="L2824" t="str">
        <f>"76631425"</f>
        <v>76631425</v>
      </c>
      <c r="M2824" t="s">
        <v>75</v>
      </c>
      <c r="N2824" s="1">
        <v>42872.847222222219</v>
      </c>
      <c r="O2824" t="s">
        <v>19</v>
      </c>
    </row>
    <row r="2825" spans="1:15" x14ac:dyDescent="0.25">
      <c r="A2825" t="s">
        <v>2369</v>
      </c>
      <c r="B2825" t="s">
        <v>15</v>
      </c>
      <c r="C2825" t="s">
        <v>2135</v>
      </c>
      <c r="D2825" t="s">
        <v>17</v>
      </c>
      <c r="E2825" t="s">
        <v>18</v>
      </c>
      <c r="F2825" t="s">
        <v>19</v>
      </c>
      <c r="G2825" t="s">
        <v>20</v>
      </c>
      <c r="J2825" t="s">
        <v>17</v>
      </c>
      <c r="K2825" t="str">
        <f>"76631455"</f>
        <v>76631455</v>
      </c>
      <c r="L2825" t="str">
        <f>"76631455"</f>
        <v>76631455</v>
      </c>
      <c r="M2825" t="s">
        <v>75</v>
      </c>
      <c r="N2825" s="1">
        <v>42872.847222222219</v>
      </c>
      <c r="O2825" t="s">
        <v>19</v>
      </c>
    </row>
    <row r="2826" spans="1:15" x14ac:dyDescent="0.25">
      <c r="A2826" t="s">
        <v>2369</v>
      </c>
      <c r="B2826" t="s">
        <v>15</v>
      </c>
      <c r="C2826" t="s">
        <v>2135</v>
      </c>
      <c r="D2826" t="s">
        <v>17</v>
      </c>
      <c r="E2826" t="s">
        <v>18</v>
      </c>
      <c r="F2826" t="s">
        <v>19</v>
      </c>
      <c r="G2826" t="s">
        <v>20</v>
      </c>
      <c r="J2826" t="s">
        <v>17</v>
      </c>
      <c r="K2826" t="str">
        <f>"76721425"</f>
        <v>76721425</v>
      </c>
      <c r="L2826" t="str">
        <f>"76721425"</f>
        <v>76721425</v>
      </c>
      <c r="M2826" t="s">
        <v>75</v>
      </c>
      <c r="N2826" s="1">
        <v>42872.847222222219</v>
      </c>
      <c r="O2826" t="s">
        <v>19</v>
      </c>
    </row>
    <row r="2827" spans="1:15" x14ac:dyDescent="0.25">
      <c r="A2827" t="s">
        <v>2370</v>
      </c>
      <c r="B2827" t="s">
        <v>15</v>
      </c>
      <c r="C2827" t="s">
        <v>2135</v>
      </c>
      <c r="D2827" t="s">
        <v>17</v>
      </c>
      <c r="E2827" t="s">
        <v>18</v>
      </c>
      <c r="F2827" t="s">
        <v>19</v>
      </c>
      <c r="G2827" t="s">
        <v>20</v>
      </c>
      <c r="J2827" t="s">
        <v>17</v>
      </c>
      <c r="K2827" t="str">
        <f>"76631428"</f>
        <v>76631428</v>
      </c>
      <c r="L2827" t="str">
        <f>"76631428"</f>
        <v>76631428</v>
      </c>
      <c r="M2827" t="s">
        <v>75</v>
      </c>
      <c r="N2827" s="1">
        <v>42872.847222222219</v>
      </c>
      <c r="O2827" t="s">
        <v>19</v>
      </c>
    </row>
    <row r="2828" spans="1:15" x14ac:dyDescent="0.25">
      <c r="A2828" t="s">
        <v>2371</v>
      </c>
      <c r="B2828" t="s">
        <v>15</v>
      </c>
      <c r="C2828" t="s">
        <v>2135</v>
      </c>
      <c r="D2828" t="s">
        <v>17</v>
      </c>
      <c r="E2828" t="s">
        <v>18</v>
      </c>
      <c r="F2828" t="s">
        <v>19</v>
      </c>
      <c r="G2828" t="s">
        <v>20</v>
      </c>
      <c r="J2828" t="s">
        <v>17</v>
      </c>
      <c r="K2828" t="str">
        <f>"76231427"</f>
        <v>76231427</v>
      </c>
      <c r="L2828" t="str">
        <f>"76231427"</f>
        <v>76231427</v>
      </c>
      <c r="M2828" t="s">
        <v>75</v>
      </c>
      <c r="N2828" s="1">
        <v>42872.847222222219</v>
      </c>
      <c r="O2828" t="s">
        <v>19</v>
      </c>
    </row>
    <row r="2829" spans="1:15" x14ac:dyDescent="0.25">
      <c r="A2829" t="s">
        <v>2371</v>
      </c>
      <c r="B2829" t="s">
        <v>15</v>
      </c>
      <c r="C2829" t="s">
        <v>2135</v>
      </c>
      <c r="D2829" t="s">
        <v>17</v>
      </c>
      <c r="E2829" t="s">
        <v>18</v>
      </c>
      <c r="F2829" t="s">
        <v>19</v>
      </c>
      <c r="G2829" t="s">
        <v>20</v>
      </c>
      <c r="J2829" t="s">
        <v>17</v>
      </c>
      <c r="K2829" t="str">
        <f>"76601427"</f>
        <v>76601427</v>
      </c>
      <c r="L2829" t="str">
        <f>"76601427"</f>
        <v>76601427</v>
      </c>
      <c r="M2829" t="s">
        <v>75</v>
      </c>
      <c r="N2829" s="1">
        <v>42872.847222222219</v>
      </c>
      <c r="O2829" t="s">
        <v>19</v>
      </c>
    </row>
    <row r="2830" spans="1:15" x14ac:dyDescent="0.25">
      <c r="A2830" t="s">
        <v>2371</v>
      </c>
      <c r="B2830" t="s">
        <v>15</v>
      </c>
      <c r="C2830" t="s">
        <v>2135</v>
      </c>
      <c r="D2830" t="s">
        <v>17</v>
      </c>
      <c r="E2830" t="s">
        <v>18</v>
      </c>
      <c r="F2830" t="s">
        <v>19</v>
      </c>
      <c r="G2830" t="s">
        <v>20</v>
      </c>
      <c r="J2830" t="s">
        <v>17</v>
      </c>
      <c r="K2830" t="str">
        <f>"76631427"</f>
        <v>76631427</v>
      </c>
      <c r="L2830" t="str">
        <f>"76631427"</f>
        <v>76631427</v>
      </c>
      <c r="M2830" t="s">
        <v>75</v>
      </c>
      <c r="N2830" s="1">
        <v>42872.847222222219</v>
      </c>
      <c r="O2830" t="s">
        <v>19</v>
      </c>
    </row>
    <row r="2831" spans="1:15" x14ac:dyDescent="0.25">
      <c r="A2831" t="s">
        <v>2372</v>
      </c>
      <c r="B2831" t="s">
        <v>15</v>
      </c>
      <c r="C2831" t="s">
        <v>2135</v>
      </c>
      <c r="D2831" t="s">
        <v>17</v>
      </c>
      <c r="E2831" t="s">
        <v>18</v>
      </c>
      <c r="F2831" t="s">
        <v>19</v>
      </c>
      <c r="G2831" t="s">
        <v>20</v>
      </c>
      <c r="J2831" t="s">
        <v>17</v>
      </c>
      <c r="K2831" t="str">
        <f>"76631407"</f>
        <v>76631407</v>
      </c>
      <c r="L2831" t="str">
        <f>"76631407"</f>
        <v>76631407</v>
      </c>
      <c r="M2831" t="s">
        <v>75</v>
      </c>
      <c r="N2831" s="1">
        <v>42872.847222222219</v>
      </c>
      <c r="O2831" t="s">
        <v>19</v>
      </c>
    </row>
    <row r="2832" spans="1:15" x14ac:dyDescent="0.25">
      <c r="A2832" t="s">
        <v>2373</v>
      </c>
      <c r="B2832" t="s">
        <v>15</v>
      </c>
      <c r="C2832" t="s">
        <v>2135</v>
      </c>
      <c r="D2832" t="s">
        <v>17</v>
      </c>
      <c r="E2832" t="s">
        <v>18</v>
      </c>
      <c r="F2832" t="s">
        <v>19</v>
      </c>
      <c r="G2832" t="s">
        <v>20</v>
      </c>
      <c r="J2832" t="s">
        <v>17</v>
      </c>
      <c r="K2832" t="str">
        <f>"76231453"</f>
        <v>76231453</v>
      </c>
      <c r="L2832" t="str">
        <f>"76231453"</f>
        <v>76231453</v>
      </c>
      <c r="M2832" t="s">
        <v>75</v>
      </c>
      <c r="N2832" s="1">
        <v>42872.847222222219</v>
      </c>
      <c r="O2832" t="s">
        <v>19</v>
      </c>
    </row>
    <row r="2833" spans="1:15" x14ac:dyDescent="0.25">
      <c r="A2833" t="s">
        <v>2374</v>
      </c>
      <c r="B2833" t="s">
        <v>15</v>
      </c>
      <c r="C2833" t="s">
        <v>2135</v>
      </c>
      <c r="D2833" t="s">
        <v>17</v>
      </c>
      <c r="E2833" t="s">
        <v>18</v>
      </c>
      <c r="F2833" t="s">
        <v>19</v>
      </c>
      <c r="G2833" t="s">
        <v>20</v>
      </c>
      <c r="J2833" t="s">
        <v>17</v>
      </c>
      <c r="K2833" t="str">
        <f>"76551438"</f>
        <v>76551438</v>
      </c>
      <c r="L2833" t="str">
        <f>"76551438"</f>
        <v>76551438</v>
      </c>
      <c r="M2833" t="s">
        <v>75</v>
      </c>
      <c r="N2833" s="1">
        <v>42872.847222222219</v>
      </c>
      <c r="O2833" t="s">
        <v>19</v>
      </c>
    </row>
    <row r="2834" spans="1:15" x14ac:dyDescent="0.25">
      <c r="A2834" t="s">
        <v>2374</v>
      </c>
      <c r="B2834" t="s">
        <v>15</v>
      </c>
      <c r="C2834" t="s">
        <v>2135</v>
      </c>
      <c r="D2834" t="s">
        <v>17</v>
      </c>
      <c r="E2834" t="s">
        <v>18</v>
      </c>
      <c r="F2834" t="s">
        <v>19</v>
      </c>
      <c r="G2834" t="s">
        <v>20</v>
      </c>
      <c r="J2834" t="s">
        <v>17</v>
      </c>
      <c r="K2834" t="str">
        <f>"76631460"</f>
        <v>76631460</v>
      </c>
      <c r="L2834" t="str">
        <f>"76631460"</f>
        <v>76631460</v>
      </c>
      <c r="M2834" t="s">
        <v>75</v>
      </c>
      <c r="N2834" s="1">
        <v>42872.847222222219</v>
      </c>
      <c r="O2834" t="s">
        <v>19</v>
      </c>
    </row>
    <row r="2835" spans="1:15" x14ac:dyDescent="0.25">
      <c r="A2835" t="s">
        <v>2375</v>
      </c>
      <c r="B2835" t="s">
        <v>15</v>
      </c>
      <c r="C2835" t="s">
        <v>2135</v>
      </c>
      <c r="D2835" t="s">
        <v>17</v>
      </c>
      <c r="E2835" t="s">
        <v>18</v>
      </c>
      <c r="F2835" t="s">
        <v>19</v>
      </c>
      <c r="G2835" t="s">
        <v>20</v>
      </c>
      <c r="J2835" t="s">
        <v>17</v>
      </c>
      <c r="K2835" t="str">
        <f>"32231430"</f>
        <v>32231430</v>
      </c>
      <c r="L2835" t="str">
        <f>"32231430"</f>
        <v>32231430</v>
      </c>
      <c r="M2835" t="s">
        <v>75</v>
      </c>
      <c r="N2835" s="1">
        <v>42872.839583333334</v>
      </c>
      <c r="O2835" t="s">
        <v>19</v>
      </c>
    </row>
    <row r="2836" spans="1:15" x14ac:dyDescent="0.25">
      <c r="A2836" t="s">
        <v>2376</v>
      </c>
      <c r="B2836" t="s">
        <v>15</v>
      </c>
      <c r="C2836" t="s">
        <v>2135</v>
      </c>
      <c r="D2836" t="s">
        <v>17</v>
      </c>
      <c r="E2836" t="s">
        <v>18</v>
      </c>
      <c r="F2836" t="s">
        <v>19</v>
      </c>
      <c r="G2836" t="s">
        <v>20</v>
      </c>
      <c r="J2836" t="s">
        <v>17</v>
      </c>
      <c r="K2836" t="str">
        <f>"76231460"</f>
        <v>76231460</v>
      </c>
      <c r="L2836" t="str">
        <f>"76231460"</f>
        <v>76231460</v>
      </c>
      <c r="M2836" t="s">
        <v>75</v>
      </c>
      <c r="N2836" s="1">
        <v>42872.847222222219</v>
      </c>
      <c r="O2836" t="s">
        <v>19</v>
      </c>
    </row>
    <row r="2837" spans="1:15" x14ac:dyDescent="0.25">
      <c r="A2837" t="s">
        <v>2377</v>
      </c>
      <c r="B2837" t="s">
        <v>15</v>
      </c>
      <c r="C2837" t="s">
        <v>2135</v>
      </c>
      <c r="D2837" t="s">
        <v>17</v>
      </c>
      <c r="E2837" t="s">
        <v>18</v>
      </c>
      <c r="F2837" t="s">
        <v>19</v>
      </c>
      <c r="G2837" t="s">
        <v>20</v>
      </c>
      <c r="J2837" t="s">
        <v>17</v>
      </c>
      <c r="K2837" t="str">
        <f>"17601480"</f>
        <v>17601480</v>
      </c>
      <c r="L2837" t="str">
        <f>"17601480"</f>
        <v>17601480</v>
      </c>
      <c r="M2837" t="s">
        <v>75</v>
      </c>
      <c r="N2837" s="1">
        <v>42872.839583333334</v>
      </c>
      <c r="O2837" t="s">
        <v>19</v>
      </c>
    </row>
    <row r="2838" spans="1:15" x14ac:dyDescent="0.25">
      <c r="A2838" t="s">
        <v>2377</v>
      </c>
      <c r="B2838" t="s">
        <v>15</v>
      </c>
      <c r="C2838" t="s">
        <v>2135</v>
      </c>
      <c r="D2838" t="s">
        <v>17</v>
      </c>
      <c r="E2838" t="s">
        <v>18</v>
      </c>
      <c r="F2838" t="s">
        <v>19</v>
      </c>
      <c r="G2838" t="s">
        <v>20</v>
      </c>
      <c r="J2838" t="s">
        <v>17</v>
      </c>
      <c r="K2838" t="str">
        <f>"34231480"</f>
        <v>34231480</v>
      </c>
      <c r="L2838" t="str">
        <f>"34231480"</f>
        <v>34231480</v>
      </c>
      <c r="M2838" t="s">
        <v>75</v>
      </c>
      <c r="N2838" s="1">
        <v>42872.839583333334</v>
      </c>
      <c r="O2838" t="s">
        <v>19</v>
      </c>
    </row>
    <row r="2839" spans="1:15" x14ac:dyDescent="0.25">
      <c r="A2839" t="s">
        <v>2377</v>
      </c>
      <c r="B2839" t="s">
        <v>15</v>
      </c>
      <c r="C2839" t="s">
        <v>2135</v>
      </c>
      <c r="D2839" t="s">
        <v>17</v>
      </c>
      <c r="E2839" t="s">
        <v>18</v>
      </c>
      <c r="F2839" t="s">
        <v>19</v>
      </c>
      <c r="G2839" t="s">
        <v>20</v>
      </c>
      <c r="J2839" t="s">
        <v>17</v>
      </c>
      <c r="K2839" t="str">
        <f>"76721480"</f>
        <v>76721480</v>
      </c>
      <c r="L2839" t="str">
        <f>"76721480"</f>
        <v>76721480</v>
      </c>
      <c r="M2839" t="s">
        <v>75</v>
      </c>
      <c r="N2839" s="1">
        <v>42872.847222222219</v>
      </c>
      <c r="O2839" t="s">
        <v>19</v>
      </c>
    </row>
    <row r="2840" spans="1:15" x14ac:dyDescent="0.25">
      <c r="A2840" t="s">
        <v>2378</v>
      </c>
      <c r="B2840" t="s">
        <v>15</v>
      </c>
      <c r="C2840" t="s">
        <v>2135</v>
      </c>
      <c r="D2840" t="s">
        <v>17</v>
      </c>
      <c r="E2840" t="s">
        <v>18</v>
      </c>
      <c r="F2840" t="s">
        <v>19</v>
      </c>
      <c r="G2840" t="s">
        <v>20</v>
      </c>
      <c r="J2840" t="s">
        <v>17</v>
      </c>
      <c r="K2840" t="str">
        <f>"17231480"</f>
        <v>17231480</v>
      </c>
      <c r="L2840" t="str">
        <f>"17231480"</f>
        <v>17231480</v>
      </c>
      <c r="M2840" t="s">
        <v>75</v>
      </c>
      <c r="N2840" s="1">
        <v>42872.839583333334</v>
      </c>
      <c r="O2840" t="s">
        <v>19</v>
      </c>
    </row>
    <row r="2841" spans="1:15" x14ac:dyDescent="0.25">
      <c r="A2841" t="s">
        <v>2378</v>
      </c>
      <c r="B2841" t="s">
        <v>15</v>
      </c>
      <c r="C2841" t="s">
        <v>2135</v>
      </c>
      <c r="D2841" t="s">
        <v>17</v>
      </c>
      <c r="E2841" t="s">
        <v>18</v>
      </c>
      <c r="F2841" t="s">
        <v>19</v>
      </c>
      <c r="G2841" t="s">
        <v>20</v>
      </c>
      <c r="J2841" t="s">
        <v>17</v>
      </c>
      <c r="K2841" t="str">
        <f>"68609080"</f>
        <v>68609080</v>
      </c>
      <c r="L2841" t="str">
        <f>"68609080"</f>
        <v>68609080</v>
      </c>
      <c r="M2841" t="s">
        <v>75</v>
      </c>
      <c r="N2841" s="1">
        <v>42872.847222222219</v>
      </c>
      <c r="O2841" t="s">
        <v>19</v>
      </c>
    </row>
    <row r="2842" spans="1:15" x14ac:dyDescent="0.25">
      <c r="A2842" t="s">
        <v>2378</v>
      </c>
      <c r="B2842" t="s">
        <v>15</v>
      </c>
      <c r="C2842" t="s">
        <v>2135</v>
      </c>
      <c r="D2842" t="s">
        <v>17</v>
      </c>
      <c r="E2842" t="s">
        <v>18</v>
      </c>
      <c r="F2842" t="s">
        <v>19</v>
      </c>
      <c r="G2842" t="s">
        <v>20</v>
      </c>
      <c r="J2842" t="s">
        <v>17</v>
      </c>
      <c r="K2842" t="str">
        <f>"76231480"</f>
        <v>76231480</v>
      </c>
      <c r="L2842" t="str">
        <f>"76231480"</f>
        <v>76231480</v>
      </c>
      <c r="M2842" t="s">
        <v>75</v>
      </c>
      <c r="N2842" s="1">
        <v>42872.847222222219</v>
      </c>
      <c r="O2842" t="s">
        <v>19</v>
      </c>
    </row>
    <row r="2843" spans="1:15" x14ac:dyDescent="0.25">
      <c r="A2843" t="s">
        <v>2378</v>
      </c>
      <c r="B2843" t="s">
        <v>15</v>
      </c>
      <c r="C2843" t="s">
        <v>2135</v>
      </c>
      <c r="D2843" t="s">
        <v>17</v>
      </c>
      <c r="E2843" t="s">
        <v>18</v>
      </c>
      <c r="F2843" t="s">
        <v>19</v>
      </c>
      <c r="G2843" t="s">
        <v>20</v>
      </c>
      <c r="J2843" t="s">
        <v>17</v>
      </c>
      <c r="K2843" t="str">
        <f>"76601480"</f>
        <v>76601480</v>
      </c>
      <c r="L2843" t="str">
        <f>"76601480"</f>
        <v>76601480</v>
      </c>
      <c r="M2843" t="s">
        <v>75</v>
      </c>
      <c r="N2843" s="1">
        <v>42872.847222222219</v>
      </c>
      <c r="O2843" t="s">
        <v>19</v>
      </c>
    </row>
    <row r="2844" spans="1:15" x14ac:dyDescent="0.25">
      <c r="A2844" t="s">
        <v>2378</v>
      </c>
      <c r="B2844" t="s">
        <v>15</v>
      </c>
      <c r="C2844" t="s">
        <v>2135</v>
      </c>
      <c r="D2844" t="s">
        <v>17</v>
      </c>
      <c r="E2844" t="s">
        <v>18</v>
      </c>
      <c r="F2844" t="s">
        <v>19</v>
      </c>
      <c r="G2844" t="s">
        <v>20</v>
      </c>
      <c r="J2844" t="s">
        <v>17</v>
      </c>
      <c r="K2844" t="str">
        <f>"76631480"</f>
        <v>76631480</v>
      </c>
      <c r="L2844" t="str">
        <f>"76631480"</f>
        <v>76631480</v>
      </c>
      <c r="M2844" t="s">
        <v>75</v>
      </c>
      <c r="N2844" s="1">
        <v>42872.847222222219</v>
      </c>
      <c r="O2844" t="s">
        <v>19</v>
      </c>
    </row>
    <row r="2845" spans="1:15" x14ac:dyDescent="0.25">
      <c r="A2845" t="s">
        <v>2379</v>
      </c>
      <c r="B2845" t="s">
        <v>15</v>
      </c>
      <c r="C2845" t="s">
        <v>2135</v>
      </c>
      <c r="D2845" t="s">
        <v>17</v>
      </c>
      <c r="E2845" t="s">
        <v>18</v>
      </c>
      <c r="F2845" t="s">
        <v>19</v>
      </c>
      <c r="G2845" t="s">
        <v>20</v>
      </c>
      <c r="J2845" t="s">
        <v>17</v>
      </c>
      <c r="K2845" t="str">
        <f>"17231430"</f>
        <v>17231430</v>
      </c>
      <c r="L2845" t="str">
        <f>"17231430"</f>
        <v>17231430</v>
      </c>
      <c r="M2845" t="s">
        <v>75</v>
      </c>
      <c r="N2845" s="1">
        <v>42872.839583333334</v>
      </c>
      <c r="O2845" t="s">
        <v>19</v>
      </c>
    </row>
    <row r="2846" spans="1:15" x14ac:dyDescent="0.25">
      <c r="A2846" t="s">
        <v>2379</v>
      </c>
      <c r="B2846" t="s">
        <v>15</v>
      </c>
      <c r="C2846" t="s">
        <v>2135</v>
      </c>
      <c r="D2846" t="s">
        <v>17</v>
      </c>
      <c r="E2846" t="s">
        <v>18</v>
      </c>
      <c r="F2846" t="s">
        <v>19</v>
      </c>
      <c r="G2846" t="s">
        <v>20</v>
      </c>
      <c r="J2846" t="s">
        <v>17</v>
      </c>
      <c r="K2846" t="str">
        <f>"34231430"</f>
        <v>34231430</v>
      </c>
      <c r="L2846" t="str">
        <f>"34231430"</f>
        <v>34231430</v>
      </c>
      <c r="M2846" t="s">
        <v>75</v>
      </c>
      <c r="N2846" s="1">
        <v>42872.839583333334</v>
      </c>
      <c r="O2846" t="s">
        <v>19</v>
      </c>
    </row>
    <row r="2847" spans="1:15" x14ac:dyDescent="0.25">
      <c r="A2847" t="s">
        <v>2379</v>
      </c>
      <c r="B2847" t="s">
        <v>15</v>
      </c>
      <c r="C2847" t="s">
        <v>2135</v>
      </c>
      <c r="D2847" t="s">
        <v>17</v>
      </c>
      <c r="E2847" t="s">
        <v>18</v>
      </c>
      <c r="F2847" t="s">
        <v>19</v>
      </c>
      <c r="G2847" t="s">
        <v>20</v>
      </c>
      <c r="J2847" t="s">
        <v>17</v>
      </c>
      <c r="K2847" t="str">
        <f>"68601430"</f>
        <v>68601430</v>
      </c>
      <c r="L2847" t="str">
        <f>"68601430"</f>
        <v>68601430</v>
      </c>
      <c r="M2847" t="s">
        <v>75</v>
      </c>
      <c r="N2847" s="1">
        <v>42872.847222222219</v>
      </c>
      <c r="O2847" t="s">
        <v>19</v>
      </c>
    </row>
    <row r="2848" spans="1:15" x14ac:dyDescent="0.25">
      <c r="A2848" t="s">
        <v>2379</v>
      </c>
      <c r="B2848" t="s">
        <v>15</v>
      </c>
      <c r="C2848" t="s">
        <v>2135</v>
      </c>
      <c r="D2848" t="s">
        <v>17</v>
      </c>
      <c r="E2848" t="s">
        <v>18</v>
      </c>
      <c r="F2848" t="s">
        <v>19</v>
      </c>
      <c r="G2848" t="s">
        <v>20</v>
      </c>
      <c r="J2848" t="s">
        <v>17</v>
      </c>
      <c r="K2848" t="str">
        <f>"76601407"</f>
        <v>76601407</v>
      </c>
      <c r="L2848" t="str">
        <f>"76601407"</f>
        <v>76601407</v>
      </c>
      <c r="M2848" t="s">
        <v>75</v>
      </c>
      <c r="N2848" s="1">
        <v>42872.847222222219</v>
      </c>
      <c r="O2848" t="s">
        <v>19</v>
      </c>
    </row>
    <row r="2849" spans="1:15" x14ac:dyDescent="0.25">
      <c r="A2849" t="s">
        <v>2379</v>
      </c>
      <c r="B2849" t="s">
        <v>15</v>
      </c>
      <c r="C2849" t="s">
        <v>2135</v>
      </c>
      <c r="D2849" t="s">
        <v>17</v>
      </c>
      <c r="E2849" t="s">
        <v>18</v>
      </c>
      <c r="F2849" t="s">
        <v>19</v>
      </c>
      <c r="G2849" t="s">
        <v>20</v>
      </c>
      <c r="J2849" t="s">
        <v>17</v>
      </c>
      <c r="K2849" t="str">
        <f>"76601430"</f>
        <v>76601430</v>
      </c>
      <c r="L2849" t="str">
        <f>"76601430"</f>
        <v>76601430</v>
      </c>
      <c r="M2849" t="s">
        <v>75</v>
      </c>
      <c r="N2849" s="1">
        <v>42872.847222222219</v>
      </c>
      <c r="O2849" t="s">
        <v>19</v>
      </c>
    </row>
    <row r="2850" spans="1:15" x14ac:dyDescent="0.25">
      <c r="A2850" t="s">
        <v>2379</v>
      </c>
      <c r="B2850" t="s">
        <v>15</v>
      </c>
      <c r="C2850" t="s">
        <v>2135</v>
      </c>
      <c r="D2850" t="s">
        <v>17</v>
      </c>
      <c r="E2850" t="s">
        <v>18</v>
      </c>
      <c r="F2850" t="s">
        <v>19</v>
      </c>
      <c r="G2850" t="s">
        <v>20</v>
      </c>
      <c r="J2850" t="s">
        <v>17</v>
      </c>
      <c r="K2850" t="str">
        <f>"76231430"</f>
        <v>76231430</v>
      </c>
      <c r="L2850" t="str">
        <f>"76231430"</f>
        <v>76231430</v>
      </c>
      <c r="M2850" t="s">
        <v>75</v>
      </c>
      <c r="N2850" s="1">
        <v>42872.847222222219</v>
      </c>
      <c r="O2850" t="s">
        <v>19</v>
      </c>
    </row>
    <row r="2851" spans="1:15" x14ac:dyDescent="0.25">
      <c r="A2851" t="s">
        <v>2379</v>
      </c>
      <c r="B2851" t="s">
        <v>15</v>
      </c>
      <c r="C2851" t="s">
        <v>2135</v>
      </c>
      <c r="D2851" t="s">
        <v>17</v>
      </c>
      <c r="E2851" t="s">
        <v>18</v>
      </c>
      <c r="F2851" t="s">
        <v>19</v>
      </c>
      <c r="G2851" t="s">
        <v>20</v>
      </c>
      <c r="J2851" t="s">
        <v>17</v>
      </c>
      <c r="K2851" t="str">
        <f>"76231439"</f>
        <v>76231439</v>
      </c>
      <c r="L2851" t="str">
        <f>"76231439"</f>
        <v>76231439</v>
      </c>
      <c r="M2851" t="s">
        <v>75</v>
      </c>
      <c r="N2851" s="1">
        <v>42872.847222222219</v>
      </c>
      <c r="O2851" t="s">
        <v>19</v>
      </c>
    </row>
    <row r="2852" spans="1:15" x14ac:dyDescent="0.25">
      <c r="A2852" t="s">
        <v>2379</v>
      </c>
      <c r="B2852" t="s">
        <v>15</v>
      </c>
      <c r="C2852" t="s">
        <v>2135</v>
      </c>
      <c r="D2852" t="s">
        <v>17</v>
      </c>
      <c r="E2852" t="s">
        <v>18</v>
      </c>
      <c r="F2852" t="s">
        <v>19</v>
      </c>
      <c r="G2852" t="s">
        <v>20</v>
      </c>
      <c r="J2852" t="s">
        <v>17</v>
      </c>
      <c r="K2852" t="str">
        <f>"76251430"</f>
        <v>76251430</v>
      </c>
      <c r="L2852" t="str">
        <f>"76251430"</f>
        <v>76251430</v>
      </c>
      <c r="M2852" t="s">
        <v>75</v>
      </c>
      <c r="N2852" s="1">
        <v>42872.847222222219</v>
      </c>
      <c r="O2852" t="s">
        <v>19</v>
      </c>
    </row>
    <row r="2853" spans="1:15" x14ac:dyDescent="0.25">
      <c r="A2853" t="s">
        <v>2379</v>
      </c>
      <c r="B2853" t="s">
        <v>15</v>
      </c>
      <c r="C2853" t="s">
        <v>2135</v>
      </c>
      <c r="D2853" t="s">
        <v>17</v>
      </c>
      <c r="E2853" t="s">
        <v>18</v>
      </c>
      <c r="F2853" t="s">
        <v>19</v>
      </c>
      <c r="G2853" t="s">
        <v>20</v>
      </c>
      <c r="J2853" t="s">
        <v>17</v>
      </c>
      <c r="K2853" t="str">
        <f>"76721430"</f>
        <v>76721430</v>
      </c>
      <c r="L2853" t="str">
        <f>"76721430"</f>
        <v>76721430</v>
      </c>
      <c r="M2853" t="s">
        <v>75</v>
      </c>
      <c r="N2853" s="1">
        <v>42872.847222222219</v>
      </c>
      <c r="O2853" t="s">
        <v>19</v>
      </c>
    </row>
    <row r="2854" spans="1:15" x14ac:dyDescent="0.25">
      <c r="A2854" t="s">
        <v>2380</v>
      </c>
      <c r="B2854" t="s">
        <v>15</v>
      </c>
      <c r="C2854" t="s">
        <v>2135</v>
      </c>
      <c r="D2854" t="s">
        <v>17</v>
      </c>
      <c r="E2854" t="s">
        <v>18</v>
      </c>
      <c r="F2854" t="s">
        <v>19</v>
      </c>
      <c r="G2854" t="s">
        <v>20</v>
      </c>
      <c r="J2854" t="s">
        <v>17</v>
      </c>
      <c r="K2854" t="str">
        <f>"76631430"</f>
        <v>76631430</v>
      </c>
      <c r="L2854" t="str">
        <f>"76631430"</f>
        <v>76631430</v>
      </c>
      <c r="M2854" t="s">
        <v>75</v>
      </c>
      <c r="N2854" s="1">
        <v>42872.847222222219</v>
      </c>
      <c r="O2854" t="s">
        <v>19</v>
      </c>
    </row>
    <row r="2855" spans="1:15" x14ac:dyDescent="0.25">
      <c r="A2855" t="s">
        <v>2381</v>
      </c>
      <c r="B2855" t="s">
        <v>15</v>
      </c>
      <c r="C2855" t="s">
        <v>2135</v>
      </c>
      <c r="D2855" t="s">
        <v>17</v>
      </c>
      <c r="E2855" t="s">
        <v>18</v>
      </c>
      <c r="F2855" t="s">
        <v>19</v>
      </c>
      <c r="G2855" t="s">
        <v>20</v>
      </c>
      <c r="J2855" t="s">
        <v>17</v>
      </c>
      <c r="K2855" t="str">
        <f>"76231443"</f>
        <v>76231443</v>
      </c>
      <c r="L2855" t="str">
        <f>"76231443"</f>
        <v>76231443</v>
      </c>
      <c r="M2855" t="s">
        <v>75</v>
      </c>
      <c r="N2855" s="1">
        <v>42872.847222222219</v>
      </c>
      <c r="O2855" t="s">
        <v>19</v>
      </c>
    </row>
    <row r="2856" spans="1:15" x14ac:dyDescent="0.25">
      <c r="A2856" t="s">
        <v>2381</v>
      </c>
      <c r="B2856" t="s">
        <v>15</v>
      </c>
      <c r="C2856" t="s">
        <v>2135</v>
      </c>
      <c r="D2856" t="s">
        <v>17</v>
      </c>
      <c r="E2856" t="s">
        <v>18</v>
      </c>
      <c r="F2856" t="s">
        <v>19</v>
      </c>
      <c r="G2856" t="s">
        <v>20</v>
      </c>
      <c r="J2856" t="s">
        <v>17</v>
      </c>
      <c r="K2856" t="str">
        <f>"76601443"</f>
        <v>76601443</v>
      </c>
      <c r="L2856" t="str">
        <f>"76601443"</f>
        <v>76601443</v>
      </c>
      <c r="M2856" t="s">
        <v>75</v>
      </c>
      <c r="N2856" s="1">
        <v>42872.847222222219</v>
      </c>
      <c r="O2856" t="s">
        <v>19</v>
      </c>
    </row>
    <row r="2857" spans="1:15" x14ac:dyDescent="0.25">
      <c r="A2857" t="s">
        <v>2382</v>
      </c>
      <c r="B2857" t="s">
        <v>15</v>
      </c>
      <c r="C2857" t="s">
        <v>2135</v>
      </c>
      <c r="D2857" t="s">
        <v>17</v>
      </c>
      <c r="E2857" t="s">
        <v>18</v>
      </c>
      <c r="F2857" t="s">
        <v>19</v>
      </c>
      <c r="G2857" t="s">
        <v>20</v>
      </c>
      <c r="J2857" t="s">
        <v>17</v>
      </c>
      <c r="K2857" t="str">
        <f>"76631932"</f>
        <v>76631932</v>
      </c>
      <c r="L2857" t="str">
        <f>"76631932"</f>
        <v>76631932</v>
      </c>
      <c r="M2857" t="s">
        <v>75</v>
      </c>
      <c r="N2857" s="1">
        <v>42872.847222222219</v>
      </c>
      <c r="O2857" t="s">
        <v>19</v>
      </c>
    </row>
    <row r="2858" spans="1:15" x14ac:dyDescent="0.25">
      <c r="A2858" t="s">
        <v>2382</v>
      </c>
      <c r="B2858" t="s">
        <v>15</v>
      </c>
      <c r="C2858" t="s">
        <v>2135</v>
      </c>
      <c r="D2858" t="s">
        <v>17</v>
      </c>
      <c r="E2858" t="s">
        <v>18</v>
      </c>
      <c r="F2858" t="s">
        <v>19</v>
      </c>
      <c r="G2858" t="s">
        <v>20</v>
      </c>
      <c r="J2858" t="s">
        <v>17</v>
      </c>
      <c r="K2858" t="str">
        <f>"172314125"</f>
        <v>172314125</v>
      </c>
      <c r="L2858" t="str">
        <f>"172314125"</f>
        <v>172314125</v>
      </c>
      <c r="M2858" t="s">
        <v>75</v>
      </c>
      <c r="N2858" s="1">
        <v>42872.849305555559</v>
      </c>
      <c r="O2858" t="s">
        <v>19</v>
      </c>
    </row>
    <row r="2859" spans="1:15" x14ac:dyDescent="0.25">
      <c r="A2859" t="s">
        <v>2382</v>
      </c>
      <c r="B2859" t="s">
        <v>15</v>
      </c>
      <c r="C2859" t="s">
        <v>2135</v>
      </c>
      <c r="D2859" t="s">
        <v>17</v>
      </c>
      <c r="E2859" t="s">
        <v>18</v>
      </c>
      <c r="F2859" t="s">
        <v>19</v>
      </c>
      <c r="G2859" t="s">
        <v>20</v>
      </c>
      <c r="J2859" t="s">
        <v>17</v>
      </c>
      <c r="K2859" t="str">
        <f>"322314125"</f>
        <v>322314125</v>
      </c>
      <c r="L2859" t="str">
        <f>"322314125"</f>
        <v>322314125</v>
      </c>
      <c r="M2859" t="s">
        <v>75</v>
      </c>
      <c r="N2859" s="1">
        <v>42872.849305555559</v>
      </c>
      <c r="O2859" t="s">
        <v>19</v>
      </c>
    </row>
    <row r="2860" spans="1:15" x14ac:dyDescent="0.25">
      <c r="A2860" t="s">
        <v>2382</v>
      </c>
      <c r="B2860" t="s">
        <v>15</v>
      </c>
      <c r="C2860" t="s">
        <v>2135</v>
      </c>
      <c r="D2860" t="s">
        <v>17</v>
      </c>
      <c r="E2860" t="s">
        <v>18</v>
      </c>
      <c r="F2860" t="s">
        <v>19</v>
      </c>
      <c r="G2860" t="s">
        <v>20</v>
      </c>
      <c r="J2860" t="s">
        <v>17</v>
      </c>
      <c r="K2860" t="str">
        <f>"342314125"</f>
        <v>342314125</v>
      </c>
      <c r="L2860" t="str">
        <f>"342314125"</f>
        <v>342314125</v>
      </c>
      <c r="M2860" t="s">
        <v>75</v>
      </c>
      <c r="N2860" s="1">
        <v>42872.849305555559</v>
      </c>
      <c r="O2860" t="s">
        <v>19</v>
      </c>
    </row>
    <row r="2861" spans="1:15" x14ac:dyDescent="0.25">
      <c r="A2861" t="s">
        <v>2382</v>
      </c>
      <c r="B2861" t="s">
        <v>15</v>
      </c>
      <c r="C2861" t="s">
        <v>2135</v>
      </c>
      <c r="D2861" t="s">
        <v>17</v>
      </c>
      <c r="E2861" t="s">
        <v>18</v>
      </c>
      <c r="F2861" t="s">
        <v>19</v>
      </c>
      <c r="G2861" t="s">
        <v>20</v>
      </c>
      <c r="J2861" t="s">
        <v>17</v>
      </c>
      <c r="K2861" t="str">
        <f>"686014125"</f>
        <v>686014125</v>
      </c>
      <c r="L2861" t="str">
        <f>"686014125"</f>
        <v>686014125</v>
      </c>
      <c r="M2861" t="s">
        <v>75</v>
      </c>
      <c r="N2861" s="1">
        <v>42872.849305555559</v>
      </c>
      <c r="O2861" t="s">
        <v>19</v>
      </c>
    </row>
    <row r="2862" spans="1:15" x14ac:dyDescent="0.25">
      <c r="A2862" t="s">
        <v>2382</v>
      </c>
      <c r="B2862" t="s">
        <v>15</v>
      </c>
      <c r="C2862" t="s">
        <v>2135</v>
      </c>
      <c r="D2862" t="s">
        <v>17</v>
      </c>
      <c r="E2862" t="s">
        <v>18</v>
      </c>
      <c r="F2862" t="s">
        <v>19</v>
      </c>
      <c r="G2862" t="s">
        <v>20</v>
      </c>
      <c r="J2862" t="s">
        <v>17</v>
      </c>
      <c r="K2862" t="str">
        <f>"762314125"</f>
        <v>762314125</v>
      </c>
      <c r="L2862" t="str">
        <f>"762314125"</f>
        <v>762314125</v>
      </c>
      <c r="M2862" t="s">
        <v>75</v>
      </c>
      <c r="N2862" s="1">
        <v>42872.849305555559</v>
      </c>
      <c r="O2862" t="s">
        <v>19</v>
      </c>
    </row>
    <row r="2863" spans="1:15" x14ac:dyDescent="0.25">
      <c r="A2863" t="s">
        <v>2382</v>
      </c>
      <c r="B2863" t="s">
        <v>15</v>
      </c>
      <c r="C2863" t="s">
        <v>2135</v>
      </c>
      <c r="D2863" t="s">
        <v>17</v>
      </c>
      <c r="E2863" t="s">
        <v>18</v>
      </c>
      <c r="F2863" t="s">
        <v>19</v>
      </c>
      <c r="G2863" t="s">
        <v>20</v>
      </c>
      <c r="J2863" t="s">
        <v>17</v>
      </c>
      <c r="K2863" t="str">
        <f>"766014125"</f>
        <v>766014125</v>
      </c>
      <c r="L2863" t="str">
        <f>"766014125"</f>
        <v>766014125</v>
      </c>
      <c r="M2863" t="s">
        <v>75</v>
      </c>
      <c r="N2863" s="1">
        <v>42872.849305555559</v>
      </c>
      <c r="O2863" t="s">
        <v>19</v>
      </c>
    </row>
    <row r="2864" spans="1:15" x14ac:dyDescent="0.25">
      <c r="A2864" t="s">
        <v>2382</v>
      </c>
      <c r="B2864" t="s">
        <v>15</v>
      </c>
      <c r="C2864" t="s">
        <v>2135</v>
      </c>
      <c r="D2864" t="s">
        <v>17</v>
      </c>
      <c r="E2864" t="s">
        <v>18</v>
      </c>
      <c r="F2864" t="s">
        <v>19</v>
      </c>
      <c r="G2864" t="s">
        <v>20</v>
      </c>
      <c r="J2864" t="s">
        <v>17</v>
      </c>
      <c r="K2864" t="str">
        <f>"766314125"</f>
        <v>766314125</v>
      </c>
      <c r="L2864" t="str">
        <f>"766314125"</f>
        <v>766314125</v>
      </c>
      <c r="M2864" t="s">
        <v>75</v>
      </c>
      <c r="N2864" s="1">
        <v>42872.849305555559</v>
      </c>
      <c r="O2864" t="s">
        <v>19</v>
      </c>
    </row>
    <row r="2865" spans="1:15" x14ac:dyDescent="0.25">
      <c r="A2865" t="s">
        <v>2382</v>
      </c>
      <c r="B2865" t="s">
        <v>15</v>
      </c>
      <c r="C2865" t="s">
        <v>2135</v>
      </c>
      <c r="D2865" t="s">
        <v>17</v>
      </c>
      <c r="E2865" t="s">
        <v>18</v>
      </c>
      <c r="F2865" t="s">
        <v>19</v>
      </c>
      <c r="G2865" t="s">
        <v>20</v>
      </c>
      <c r="J2865" t="s">
        <v>17</v>
      </c>
      <c r="K2865" t="str">
        <f>"768514125"</f>
        <v>768514125</v>
      </c>
      <c r="L2865" t="str">
        <f>"768514125"</f>
        <v>768514125</v>
      </c>
      <c r="M2865" t="s">
        <v>75</v>
      </c>
      <c r="N2865" s="1">
        <v>42872.849305555559</v>
      </c>
      <c r="O2865" t="s">
        <v>19</v>
      </c>
    </row>
    <row r="2866" spans="1:15" x14ac:dyDescent="0.25">
      <c r="A2866" t="s">
        <v>2382</v>
      </c>
      <c r="B2866" t="s">
        <v>15</v>
      </c>
      <c r="C2866" t="s">
        <v>2135</v>
      </c>
      <c r="D2866" t="s">
        <v>17</v>
      </c>
      <c r="E2866" t="s">
        <v>18</v>
      </c>
      <c r="F2866" t="s">
        <v>19</v>
      </c>
      <c r="G2866" t="s">
        <v>20</v>
      </c>
      <c r="J2866" t="s">
        <v>17</v>
      </c>
      <c r="K2866" t="str">
        <f>"992314125"</f>
        <v>992314125</v>
      </c>
      <c r="L2866" t="str">
        <f>"992314125"</f>
        <v>992314125</v>
      </c>
      <c r="M2866" t="s">
        <v>75</v>
      </c>
      <c r="N2866" s="1">
        <v>43236.828472222223</v>
      </c>
      <c r="O2866" t="s">
        <v>19</v>
      </c>
    </row>
    <row r="2867" spans="1:15" x14ac:dyDescent="0.25">
      <c r="A2867" t="s">
        <v>2383</v>
      </c>
      <c r="B2867" t="s">
        <v>15</v>
      </c>
      <c r="C2867" t="s">
        <v>2135</v>
      </c>
      <c r="D2867" t="s">
        <v>17</v>
      </c>
      <c r="E2867" t="s">
        <v>18</v>
      </c>
      <c r="F2867" t="s">
        <v>19</v>
      </c>
      <c r="G2867" t="s">
        <v>20</v>
      </c>
      <c r="J2867" t="s">
        <v>17</v>
      </c>
      <c r="K2867" t="str">
        <f>"76601492"</f>
        <v>76601492</v>
      </c>
      <c r="L2867" t="str">
        <f>"76601492"</f>
        <v>76601492</v>
      </c>
      <c r="M2867" t="s">
        <v>75</v>
      </c>
      <c r="N2867" s="1">
        <v>42872.847222222219</v>
      </c>
      <c r="O2867" t="s">
        <v>19</v>
      </c>
    </row>
    <row r="2868" spans="1:15" x14ac:dyDescent="0.25">
      <c r="A2868" t="s">
        <v>2383</v>
      </c>
      <c r="B2868" t="s">
        <v>15</v>
      </c>
      <c r="C2868" t="s">
        <v>2135</v>
      </c>
      <c r="D2868" t="s">
        <v>17</v>
      </c>
      <c r="E2868" t="s">
        <v>18</v>
      </c>
      <c r="F2868" t="s">
        <v>19</v>
      </c>
      <c r="G2868" t="s">
        <v>20</v>
      </c>
      <c r="J2868" t="s">
        <v>17</v>
      </c>
      <c r="K2868" t="str">
        <f>"912314192"</f>
        <v>912314192</v>
      </c>
      <c r="L2868" t="str">
        <f>"912314192"</f>
        <v>912314192</v>
      </c>
      <c r="M2868" t="s">
        <v>75</v>
      </c>
      <c r="N2868" s="1">
        <v>42872.849305555559</v>
      </c>
      <c r="O2868" t="s">
        <v>19</v>
      </c>
    </row>
    <row r="2869" spans="1:15" x14ac:dyDescent="0.25">
      <c r="A2869" t="s">
        <v>2384</v>
      </c>
      <c r="B2869" t="s">
        <v>15</v>
      </c>
      <c r="C2869" t="s">
        <v>2135</v>
      </c>
      <c r="D2869" t="s">
        <v>17</v>
      </c>
      <c r="E2869" t="s">
        <v>18</v>
      </c>
      <c r="F2869" t="s">
        <v>19</v>
      </c>
      <c r="G2869" t="s">
        <v>20</v>
      </c>
      <c r="J2869" t="s">
        <v>17</v>
      </c>
      <c r="K2869" t="str">
        <f>"76231436"</f>
        <v>76231436</v>
      </c>
      <c r="L2869" t="str">
        <f>"76231436"</f>
        <v>76231436</v>
      </c>
      <c r="M2869" t="s">
        <v>75</v>
      </c>
      <c r="N2869" s="1">
        <v>42872.847222222219</v>
      </c>
      <c r="O2869" t="s">
        <v>19</v>
      </c>
    </row>
    <row r="2870" spans="1:15" x14ac:dyDescent="0.25">
      <c r="A2870" t="s">
        <v>2384</v>
      </c>
      <c r="B2870" t="s">
        <v>15</v>
      </c>
      <c r="C2870" t="s">
        <v>2135</v>
      </c>
      <c r="D2870" t="s">
        <v>17</v>
      </c>
      <c r="E2870" t="s">
        <v>18</v>
      </c>
      <c r="F2870" t="s">
        <v>19</v>
      </c>
      <c r="G2870" t="s">
        <v>20</v>
      </c>
      <c r="J2870" t="s">
        <v>17</v>
      </c>
      <c r="K2870" t="str">
        <f>"172314136"</f>
        <v>172314136</v>
      </c>
      <c r="L2870" t="str">
        <f>"172314136"</f>
        <v>172314136</v>
      </c>
      <c r="M2870" t="s">
        <v>75</v>
      </c>
      <c r="N2870" s="1">
        <v>42872.849305555559</v>
      </c>
      <c r="O2870" t="s">
        <v>19</v>
      </c>
    </row>
    <row r="2871" spans="1:15" x14ac:dyDescent="0.25">
      <c r="A2871" t="s">
        <v>2384</v>
      </c>
      <c r="B2871" t="s">
        <v>15</v>
      </c>
      <c r="C2871" t="s">
        <v>2135</v>
      </c>
      <c r="D2871" t="s">
        <v>17</v>
      </c>
      <c r="E2871" t="s">
        <v>18</v>
      </c>
      <c r="F2871" t="s">
        <v>19</v>
      </c>
      <c r="G2871" t="s">
        <v>20</v>
      </c>
      <c r="J2871" t="s">
        <v>17</v>
      </c>
      <c r="K2871" t="str">
        <f>"932314142"</f>
        <v>932314142</v>
      </c>
      <c r="L2871" t="str">
        <f>"932314142"</f>
        <v>932314142</v>
      </c>
      <c r="M2871" t="s">
        <v>75</v>
      </c>
      <c r="N2871" s="1">
        <v>42872.849305555559</v>
      </c>
      <c r="O2871" t="s">
        <v>19</v>
      </c>
    </row>
    <row r="2872" spans="1:15" x14ac:dyDescent="0.25">
      <c r="A2872" t="s">
        <v>2384</v>
      </c>
      <c r="B2872" t="s">
        <v>15</v>
      </c>
      <c r="C2872" t="s">
        <v>2135</v>
      </c>
      <c r="D2872" t="s">
        <v>17</v>
      </c>
      <c r="E2872" t="s">
        <v>18</v>
      </c>
      <c r="F2872" t="s">
        <v>19</v>
      </c>
      <c r="G2872" t="s">
        <v>20</v>
      </c>
      <c r="J2872" t="s">
        <v>17</v>
      </c>
      <c r="K2872" t="str">
        <f>"322314136"</f>
        <v>322314136</v>
      </c>
      <c r="L2872" t="str">
        <f>"322314136"</f>
        <v>322314136</v>
      </c>
      <c r="M2872" t="s">
        <v>75</v>
      </c>
      <c r="N2872" s="1">
        <v>42872.849305555559</v>
      </c>
      <c r="O2872" t="s">
        <v>19</v>
      </c>
    </row>
    <row r="2873" spans="1:15" x14ac:dyDescent="0.25">
      <c r="A2873" t="s">
        <v>2384</v>
      </c>
      <c r="B2873" t="s">
        <v>15</v>
      </c>
      <c r="C2873" t="s">
        <v>2135</v>
      </c>
      <c r="D2873" t="s">
        <v>17</v>
      </c>
      <c r="E2873" t="s">
        <v>18</v>
      </c>
      <c r="F2873" t="s">
        <v>19</v>
      </c>
      <c r="G2873" t="s">
        <v>20</v>
      </c>
      <c r="J2873" t="s">
        <v>17</v>
      </c>
      <c r="K2873" t="str">
        <f>"686014136"</f>
        <v>686014136</v>
      </c>
      <c r="L2873" t="str">
        <f>"686014136"</f>
        <v>686014136</v>
      </c>
      <c r="M2873" t="s">
        <v>75</v>
      </c>
      <c r="N2873" s="1">
        <v>42872.849305555559</v>
      </c>
      <c r="O2873" t="s">
        <v>19</v>
      </c>
    </row>
    <row r="2874" spans="1:15" x14ac:dyDescent="0.25">
      <c r="A2874" t="s">
        <v>2384</v>
      </c>
      <c r="B2874" t="s">
        <v>15</v>
      </c>
      <c r="C2874" t="s">
        <v>2135</v>
      </c>
      <c r="D2874" t="s">
        <v>17</v>
      </c>
      <c r="E2874" t="s">
        <v>18</v>
      </c>
      <c r="F2874" t="s">
        <v>19</v>
      </c>
      <c r="G2874" t="s">
        <v>20</v>
      </c>
      <c r="J2874" t="s">
        <v>17</v>
      </c>
      <c r="K2874" t="str">
        <f>"762314136"</f>
        <v>762314136</v>
      </c>
      <c r="L2874" t="str">
        <f>"762314136"</f>
        <v>762314136</v>
      </c>
      <c r="M2874" t="s">
        <v>75</v>
      </c>
      <c r="N2874" s="1">
        <v>42872.849305555559</v>
      </c>
      <c r="O2874" t="s">
        <v>19</v>
      </c>
    </row>
    <row r="2875" spans="1:15" x14ac:dyDescent="0.25">
      <c r="A2875" t="s">
        <v>2384</v>
      </c>
      <c r="B2875" t="s">
        <v>15</v>
      </c>
      <c r="C2875" t="s">
        <v>2135</v>
      </c>
      <c r="D2875" t="s">
        <v>17</v>
      </c>
      <c r="E2875" t="s">
        <v>18</v>
      </c>
      <c r="F2875" t="s">
        <v>19</v>
      </c>
      <c r="G2875" t="s">
        <v>20</v>
      </c>
      <c r="J2875" t="s">
        <v>17</v>
      </c>
      <c r="K2875" t="str">
        <f>"766014136"</f>
        <v>766014136</v>
      </c>
      <c r="L2875" t="str">
        <f>"766014136"</f>
        <v>766014136</v>
      </c>
      <c r="M2875" t="s">
        <v>75</v>
      </c>
      <c r="N2875" s="1">
        <v>42872.849305555559</v>
      </c>
      <c r="O2875" t="s">
        <v>19</v>
      </c>
    </row>
    <row r="2876" spans="1:15" x14ac:dyDescent="0.25">
      <c r="A2876" t="s">
        <v>2384</v>
      </c>
      <c r="B2876" t="s">
        <v>15</v>
      </c>
      <c r="C2876" t="s">
        <v>2135</v>
      </c>
      <c r="D2876" t="s">
        <v>17</v>
      </c>
      <c r="E2876" t="s">
        <v>18</v>
      </c>
      <c r="F2876" t="s">
        <v>19</v>
      </c>
      <c r="G2876" t="s">
        <v>20</v>
      </c>
      <c r="J2876" t="s">
        <v>17</v>
      </c>
      <c r="K2876" t="str">
        <f>"768514136"</f>
        <v>768514136</v>
      </c>
      <c r="L2876" t="str">
        <f>"768514136"</f>
        <v>768514136</v>
      </c>
      <c r="M2876" t="s">
        <v>75</v>
      </c>
      <c r="N2876" s="1">
        <v>42872.849305555559</v>
      </c>
      <c r="O2876" t="s">
        <v>19</v>
      </c>
    </row>
    <row r="2877" spans="1:15" x14ac:dyDescent="0.25">
      <c r="A2877" t="s">
        <v>2385</v>
      </c>
      <c r="B2877" t="s">
        <v>15</v>
      </c>
      <c r="C2877" t="s">
        <v>2135</v>
      </c>
      <c r="D2877" t="s">
        <v>17</v>
      </c>
      <c r="E2877" t="s">
        <v>18</v>
      </c>
      <c r="F2877" t="s">
        <v>19</v>
      </c>
      <c r="G2877" t="s">
        <v>20</v>
      </c>
      <c r="J2877" t="s">
        <v>17</v>
      </c>
      <c r="K2877" t="str">
        <f>"682314262"</f>
        <v>682314262</v>
      </c>
      <c r="L2877" t="str">
        <f>"682314262"</f>
        <v>682314262</v>
      </c>
      <c r="M2877" t="s">
        <v>84</v>
      </c>
      <c r="N2877" s="1">
        <v>43545.786111111112</v>
      </c>
      <c r="O2877" t="s">
        <v>19</v>
      </c>
    </row>
    <row r="2878" spans="1:15" x14ac:dyDescent="0.25">
      <c r="A2878" t="s">
        <v>2385</v>
      </c>
      <c r="B2878" t="s">
        <v>15</v>
      </c>
      <c r="C2878" t="s">
        <v>2135</v>
      </c>
      <c r="D2878" t="s">
        <v>17</v>
      </c>
      <c r="E2878" t="s">
        <v>18</v>
      </c>
      <c r="F2878" t="s">
        <v>19</v>
      </c>
      <c r="G2878" t="s">
        <v>20</v>
      </c>
      <c r="J2878" t="s">
        <v>17</v>
      </c>
      <c r="K2878" t="str">
        <f>"762314262"</f>
        <v>762314262</v>
      </c>
      <c r="L2878" t="str">
        <f>"762314262"</f>
        <v>762314262</v>
      </c>
      <c r="M2878" t="s">
        <v>21</v>
      </c>
      <c r="N2878" s="1">
        <v>43754.870833333334</v>
      </c>
      <c r="O2878" t="s">
        <v>19</v>
      </c>
    </row>
    <row r="2879" spans="1:15" x14ac:dyDescent="0.25">
      <c r="A2879" t="s">
        <v>2386</v>
      </c>
      <c r="B2879" t="s">
        <v>15</v>
      </c>
      <c r="C2879" t="s">
        <v>2135</v>
      </c>
      <c r="D2879" t="s">
        <v>17</v>
      </c>
      <c r="E2879" t="s">
        <v>18</v>
      </c>
      <c r="F2879" t="s">
        <v>19</v>
      </c>
      <c r="G2879" t="s">
        <v>20</v>
      </c>
      <c r="J2879" t="s">
        <v>17</v>
      </c>
      <c r="K2879" t="str">
        <f>"172314283"</f>
        <v>172314283</v>
      </c>
      <c r="L2879" t="str">
        <f>"172314283"</f>
        <v>172314283</v>
      </c>
      <c r="M2879" t="s">
        <v>75</v>
      </c>
      <c r="N2879" s="1">
        <v>42872.849305555559</v>
      </c>
      <c r="O2879" t="s">
        <v>19</v>
      </c>
    </row>
    <row r="2880" spans="1:15" x14ac:dyDescent="0.25">
      <c r="A2880" t="s">
        <v>2386</v>
      </c>
      <c r="B2880" t="s">
        <v>15</v>
      </c>
      <c r="C2880" t="s">
        <v>2135</v>
      </c>
      <c r="D2880" t="s">
        <v>17</v>
      </c>
      <c r="E2880" t="s">
        <v>18</v>
      </c>
      <c r="F2880" t="s">
        <v>19</v>
      </c>
      <c r="G2880" t="s">
        <v>20</v>
      </c>
      <c r="J2880" t="s">
        <v>17</v>
      </c>
      <c r="K2880" t="str">
        <f>"1000001013350"</f>
        <v>1000001013350</v>
      </c>
      <c r="L2880" t="str">
        <f>"762314283"</f>
        <v>762314283</v>
      </c>
      <c r="M2880" t="s">
        <v>84</v>
      </c>
      <c r="N2880" s="1">
        <v>42872.849305555559</v>
      </c>
      <c r="O2880" t="s">
        <v>19</v>
      </c>
    </row>
    <row r="2881" spans="1:15" x14ac:dyDescent="0.25">
      <c r="A2881" t="s">
        <v>2387</v>
      </c>
      <c r="B2881" t="s">
        <v>15</v>
      </c>
      <c r="C2881" t="s">
        <v>2135</v>
      </c>
      <c r="D2881" t="s">
        <v>17</v>
      </c>
      <c r="E2881" t="s">
        <v>18</v>
      </c>
      <c r="F2881" t="s">
        <v>19</v>
      </c>
      <c r="G2881" t="s">
        <v>20</v>
      </c>
      <c r="J2881" t="s">
        <v>17</v>
      </c>
      <c r="K2881" t="str">
        <f>"176014283"</f>
        <v>176014283</v>
      </c>
      <c r="L2881" t="str">
        <f>"176014283"</f>
        <v>176014283</v>
      </c>
      <c r="M2881" t="s">
        <v>75</v>
      </c>
      <c r="N2881" s="1">
        <v>42895.951388888891</v>
      </c>
      <c r="O2881" t="s">
        <v>19</v>
      </c>
    </row>
    <row r="2882" spans="1:15" x14ac:dyDescent="0.25">
      <c r="A2882" t="s">
        <v>2386</v>
      </c>
      <c r="B2882" t="s">
        <v>15</v>
      </c>
      <c r="C2882" t="s">
        <v>2135</v>
      </c>
      <c r="D2882" t="s">
        <v>17</v>
      </c>
      <c r="E2882" t="s">
        <v>18</v>
      </c>
      <c r="F2882" t="s">
        <v>19</v>
      </c>
      <c r="G2882" t="s">
        <v>20</v>
      </c>
      <c r="J2882" t="s">
        <v>17</v>
      </c>
      <c r="K2882" t="str">
        <f>"766014283"</f>
        <v>766014283</v>
      </c>
      <c r="L2882" t="str">
        <f>"766014283"</f>
        <v>766014283</v>
      </c>
      <c r="M2882" t="s">
        <v>75</v>
      </c>
      <c r="N2882" s="1">
        <v>43005.70208333333</v>
      </c>
      <c r="O2882" t="s">
        <v>19</v>
      </c>
    </row>
    <row r="2883" spans="1:15" x14ac:dyDescent="0.25">
      <c r="A2883" t="s">
        <v>2386</v>
      </c>
      <c r="B2883" t="s">
        <v>15</v>
      </c>
      <c r="C2883" t="s">
        <v>2135</v>
      </c>
      <c r="D2883" t="s">
        <v>17</v>
      </c>
      <c r="E2883" t="s">
        <v>18</v>
      </c>
      <c r="F2883" t="s">
        <v>19</v>
      </c>
      <c r="G2883" t="s">
        <v>20</v>
      </c>
      <c r="J2883" t="s">
        <v>17</v>
      </c>
      <c r="K2883" t="str">
        <f>"346014283"</f>
        <v>346014283</v>
      </c>
      <c r="L2883" t="str">
        <f>"346014283"</f>
        <v>346014283</v>
      </c>
      <c r="M2883" t="s">
        <v>75</v>
      </c>
      <c r="N2883" s="1">
        <v>43066.756944444445</v>
      </c>
      <c r="O2883" t="s">
        <v>19</v>
      </c>
    </row>
    <row r="2884" spans="1:15" x14ac:dyDescent="0.25">
      <c r="A2884" t="s">
        <v>2386</v>
      </c>
      <c r="B2884" t="s">
        <v>15</v>
      </c>
      <c r="C2884" t="s">
        <v>2135</v>
      </c>
      <c r="D2884" t="s">
        <v>17</v>
      </c>
      <c r="E2884" t="s">
        <v>18</v>
      </c>
      <c r="F2884" t="s">
        <v>19</v>
      </c>
      <c r="G2884" t="s">
        <v>20</v>
      </c>
      <c r="J2884" t="s">
        <v>17</v>
      </c>
      <c r="K2884" t="str">
        <f>"992314283"</f>
        <v>992314283</v>
      </c>
      <c r="L2884" t="str">
        <f>"992314283"</f>
        <v>992314283</v>
      </c>
      <c r="M2884" t="s">
        <v>75</v>
      </c>
      <c r="N2884" s="1">
        <v>43236.828472222223</v>
      </c>
      <c r="O2884" t="s">
        <v>19</v>
      </c>
    </row>
    <row r="2885" spans="1:15" x14ac:dyDescent="0.25">
      <c r="A2885" t="s">
        <v>2388</v>
      </c>
      <c r="B2885" t="s">
        <v>15</v>
      </c>
      <c r="C2885" t="s">
        <v>2135</v>
      </c>
      <c r="D2885" t="s">
        <v>17</v>
      </c>
      <c r="E2885" t="s">
        <v>18</v>
      </c>
      <c r="F2885" t="s">
        <v>19</v>
      </c>
      <c r="G2885" t="s">
        <v>20</v>
      </c>
      <c r="J2885" t="s">
        <v>17</v>
      </c>
      <c r="K2885" t="str">
        <f>"172314291"</f>
        <v>172314291</v>
      </c>
      <c r="L2885" t="str">
        <f>"172314291"</f>
        <v>172314291</v>
      </c>
      <c r="M2885" t="s">
        <v>75</v>
      </c>
      <c r="N2885" s="1">
        <v>42872.849305555559</v>
      </c>
      <c r="O2885" t="s">
        <v>19</v>
      </c>
    </row>
    <row r="2886" spans="1:15" x14ac:dyDescent="0.25">
      <c r="A2886" t="s">
        <v>2389</v>
      </c>
      <c r="B2886" t="s">
        <v>15</v>
      </c>
      <c r="C2886" t="s">
        <v>2135</v>
      </c>
      <c r="D2886" t="s">
        <v>17</v>
      </c>
      <c r="E2886" t="s">
        <v>18</v>
      </c>
      <c r="F2886" t="s">
        <v>19</v>
      </c>
      <c r="G2886" t="s">
        <v>20</v>
      </c>
      <c r="J2886" t="s">
        <v>17</v>
      </c>
      <c r="K2886" t="str">
        <f>"17601408"</f>
        <v>17601408</v>
      </c>
      <c r="L2886" t="str">
        <f>"17601408"</f>
        <v>17601408</v>
      </c>
      <c r="M2886" t="s">
        <v>75</v>
      </c>
      <c r="N2886" s="1">
        <v>42872.839583333334</v>
      </c>
      <c r="O2886" t="s">
        <v>19</v>
      </c>
    </row>
    <row r="2887" spans="1:15" x14ac:dyDescent="0.25">
      <c r="A2887" t="s">
        <v>2389</v>
      </c>
      <c r="B2887" t="s">
        <v>15</v>
      </c>
      <c r="C2887" t="s">
        <v>2135</v>
      </c>
      <c r="D2887" t="s">
        <v>17</v>
      </c>
      <c r="E2887" t="s">
        <v>18</v>
      </c>
      <c r="F2887" t="s">
        <v>19</v>
      </c>
      <c r="G2887" t="s">
        <v>20</v>
      </c>
      <c r="J2887" t="s">
        <v>17</v>
      </c>
      <c r="K2887" t="str">
        <f>"76601408"</f>
        <v>76601408</v>
      </c>
      <c r="L2887" t="str">
        <f>"76601408"</f>
        <v>76601408</v>
      </c>
      <c r="M2887" t="s">
        <v>75</v>
      </c>
      <c r="N2887" s="1">
        <v>42872.847222222219</v>
      </c>
      <c r="O2887" t="s">
        <v>19</v>
      </c>
    </row>
    <row r="2888" spans="1:15" x14ac:dyDescent="0.25">
      <c r="A2888" t="s">
        <v>2389</v>
      </c>
      <c r="B2888" t="s">
        <v>15</v>
      </c>
      <c r="C2888" t="s">
        <v>2135</v>
      </c>
      <c r="D2888" t="s">
        <v>17</v>
      </c>
      <c r="E2888" t="s">
        <v>18</v>
      </c>
      <c r="F2888" t="s">
        <v>19</v>
      </c>
      <c r="G2888" t="s">
        <v>20</v>
      </c>
      <c r="J2888" t="s">
        <v>17</v>
      </c>
      <c r="K2888" t="str">
        <f>"176014108"</f>
        <v>176014108</v>
      </c>
      <c r="L2888" t="str">
        <f>"176014108"</f>
        <v>176014108</v>
      </c>
      <c r="M2888" t="s">
        <v>75</v>
      </c>
      <c r="N2888" s="1">
        <v>42872.849305555559</v>
      </c>
      <c r="O2888" t="s">
        <v>19</v>
      </c>
    </row>
    <row r="2889" spans="1:15" x14ac:dyDescent="0.25">
      <c r="A2889" t="s">
        <v>2389</v>
      </c>
      <c r="B2889" t="s">
        <v>15</v>
      </c>
      <c r="C2889" t="s">
        <v>2135</v>
      </c>
      <c r="D2889" t="s">
        <v>17</v>
      </c>
      <c r="E2889" t="s">
        <v>18</v>
      </c>
      <c r="F2889" t="s">
        <v>19</v>
      </c>
      <c r="G2889" t="s">
        <v>20</v>
      </c>
      <c r="J2889" t="s">
        <v>17</v>
      </c>
      <c r="K2889" t="str">
        <f>"762314108"</f>
        <v>762314108</v>
      </c>
      <c r="L2889" t="str">
        <f>"762314108"</f>
        <v>762314108</v>
      </c>
      <c r="M2889" t="s">
        <v>75</v>
      </c>
      <c r="N2889" s="1">
        <v>42872.849305555559</v>
      </c>
      <c r="O2889" t="s">
        <v>19</v>
      </c>
    </row>
    <row r="2890" spans="1:15" x14ac:dyDescent="0.25">
      <c r="A2890" t="s">
        <v>2389</v>
      </c>
      <c r="B2890" t="s">
        <v>15</v>
      </c>
      <c r="C2890" t="s">
        <v>2135</v>
      </c>
      <c r="D2890" t="s">
        <v>17</v>
      </c>
      <c r="E2890" t="s">
        <v>18</v>
      </c>
      <c r="F2890" t="s">
        <v>19</v>
      </c>
      <c r="G2890" t="s">
        <v>20</v>
      </c>
      <c r="J2890" t="s">
        <v>17</v>
      </c>
      <c r="K2890" t="str">
        <f>"766014108"</f>
        <v>766014108</v>
      </c>
      <c r="L2890" t="str">
        <f>"766014108"</f>
        <v>766014108</v>
      </c>
      <c r="M2890" t="s">
        <v>75</v>
      </c>
      <c r="N2890" s="1">
        <v>42872.849305555559</v>
      </c>
      <c r="O2890" t="s">
        <v>19</v>
      </c>
    </row>
    <row r="2891" spans="1:15" x14ac:dyDescent="0.25">
      <c r="A2891" t="s">
        <v>2389</v>
      </c>
      <c r="B2891" t="s">
        <v>15</v>
      </c>
      <c r="C2891" t="s">
        <v>2135</v>
      </c>
      <c r="D2891" t="s">
        <v>17</v>
      </c>
      <c r="E2891" t="s">
        <v>18</v>
      </c>
      <c r="F2891" t="s">
        <v>19</v>
      </c>
      <c r="G2891" t="s">
        <v>20</v>
      </c>
      <c r="J2891" t="s">
        <v>17</v>
      </c>
      <c r="K2891" t="str">
        <f>"768514108"</f>
        <v>768514108</v>
      </c>
      <c r="L2891" t="str">
        <f>"768514108"</f>
        <v>768514108</v>
      </c>
      <c r="M2891" t="s">
        <v>75</v>
      </c>
      <c r="N2891" s="1">
        <v>42872.849305555559</v>
      </c>
      <c r="O2891" t="s">
        <v>19</v>
      </c>
    </row>
    <row r="2892" spans="1:15" x14ac:dyDescent="0.25">
      <c r="A2892" t="s">
        <v>2390</v>
      </c>
      <c r="B2892" t="s">
        <v>15</v>
      </c>
      <c r="C2892" t="s">
        <v>2135</v>
      </c>
      <c r="D2892" t="s">
        <v>17</v>
      </c>
      <c r="E2892" t="s">
        <v>18</v>
      </c>
      <c r="F2892" t="s">
        <v>19</v>
      </c>
      <c r="G2892" t="s">
        <v>20</v>
      </c>
      <c r="J2892" t="s">
        <v>17</v>
      </c>
      <c r="K2892" t="str">
        <f>"172314108"</f>
        <v>172314108</v>
      </c>
      <c r="L2892" t="str">
        <f>"172314108"</f>
        <v>172314108</v>
      </c>
      <c r="M2892" t="s">
        <v>75</v>
      </c>
      <c r="N2892" s="1">
        <v>42872.849305555559</v>
      </c>
      <c r="O2892" t="s">
        <v>19</v>
      </c>
    </row>
    <row r="2893" spans="1:15" x14ac:dyDescent="0.25">
      <c r="A2893" t="s">
        <v>2390</v>
      </c>
      <c r="B2893" t="s">
        <v>15</v>
      </c>
      <c r="C2893" t="s">
        <v>2135</v>
      </c>
      <c r="D2893" t="s">
        <v>17</v>
      </c>
      <c r="E2893" t="s">
        <v>18</v>
      </c>
      <c r="F2893" t="s">
        <v>19</v>
      </c>
      <c r="G2893" t="s">
        <v>20</v>
      </c>
      <c r="J2893" t="s">
        <v>17</v>
      </c>
      <c r="K2893" t="str">
        <f>"762314194"</f>
        <v>762314194</v>
      </c>
      <c r="L2893" t="str">
        <f>"762314194"</f>
        <v>762314194</v>
      </c>
      <c r="M2893" t="s">
        <v>75</v>
      </c>
      <c r="N2893" s="1">
        <v>42872.849305555559</v>
      </c>
      <c r="O2893" t="s">
        <v>19</v>
      </c>
    </row>
    <row r="2894" spans="1:15" x14ac:dyDescent="0.25">
      <c r="A2894" t="s">
        <v>2390</v>
      </c>
      <c r="B2894" t="s">
        <v>15</v>
      </c>
      <c r="C2894" t="s">
        <v>2135</v>
      </c>
      <c r="D2894" t="s">
        <v>17</v>
      </c>
      <c r="E2894" t="s">
        <v>18</v>
      </c>
      <c r="F2894" t="s">
        <v>19</v>
      </c>
      <c r="G2894" t="s">
        <v>20</v>
      </c>
      <c r="J2894" t="s">
        <v>17</v>
      </c>
      <c r="K2894" t="str">
        <f>"766014194"</f>
        <v>766014194</v>
      </c>
      <c r="L2894" t="str">
        <f>"766014194"</f>
        <v>766014194</v>
      </c>
      <c r="M2894" t="s">
        <v>75</v>
      </c>
      <c r="N2894" s="1">
        <v>42872.849305555559</v>
      </c>
      <c r="O2894" t="s">
        <v>19</v>
      </c>
    </row>
    <row r="2895" spans="1:15" x14ac:dyDescent="0.25">
      <c r="A2895" t="s">
        <v>2390</v>
      </c>
      <c r="B2895" t="s">
        <v>15</v>
      </c>
      <c r="C2895" t="s">
        <v>2135</v>
      </c>
      <c r="D2895" t="s">
        <v>17</v>
      </c>
      <c r="E2895" t="s">
        <v>18</v>
      </c>
      <c r="F2895" t="s">
        <v>19</v>
      </c>
      <c r="G2895" t="s">
        <v>20</v>
      </c>
      <c r="J2895" t="s">
        <v>17</v>
      </c>
      <c r="K2895" t="str">
        <f>"766314108"</f>
        <v>766314108</v>
      </c>
      <c r="L2895" t="str">
        <f>"766314108"</f>
        <v>766314108</v>
      </c>
      <c r="M2895" t="s">
        <v>75</v>
      </c>
      <c r="N2895" s="1">
        <v>42872.849305555559</v>
      </c>
      <c r="O2895" t="s">
        <v>19</v>
      </c>
    </row>
    <row r="2896" spans="1:15" x14ac:dyDescent="0.25">
      <c r="A2896" t="s">
        <v>2391</v>
      </c>
      <c r="B2896" t="s">
        <v>15</v>
      </c>
      <c r="C2896" t="s">
        <v>2135</v>
      </c>
      <c r="D2896" t="s">
        <v>17</v>
      </c>
      <c r="E2896" t="s">
        <v>18</v>
      </c>
      <c r="F2896" t="s">
        <v>19</v>
      </c>
      <c r="G2896" t="s">
        <v>20</v>
      </c>
      <c r="J2896" t="s">
        <v>17</v>
      </c>
      <c r="K2896" t="str">
        <f>"766014255"</f>
        <v>766014255</v>
      </c>
      <c r="L2896" t="str">
        <f>"766014255"</f>
        <v>766014255</v>
      </c>
      <c r="M2896" t="s">
        <v>84</v>
      </c>
      <c r="N2896" s="1">
        <v>43335.657638888886</v>
      </c>
      <c r="O2896" t="s">
        <v>19</v>
      </c>
    </row>
    <row r="2897" spans="1:15" x14ac:dyDescent="0.25">
      <c r="A2897" t="s">
        <v>2391</v>
      </c>
      <c r="B2897" t="s">
        <v>15</v>
      </c>
      <c r="C2897" t="s">
        <v>2135</v>
      </c>
      <c r="D2897" t="s">
        <v>17</v>
      </c>
      <c r="E2897" t="s">
        <v>18</v>
      </c>
      <c r="F2897" t="s">
        <v>19</v>
      </c>
      <c r="G2897" t="s">
        <v>20</v>
      </c>
      <c r="J2897" t="s">
        <v>17</v>
      </c>
      <c r="K2897" t="str">
        <f>"762314255"</f>
        <v>762314255</v>
      </c>
      <c r="L2897" t="str">
        <f>"762314255"</f>
        <v>762314255</v>
      </c>
      <c r="M2897" t="s">
        <v>84</v>
      </c>
      <c r="N2897" s="1">
        <v>43350.922222222223</v>
      </c>
      <c r="O2897" t="s">
        <v>19</v>
      </c>
    </row>
    <row r="2898" spans="1:15" x14ac:dyDescent="0.25">
      <c r="A2898" t="s">
        <v>2391</v>
      </c>
      <c r="B2898" t="s">
        <v>15</v>
      </c>
      <c r="C2898" t="s">
        <v>2135</v>
      </c>
      <c r="D2898" t="s">
        <v>17</v>
      </c>
      <c r="E2898" t="s">
        <v>18</v>
      </c>
      <c r="F2898" t="s">
        <v>19</v>
      </c>
      <c r="G2898" t="s">
        <v>20</v>
      </c>
      <c r="J2898" t="s">
        <v>17</v>
      </c>
      <c r="K2898" t="str">
        <f>"322314255"</f>
        <v>322314255</v>
      </c>
      <c r="L2898" t="str">
        <f>"322314255"</f>
        <v>322314255</v>
      </c>
      <c r="M2898" t="s">
        <v>84</v>
      </c>
      <c r="N2898" s="1">
        <v>43502.777777777781</v>
      </c>
      <c r="O2898" t="s">
        <v>19</v>
      </c>
    </row>
    <row r="2899" spans="1:15" x14ac:dyDescent="0.25">
      <c r="A2899" t="s">
        <v>2391</v>
      </c>
      <c r="B2899" t="s">
        <v>15</v>
      </c>
      <c r="C2899" t="s">
        <v>2135</v>
      </c>
      <c r="D2899" t="s">
        <v>17</v>
      </c>
      <c r="E2899" t="s">
        <v>18</v>
      </c>
      <c r="F2899" t="s">
        <v>19</v>
      </c>
      <c r="G2899" t="s">
        <v>20</v>
      </c>
      <c r="J2899" t="s">
        <v>17</v>
      </c>
      <c r="K2899" t="str">
        <f>"672314255"</f>
        <v>672314255</v>
      </c>
      <c r="L2899" t="str">
        <f>"672314255"</f>
        <v>672314255</v>
      </c>
      <c r="M2899" t="s">
        <v>84</v>
      </c>
      <c r="N2899" s="1">
        <v>43546.949305555558</v>
      </c>
      <c r="O2899" t="s">
        <v>19</v>
      </c>
    </row>
    <row r="2900" spans="1:15" x14ac:dyDescent="0.25">
      <c r="A2900" t="s">
        <v>2392</v>
      </c>
      <c r="B2900" t="s">
        <v>15</v>
      </c>
      <c r="C2900" t="s">
        <v>2135</v>
      </c>
      <c r="D2900" t="s">
        <v>17</v>
      </c>
      <c r="E2900" t="s">
        <v>18</v>
      </c>
      <c r="F2900" t="s">
        <v>19</v>
      </c>
      <c r="G2900" t="s">
        <v>20</v>
      </c>
      <c r="J2900" t="s">
        <v>17</v>
      </c>
      <c r="K2900" t="str">
        <f>"326014263"</f>
        <v>326014263</v>
      </c>
      <c r="L2900" t="str">
        <f>"326014263"</f>
        <v>326014263</v>
      </c>
      <c r="M2900" t="s">
        <v>84</v>
      </c>
      <c r="N2900" s="1">
        <v>43502.779166666667</v>
      </c>
      <c r="O2900" t="s">
        <v>19</v>
      </c>
    </row>
    <row r="2901" spans="1:15" x14ac:dyDescent="0.25">
      <c r="A2901" t="s">
        <v>2392</v>
      </c>
      <c r="B2901" t="s">
        <v>15</v>
      </c>
      <c r="C2901" t="s">
        <v>2135</v>
      </c>
      <c r="D2901" t="s">
        <v>17</v>
      </c>
      <c r="E2901" t="s">
        <v>18</v>
      </c>
      <c r="F2901" t="s">
        <v>19</v>
      </c>
      <c r="G2901" t="s">
        <v>20</v>
      </c>
      <c r="J2901" t="s">
        <v>17</v>
      </c>
      <c r="K2901" t="str">
        <f>"322314263"</f>
        <v>322314263</v>
      </c>
      <c r="L2901" t="str">
        <f>"322314263"</f>
        <v>322314263</v>
      </c>
      <c r="M2901" t="s">
        <v>84</v>
      </c>
      <c r="N2901" s="1">
        <v>43502.782638888886</v>
      </c>
      <c r="O2901" t="s">
        <v>19</v>
      </c>
    </row>
    <row r="2902" spans="1:15" x14ac:dyDescent="0.25">
      <c r="A2902" t="s">
        <v>2392</v>
      </c>
      <c r="B2902" t="s">
        <v>15</v>
      </c>
      <c r="C2902" t="s">
        <v>2135</v>
      </c>
      <c r="D2902" t="s">
        <v>17</v>
      </c>
      <c r="E2902" t="s">
        <v>18</v>
      </c>
      <c r="F2902" t="s">
        <v>19</v>
      </c>
      <c r="G2902" t="s">
        <v>20</v>
      </c>
      <c r="J2902" t="s">
        <v>17</v>
      </c>
      <c r="K2902" t="str">
        <f>"672314263"</f>
        <v>672314263</v>
      </c>
      <c r="L2902" t="str">
        <f>"672314263"</f>
        <v>672314263</v>
      </c>
      <c r="M2902" t="s">
        <v>84</v>
      </c>
      <c r="N2902" s="1">
        <v>43546.951388888891</v>
      </c>
      <c r="O2902" t="s">
        <v>19</v>
      </c>
    </row>
    <row r="2903" spans="1:15" x14ac:dyDescent="0.25">
      <c r="A2903" t="s">
        <v>2393</v>
      </c>
      <c r="B2903" t="s">
        <v>15</v>
      </c>
      <c r="C2903" t="s">
        <v>2135</v>
      </c>
      <c r="D2903" t="s">
        <v>17</v>
      </c>
      <c r="E2903" t="s">
        <v>18</v>
      </c>
      <c r="F2903" t="s">
        <v>19</v>
      </c>
      <c r="G2903" t="s">
        <v>20</v>
      </c>
      <c r="J2903" t="s">
        <v>17</v>
      </c>
      <c r="K2903" t="str">
        <f>"32231445"</f>
        <v>32231445</v>
      </c>
      <c r="L2903" t="str">
        <f>"32231445"</f>
        <v>32231445</v>
      </c>
      <c r="M2903" t="s">
        <v>75</v>
      </c>
      <c r="N2903" s="1">
        <v>42872.839583333334</v>
      </c>
      <c r="O2903" t="s">
        <v>19</v>
      </c>
    </row>
    <row r="2904" spans="1:15" x14ac:dyDescent="0.25">
      <c r="A2904" t="s">
        <v>2393</v>
      </c>
      <c r="B2904" t="s">
        <v>15</v>
      </c>
      <c r="C2904" t="s">
        <v>2135</v>
      </c>
      <c r="D2904" t="s">
        <v>17</v>
      </c>
      <c r="E2904" t="s">
        <v>18</v>
      </c>
      <c r="F2904" t="s">
        <v>19</v>
      </c>
      <c r="G2904" t="s">
        <v>20</v>
      </c>
      <c r="J2904" t="s">
        <v>17</v>
      </c>
      <c r="K2904" t="str">
        <f>"34231445"</f>
        <v>34231445</v>
      </c>
      <c r="L2904" t="str">
        <f>"34231445"</f>
        <v>34231445</v>
      </c>
      <c r="M2904" t="s">
        <v>75</v>
      </c>
      <c r="N2904" s="1">
        <v>42872.839583333334</v>
      </c>
      <c r="O2904" t="s">
        <v>19</v>
      </c>
    </row>
    <row r="2905" spans="1:15" x14ac:dyDescent="0.25">
      <c r="A2905" t="s">
        <v>2393</v>
      </c>
      <c r="B2905" t="s">
        <v>15</v>
      </c>
      <c r="C2905" t="s">
        <v>2135</v>
      </c>
      <c r="D2905" t="s">
        <v>17</v>
      </c>
      <c r="E2905" t="s">
        <v>18</v>
      </c>
      <c r="F2905" t="s">
        <v>19</v>
      </c>
      <c r="G2905" t="s">
        <v>20</v>
      </c>
      <c r="J2905" t="s">
        <v>17</v>
      </c>
      <c r="K2905" t="str">
        <f>"68601445"</f>
        <v>68601445</v>
      </c>
      <c r="L2905" t="str">
        <f>"68601445"</f>
        <v>68601445</v>
      </c>
      <c r="M2905" t="s">
        <v>75</v>
      </c>
      <c r="N2905" s="1">
        <v>42872.847222222219</v>
      </c>
      <c r="O2905" t="s">
        <v>19</v>
      </c>
    </row>
    <row r="2906" spans="1:15" x14ac:dyDescent="0.25">
      <c r="A2906" t="s">
        <v>2393</v>
      </c>
      <c r="B2906" t="s">
        <v>15</v>
      </c>
      <c r="C2906" t="s">
        <v>2135</v>
      </c>
      <c r="D2906" t="s">
        <v>17</v>
      </c>
      <c r="E2906" t="s">
        <v>18</v>
      </c>
      <c r="F2906" t="s">
        <v>19</v>
      </c>
      <c r="G2906" t="s">
        <v>20</v>
      </c>
      <c r="J2906" t="s">
        <v>17</v>
      </c>
      <c r="K2906" t="str">
        <f>"76231445"</f>
        <v>76231445</v>
      </c>
      <c r="L2906" t="str">
        <f>"76231445"</f>
        <v>76231445</v>
      </c>
      <c r="M2906" t="s">
        <v>75</v>
      </c>
      <c r="N2906" s="1">
        <v>42872.847222222219</v>
      </c>
      <c r="O2906" t="s">
        <v>19</v>
      </c>
    </row>
    <row r="2907" spans="1:15" x14ac:dyDescent="0.25">
      <c r="A2907" t="s">
        <v>2393</v>
      </c>
      <c r="B2907" t="s">
        <v>15</v>
      </c>
      <c r="C2907" t="s">
        <v>2135</v>
      </c>
      <c r="D2907" t="s">
        <v>17</v>
      </c>
      <c r="E2907" t="s">
        <v>18</v>
      </c>
      <c r="F2907" t="s">
        <v>19</v>
      </c>
      <c r="G2907" t="s">
        <v>20</v>
      </c>
      <c r="J2907" t="s">
        <v>17</v>
      </c>
      <c r="K2907" t="str">
        <f>"76551445"</f>
        <v>76551445</v>
      </c>
      <c r="L2907" t="str">
        <f>"76551445"</f>
        <v>76551445</v>
      </c>
      <c r="M2907" t="s">
        <v>75</v>
      </c>
      <c r="N2907" s="1">
        <v>42872.847222222219</v>
      </c>
      <c r="O2907" t="s">
        <v>19</v>
      </c>
    </row>
    <row r="2908" spans="1:15" x14ac:dyDescent="0.25">
      <c r="A2908" t="s">
        <v>2393</v>
      </c>
      <c r="B2908" t="s">
        <v>15</v>
      </c>
      <c r="C2908" t="s">
        <v>2135</v>
      </c>
      <c r="D2908" t="s">
        <v>17</v>
      </c>
      <c r="E2908" t="s">
        <v>18</v>
      </c>
      <c r="F2908" t="s">
        <v>19</v>
      </c>
      <c r="G2908" t="s">
        <v>20</v>
      </c>
      <c r="J2908" t="s">
        <v>17</v>
      </c>
      <c r="K2908" t="str">
        <f>"76601445"</f>
        <v>76601445</v>
      </c>
      <c r="L2908" t="str">
        <f>"76601445"</f>
        <v>76601445</v>
      </c>
      <c r="M2908" t="s">
        <v>75</v>
      </c>
      <c r="N2908" s="1">
        <v>42872.847222222219</v>
      </c>
      <c r="O2908" t="s">
        <v>19</v>
      </c>
    </row>
    <row r="2909" spans="1:15" x14ac:dyDescent="0.25">
      <c r="A2909" t="s">
        <v>2393</v>
      </c>
      <c r="B2909" t="s">
        <v>15</v>
      </c>
      <c r="C2909" t="s">
        <v>2135</v>
      </c>
      <c r="D2909" t="s">
        <v>17</v>
      </c>
      <c r="E2909" t="s">
        <v>18</v>
      </c>
      <c r="F2909" t="s">
        <v>19</v>
      </c>
      <c r="G2909" t="s">
        <v>20</v>
      </c>
      <c r="J2909" t="s">
        <v>17</v>
      </c>
      <c r="K2909" t="str">
        <f>"76631445"</f>
        <v>76631445</v>
      </c>
      <c r="L2909" t="str">
        <f>"76631445"</f>
        <v>76631445</v>
      </c>
      <c r="M2909" t="s">
        <v>75</v>
      </c>
      <c r="N2909" s="1">
        <v>42872.847222222219</v>
      </c>
      <c r="O2909" t="s">
        <v>19</v>
      </c>
    </row>
    <row r="2910" spans="1:15" x14ac:dyDescent="0.25">
      <c r="A2910" t="s">
        <v>2393</v>
      </c>
      <c r="B2910" t="s">
        <v>15</v>
      </c>
      <c r="C2910" t="s">
        <v>2135</v>
      </c>
      <c r="D2910" t="s">
        <v>17</v>
      </c>
      <c r="E2910" t="s">
        <v>18</v>
      </c>
      <c r="F2910" t="s">
        <v>19</v>
      </c>
      <c r="G2910" t="s">
        <v>20</v>
      </c>
      <c r="J2910" t="s">
        <v>17</v>
      </c>
      <c r="K2910" t="str">
        <f>"76851445"</f>
        <v>76851445</v>
      </c>
      <c r="L2910" t="str">
        <f>"76851445"</f>
        <v>76851445</v>
      </c>
      <c r="M2910" t="s">
        <v>75</v>
      </c>
      <c r="N2910" s="1">
        <v>42872.847222222219</v>
      </c>
      <c r="O2910" t="s">
        <v>19</v>
      </c>
    </row>
    <row r="2911" spans="1:15" x14ac:dyDescent="0.25">
      <c r="A2911" t="s">
        <v>2394</v>
      </c>
      <c r="B2911" t="s">
        <v>15</v>
      </c>
      <c r="C2911" t="s">
        <v>2135</v>
      </c>
      <c r="D2911" t="s">
        <v>17</v>
      </c>
      <c r="E2911" t="s">
        <v>18</v>
      </c>
      <c r="F2911" t="s">
        <v>19</v>
      </c>
      <c r="G2911" t="s">
        <v>20</v>
      </c>
      <c r="J2911" t="s">
        <v>17</v>
      </c>
      <c r="K2911" t="str">
        <f>"172314270"</f>
        <v>172314270</v>
      </c>
      <c r="L2911" t="str">
        <f>"172314270"</f>
        <v>172314270</v>
      </c>
      <c r="M2911" t="s">
        <v>75</v>
      </c>
      <c r="N2911" s="1">
        <v>42872.849305555559</v>
      </c>
      <c r="O2911" t="s">
        <v>19</v>
      </c>
    </row>
    <row r="2912" spans="1:15" x14ac:dyDescent="0.25">
      <c r="A2912" t="s">
        <v>2394</v>
      </c>
      <c r="B2912" t="s">
        <v>15</v>
      </c>
      <c r="C2912" t="s">
        <v>2135</v>
      </c>
      <c r="D2912" t="s">
        <v>17</v>
      </c>
      <c r="E2912" t="s">
        <v>18</v>
      </c>
      <c r="F2912" t="s">
        <v>19</v>
      </c>
      <c r="G2912" t="s">
        <v>20</v>
      </c>
      <c r="J2912" t="s">
        <v>17</v>
      </c>
      <c r="K2912" t="str">
        <f>"766014270"</f>
        <v>766014270</v>
      </c>
      <c r="L2912" t="str">
        <f>"766014270"</f>
        <v>766014270</v>
      </c>
      <c r="M2912" t="s">
        <v>75</v>
      </c>
      <c r="N2912" s="1">
        <v>42872.849305555559</v>
      </c>
      <c r="O2912" t="s">
        <v>19</v>
      </c>
    </row>
    <row r="2913" spans="1:15" x14ac:dyDescent="0.25">
      <c r="A2913" t="s">
        <v>2394</v>
      </c>
      <c r="B2913" t="s">
        <v>15</v>
      </c>
      <c r="C2913" t="s">
        <v>2135</v>
      </c>
      <c r="D2913" t="s">
        <v>17</v>
      </c>
      <c r="E2913" t="s">
        <v>18</v>
      </c>
      <c r="F2913" t="s">
        <v>19</v>
      </c>
      <c r="G2913" t="s">
        <v>20</v>
      </c>
      <c r="J2913" t="s">
        <v>17</v>
      </c>
      <c r="K2913" t="str">
        <f>"176014270"</f>
        <v>176014270</v>
      </c>
      <c r="L2913" t="str">
        <f>"176014270"</f>
        <v>176014270</v>
      </c>
      <c r="M2913" t="s">
        <v>75</v>
      </c>
      <c r="N2913" s="1">
        <v>42872.849305555559</v>
      </c>
      <c r="O2913" t="s">
        <v>19</v>
      </c>
    </row>
    <row r="2914" spans="1:15" x14ac:dyDescent="0.25">
      <c r="A2914" t="s">
        <v>2394</v>
      </c>
      <c r="B2914" t="s">
        <v>15</v>
      </c>
      <c r="C2914" t="s">
        <v>2135</v>
      </c>
      <c r="D2914" t="s">
        <v>17</v>
      </c>
      <c r="E2914" t="s">
        <v>18</v>
      </c>
      <c r="F2914" t="s">
        <v>19</v>
      </c>
      <c r="G2914" t="s">
        <v>20</v>
      </c>
      <c r="J2914" t="s">
        <v>17</v>
      </c>
      <c r="K2914" t="str">
        <f>"762314270"</f>
        <v>762314270</v>
      </c>
      <c r="L2914" t="str">
        <f>"762314270"</f>
        <v>762314270</v>
      </c>
      <c r="M2914" t="s">
        <v>75</v>
      </c>
      <c r="N2914" s="1">
        <v>42872.849305555559</v>
      </c>
      <c r="O2914" t="s">
        <v>19</v>
      </c>
    </row>
    <row r="2915" spans="1:15" x14ac:dyDescent="0.25">
      <c r="A2915" t="s">
        <v>2394</v>
      </c>
      <c r="B2915" t="s">
        <v>15</v>
      </c>
      <c r="C2915" t="s">
        <v>2135</v>
      </c>
      <c r="D2915" t="s">
        <v>17</v>
      </c>
      <c r="E2915" t="s">
        <v>18</v>
      </c>
      <c r="F2915" t="s">
        <v>19</v>
      </c>
      <c r="G2915" t="s">
        <v>20</v>
      </c>
      <c r="J2915" t="s">
        <v>17</v>
      </c>
      <c r="K2915" t="str">
        <f>"766314270"</f>
        <v>766314270</v>
      </c>
      <c r="L2915" t="str">
        <f>"766314270"</f>
        <v>766314270</v>
      </c>
      <c r="M2915" t="s">
        <v>75</v>
      </c>
      <c r="N2915" s="1">
        <v>42872.849305555559</v>
      </c>
      <c r="O2915" t="s">
        <v>19</v>
      </c>
    </row>
    <row r="2916" spans="1:15" x14ac:dyDescent="0.25">
      <c r="A2916" t="s">
        <v>2394</v>
      </c>
      <c r="B2916" t="s">
        <v>15</v>
      </c>
      <c r="C2916" t="s">
        <v>2135</v>
      </c>
      <c r="D2916" t="s">
        <v>17</v>
      </c>
      <c r="E2916" t="s">
        <v>18</v>
      </c>
      <c r="F2916" t="s">
        <v>19</v>
      </c>
      <c r="G2916" t="s">
        <v>20</v>
      </c>
      <c r="J2916" t="s">
        <v>17</v>
      </c>
      <c r="K2916" t="str">
        <f>"176314270"</f>
        <v>176314270</v>
      </c>
      <c r="L2916" t="str">
        <f>"176314270"</f>
        <v>176314270</v>
      </c>
      <c r="M2916" t="s">
        <v>75</v>
      </c>
      <c r="N2916" s="1">
        <v>43113.716666666667</v>
      </c>
      <c r="O2916" t="s">
        <v>19</v>
      </c>
    </row>
    <row r="2917" spans="1:15" x14ac:dyDescent="0.25">
      <c r="A2917" t="s">
        <v>2395</v>
      </c>
      <c r="B2917" t="s">
        <v>15</v>
      </c>
      <c r="C2917" t="s">
        <v>2135</v>
      </c>
      <c r="D2917" t="s">
        <v>17</v>
      </c>
      <c r="E2917" t="s">
        <v>18</v>
      </c>
      <c r="F2917" t="s">
        <v>19</v>
      </c>
      <c r="G2917" t="s">
        <v>20</v>
      </c>
      <c r="J2917" t="s">
        <v>17</v>
      </c>
      <c r="K2917" t="str">
        <f>"762314128"</f>
        <v>762314128</v>
      </c>
      <c r="L2917" t="str">
        <f>"762314128"</f>
        <v>762314128</v>
      </c>
      <c r="M2917" t="s">
        <v>75</v>
      </c>
      <c r="N2917" s="1">
        <v>42986.732638888891</v>
      </c>
      <c r="O2917" t="s">
        <v>19</v>
      </c>
    </row>
    <row r="2918" spans="1:15" x14ac:dyDescent="0.25">
      <c r="A2918" t="s">
        <v>2395</v>
      </c>
      <c r="B2918" t="s">
        <v>15</v>
      </c>
      <c r="C2918" t="s">
        <v>2135</v>
      </c>
      <c r="D2918" t="s">
        <v>17</v>
      </c>
      <c r="E2918" t="s">
        <v>18</v>
      </c>
      <c r="F2918" t="s">
        <v>19</v>
      </c>
      <c r="G2918" t="s">
        <v>20</v>
      </c>
      <c r="J2918" t="s">
        <v>17</v>
      </c>
      <c r="K2918" t="str">
        <f>"766314128"</f>
        <v>766314128</v>
      </c>
      <c r="L2918" t="str">
        <f>"766314128"</f>
        <v>766314128</v>
      </c>
      <c r="M2918" t="s">
        <v>75</v>
      </c>
      <c r="N2918" s="1">
        <v>43005.696527777778</v>
      </c>
      <c r="O2918" t="s">
        <v>19</v>
      </c>
    </row>
    <row r="2919" spans="1:15" x14ac:dyDescent="0.25">
      <c r="A2919" t="s">
        <v>2396</v>
      </c>
      <c r="B2919" t="s">
        <v>15</v>
      </c>
      <c r="C2919" t="s">
        <v>2135</v>
      </c>
      <c r="D2919" t="s">
        <v>17</v>
      </c>
      <c r="E2919" t="s">
        <v>18</v>
      </c>
      <c r="F2919" t="s">
        <v>19</v>
      </c>
      <c r="G2919" t="s">
        <v>20</v>
      </c>
      <c r="J2919" t="s">
        <v>17</v>
      </c>
      <c r="K2919" t="str">
        <f>"172314126"</f>
        <v>172314126</v>
      </c>
      <c r="L2919" t="str">
        <f>"172314126"</f>
        <v>172314126</v>
      </c>
      <c r="M2919" t="s">
        <v>75</v>
      </c>
      <c r="N2919" s="1">
        <v>42872.849305555559</v>
      </c>
      <c r="O2919" t="s">
        <v>19</v>
      </c>
    </row>
    <row r="2920" spans="1:15" x14ac:dyDescent="0.25">
      <c r="A2920" t="s">
        <v>2396</v>
      </c>
      <c r="B2920" t="s">
        <v>15</v>
      </c>
      <c r="C2920" t="s">
        <v>2135</v>
      </c>
      <c r="D2920" t="s">
        <v>17</v>
      </c>
      <c r="E2920" t="s">
        <v>18</v>
      </c>
      <c r="F2920" t="s">
        <v>19</v>
      </c>
      <c r="G2920" t="s">
        <v>20</v>
      </c>
      <c r="J2920" t="s">
        <v>17</v>
      </c>
      <c r="K2920" t="str">
        <f>"762314126"</f>
        <v>762314126</v>
      </c>
      <c r="L2920" t="str">
        <f>"762314126"</f>
        <v>762314126</v>
      </c>
      <c r="M2920" t="s">
        <v>75</v>
      </c>
      <c r="N2920" s="1">
        <v>42872.849305555559</v>
      </c>
      <c r="O2920" t="s">
        <v>19</v>
      </c>
    </row>
    <row r="2921" spans="1:15" x14ac:dyDescent="0.25">
      <c r="A2921" t="s">
        <v>2396</v>
      </c>
      <c r="B2921" t="s">
        <v>15</v>
      </c>
      <c r="C2921" t="s">
        <v>2135</v>
      </c>
      <c r="D2921" t="s">
        <v>17</v>
      </c>
      <c r="E2921" t="s">
        <v>18</v>
      </c>
      <c r="F2921" t="s">
        <v>19</v>
      </c>
      <c r="G2921" t="s">
        <v>20</v>
      </c>
      <c r="J2921" t="s">
        <v>17</v>
      </c>
      <c r="K2921" t="str">
        <f>"766014126"</f>
        <v>766014126</v>
      </c>
      <c r="L2921" t="str">
        <f>"766014126"</f>
        <v>766014126</v>
      </c>
      <c r="M2921" t="s">
        <v>75</v>
      </c>
      <c r="N2921" s="1">
        <v>42893.918055555558</v>
      </c>
      <c r="O2921" t="s">
        <v>19</v>
      </c>
    </row>
    <row r="2922" spans="1:15" x14ac:dyDescent="0.25">
      <c r="A2922" t="s">
        <v>2396</v>
      </c>
      <c r="B2922" t="s">
        <v>15</v>
      </c>
      <c r="C2922" t="s">
        <v>2135</v>
      </c>
      <c r="D2922" t="s">
        <v>17</v>
      </c>
      <c r="E2922" t="s">
        <v>18</v>
      </c>
      <c r="F2922" t="s">
        <v>19</v>
      </c>
      <c r="G2922" t="s">
        <v>20</v>
      </c>
      <c r="J2922" t="s">
        <v>17</v>
      </c>
      <c r="K2922" t="str">
        <f>"176314126"</f>
        <v>176314126</v>
      </c>
      <c r="L2922" t="str">
        <f>"176314126"</f>
        <v>176314126</v>
      </c>
      <c r="M2922" t="s">
        <v>75</v>
      </c>
      <c r="N2922" s="1">
        <v>43043.72152777778</v>
      </c>
      <c r="O2922" t="s">
        <v>19</v>
      </c>
    </row>
    <row r="2923" spans="1:15" x14ac:dyDescent="0.25">
      <c r="A2923" t="s">
        <v>2397</v>
      </c>
      <c r="B2923" t="s">
        <v>15</v>
      </c>
      <c r="C2923" t="s">
        <v>2135</v>
      </c>
      <c r="D2923" t="s">
        <v>17</v>
      </c>
      <c r="E2923" t="s">
        <v>18</v>
      </c>
      <c r="F2923" t="s">
        <v>19</v>
      </c>
      <c r="G2923" t="s">
        <v>20</v>
      </c>
      <c r="J2923" t="s">
        <v>17</v>
      </c>
      <c r="K2923" t="str">
        <f>"762314256"</f>
        <v>762314256</v>
      </c>
      <c r="L2923" t="str">
        <f>"762314256"</f>
        <v>762314256</v>
      </c>
      <c r="M2923" t="s">
        <v>84</v>
      </c>
      <c r="N2923" s="1">
        <v>43335.71597222222</v>
      </c>
      <c r="O2923" t="s">
        <v>19</v>
      </c>
    </row>
    <row r="2924" spans="1:15" x14ac:dyDescent="0.25">
      <c r="A2924" t="s">
        <v>2397</v>
      </c>
      <c r="B2924" t="s">
        <v>15</v>
      </c>
      <c r="C2924" t="s">
        <v>2135</v>
      </c>
      <c r="D2924" t="s">
        <v>17</v>
      </c>
      <c r="E2924" t="s">
        <v>18</v>
      </c>
      <c r="F2924" t="s">
        <v>19</v>
      </c>
      <c r="G2924" t="s">
        <v>20</v>
      </c>
      <c r="J2924" t="s">
        <v>17</v>
      </c>
      <c r="K2924" t="str">
        <f>"766014256"</f>
        <v>766014256</v>
      </c>
      <c r="L2924" t="str">
        <f>"766014256"</f>
        <v>766014256</v>
      </c>
      <c r="M2924" t="s">
        <v>84</v>
      </c>
      <c r="N2924" s="1">
        <v>43350.92083333333</v>
      </c>
      <c r="O2924" t="s">
        <v>19</v>
      </c>
    </row>
    <row r="2925" spans="1:15" x14ac:dyDescent="0.25">
      <c r="A2925" t="s">
        <v>2397</v>
      </c>
      <c r="B2925" t="s">
        <v>15</v>
      </c>
      <c r="C2925" t="s">
        <v>2135</v>
      </c>
      <c r="D2925" t="s">
        <v>17</v>
      </c>
      <c r="E2925" t="s">
        <v>18</v>
      </c>
      <c r="F2925" t="s">
        <v>19</v>
      </c>
      <c r="G2925" t="s">
        <v>20</v>
      </c>
      <c r="J2925" t="s">
        <v>17</v>
      </c>
      <c r="K2925" t="str">
        <f>"672314256"</f>
        <v>672314256</v>
      </c>
      <c r="L2925" t="str">
        <f>"672314256"</f>
        <v>672314256</v>
      </c>
      <c r="M2925" t="s">
        <v>84</v>
      </c>
      <c r="N2925" s="1">
        <v>43502.65347222222</v>
      </c>
      <c r="O2925" t="s">
        <v>19</v>
      </c>
    </row>
    <row r="2926" spans="1:15" x14ac:dyDescent="0.25">
      <c r="A2926" t="s">
        <v>2398</v>
      </c>
      <c r="B2926" t="s">
        <v>15</v>
      </c>
      <c r="C2926" t="s">
        <v>2135</v>
      </c>
      <c r="D2926" t="s">
        <v>17</v>
      </c>
      <c r="E2926" t="s">
        <v>18</v>
      </c>
      <c r="F2926" t="s">
        <v>19</v>
      </c>
      <c r="G2926" t="s">
        <v>20</v>
      </c>
      <c r="J2926" t="s">
        <v>17</v>
      </c>
      <c r="K2926" t="str">
        <f>"322314264"</f>
        <v>322314264</v>
      </c>
      <c r="L2926" t="str">
        <f>"322314264"</f>
        <v>322314264</v>
      </c>
      <c r="M2926" t="s">
        <v>84</v>
      </c>
      <c r="N2926" s="1">
        <v>43502.77847222222</v>
      </c>
      <c r="O2926" t="s">
        <v>19</v>
      </c>
    </row>
    <row r="2927" spans="1:15" x14ac:dyDescent="0.25">
      <c r="A2927" t="s">
        <v>2398</v>
      </c>
      <c r="B2927" t="s">
        <v>15</v>
      </c>
      <c r="C2927" t="s">
        <v>2135</v>
      </c>
      <c r="D2927" t="s">
        <v>17</v>
      </c>
      <c r="E2927" t="s">
        <v>18</v>
      </c>
      <c r="F2927" t="s">
        <v>19</v>
      </c>
      <c r="G2927" t="s">
        <v>20</v>
      </c>
      <c r="J2927" t="s">
        <v>17</v>
      </c>
      <c r="K2927" t="str">
        <f>"762314264"</f>
        <v>762314264</v>
      </c>
      <c r="L2927" t="str">
        <f>"762314264"</f>
        <v>762314264</v>
      </c>
      <c r="M2927" t="s">
        <v>21</v>
      </c>
      <c r="N2927" s="1">
        <v>43719.814583333333</v>
      </c>
      <c r="O2927" t="s">
        <v>19</v>
      </c>
    </row>
    <row r="2928" spans="1:15" x14ac:dyDescent="0.25">
      <c r="A2928" t="s">
        <v>2399</v>
      </c>
      <c r="B2928" t="s">
        <v>15</v>
      </c>
      <c r="C2928" t="s">
        <v>2135</v>
      </c>
      <c r="D2928" t="s">
        <v>17</v>
      </c>
      <c r="E2928" t="s">
        <v>18</v>
      </c>
      <c r="F2928" t="s">
        <v>19</v>
      </c>
      <c r="G2928" t="s">
        <v>20</v>
      </c>
      <c r="J2928" t="s">
        <v>17</v>
      </c>
      <c r="K2928" t="str">
        <f>"17601447"</f>
        <v>17601447</v>
      </c>
      <c r="L2928" t="str">
        <f>"17601447"</f>
        <v>17601447</v>
      </c>
      <c r="M2928" t="s">
        <v>75</v>
      </c>
      <c r="N2928" s="1">
        <v>42872.839583333334</v>
      </c>
      <c r="O2928" t="s">
        <v>19</v>
      </c>
    </row>
    <row r="2929" spans="1:15" x14ac:dyDescent="0.25">
      <c r="A2929" t="s">
        <v>2399</v>
      </c>
      <c r="B2929" t="s">
        <v>15</v>
      </c>
      <c r="C2929" t="s">
        <v>2135</v>
      </c>
      <c r="D2929" t="s">
        <v>17</v>
      </c>
      <c r="E2929" t="s">
        <v>18</v>
      </c>
      <c r="F2929" t="s">
        <v>19</v>
      </c>
      <c r="G2929" t="s">
        <v>20</v>
      </c>
      <c r="J2929" t="s">
        <v>17</v>
      </c>
      <c r="K2929" t="str">
        <f>"76231414"</f>
        <v>76231414</v>
      </c>
      <c r="L2929" t="str">
        <f>"76231414"</f>
        <v>76231414</v>
      </c>
      <c r="M2929" t="s">
        <v>75</v>
      </c>
      <c r="N2929" s="1">
        <v>42872.847222222219</v>
      </c>
      <c r="O2929" t="s">
        <v>19</v>
      </c>
    </row>
    <row r="2930" spans="1:15" x14ac:dyDescent="0.25">
      <c r="A2930" t="s">
        <v>2399</v>
      </c>
      <c r="B2930" t="s">
        <v>15</v>
      </c>
      <c r="C2930" t="s">
        <v>2135</v>
      </c>
      <c r="D2930" t="s">
        <v>17</v>
      </c>
      <c r="E2930" t="s">
        <v>18</v>
      </c>
      <c r="F2930" t="s">
        <v>19</v>
      </c>
      <c r="G2930" t="s">
        <v>20</v>
      </c>
      <c r="J2930" t="s">
        <v>17</v>
      </c>
      <c r="K2930" t="str">
        <f>"76231447"</f>
        <v>76231447</v>
      </c>
      <c r="L2930" t="str">
        <f>"76231447"</f>
        <v>76231447</v>
      </c>
      <c r="M2930" t="s">
        <v>75</v>
      </c>
      <c r="N2930" s="1">
        <v>42872.847222222219</v>
      </c>
      <c r="O2930" t="s">
        <v>19</v>
      </c>
    </row>
    <row r="2931" spans="1:15" x14ac:dyDescent="0.25">
      <c r="A2931" t="s">
        <v>2399</v>
      </c>
      <c r="B2931" t="s">
        <v>15</v>
      </c>
      <c r="C2931" t="s">
        <v>2135</v>
      </c>
      <c r="D2931" t="s">
        <v>17</v>
      </c>
      <c r="E2931" t="s">
        <v>18</v>
      </c>
      <c r="F2931" t="s">
        <v>19</v>
      </c>
      <c r="G2931" t="s">
        <v>20</v>
      </c>
      <c r="J2931" t="s">
        <v>17</v>
      </c>
      <c r="K2931" t="str">
        <f>"76601447"</f>
        <v>76601447</v>
      </c>
      <c r="L2931" t="str">
        <f>"76601447"</f>
        <v>76601447</v>
      </c>
      <c r="M2931" t="s">
        <v>75</v>
      </c>
      <c r="N2931" s="1">
        <v>42872.847222222219</v>
      </c>
      <c r="O2931" t="s">
        <v>19</v>
      </c>
    </row>
    <row r="2932" spans="1:15" x14ac:dyDescent="0.25">
      <c r="A2932" t="s">
        <v>2399</v>
      </c>
      <c r="B2932" t="s">
        <v>15</v>
      </c>
      <c r="C2932" t="s">
        <v>2135</v>
      </c>
      <c r="D2932" t="s">
        <v>17</v>
      </c>
      <c r="E2932" t="s">
        <v>18</v>
      </c>
      <c r="F2932" t="s">
        <v>19</v>
      </c>
      <c r="G2932" t="s">
        <v>20</v>
      </c>
      <c r="J2932" t="s">
        <v>17</v>
      </c>
      <c r="K2932" t="str">
        <f>"76631447"</f>
        <v>76631447</v>
      </c>
      <c r="L2932" t="str">
        <f>"76631447"</f>
        <v>76631447</v>
      </c>
      <c r="M2932" t="s">
        <v>75</v>
      </c>
      <c r="N2932" s="1">
        <v>42872.847222222219</v>
      </c>
      <c r="O2932" t="s">
        <v>19</v>
      </c>
    </row>
    <row r="2933" spans="1:15" x14ac:dyDescent="0.25">
      <c r="A2933" t="s">
        <v>2399</v>
      </c>
      <c r="B2933" t="s">
        <v>15</v>
      </c>
      <c r="C2933" t="s">
        <v>2135</v>
      </c>
      <c r="D2933" t="s">
        <v>17</v>
      </c>
      <c r="E2933" t="s">
        <v>18</v>
      </c>
      <c r="F2933" t="s">
        <v>19</v>
      </c>
      <c r="G2933" t="s">
        <v>20</v>
      </c>
      <c r="J2933" t="s">
        <v>17</v>
      </c>
      <c r="K2933" t="str">
        <f>"17231447"</f>
        <v>17231447</v>
      </c>
      <c r="L2933" t="str">
        <f>"17231447"</f>
        <v>17231447</v>
      </c>
      <c r="M2933" t="s">
        <v>75</v>
      </c>
      <c r="N2933" s="1">
        <v>42930.970138888886</v>
      </c>
      <c r="O2933" t="s">
        <v>19</v>
      </c>
    </row>
    <row r="2934" spans="1:15" x14ac:dyDescent="0.25">
      <c r="A2934" t="s">
        <v>2399</v>
      </c>
      <c r="B2934" t="s">
        <v>15</v>
      </c>
      <c r="C2934" t="s">
        <v>2135</v>
      </c>
      <c r="D2934" t="s">
        <v>17</v>
      </c>
      <c r="E2934" t="s">
        <v>18</v>
      </c>
      <c r="F2934" t="s">
        <v>19</v>
      </c>
      <c r="G2934" t="s">
        <v>20</v>
      </c>
      <c r="J2934" t="s">
        <v>17</v>
      </c>
      <c r="K2934" t="str">
        <f>"61231447"</f>
        <v>61231447</v>
      </c>
      <c r="L2934" t="str">
        <f>"61231447"</f>
        <v>61231447</v>
      </c>
      <c r="M2934" t="s">
        <v>84</v>
      </c>
      <c r="N2934" s="1">
        <v>43320.680555555555</v>
      </c>
      <c r="O2934" t="s">
        <v>19</v>
      </c>
    </row>
    <row r="2935" spans="1:15" x14ac:dyDescent="0.25">
      <c r="A2935" t="s">
        <v>2399</v>
      </c>
      <c r="B2935" t="s">
        <v>15</v>
      </c>
      <c r="C2935" t="s">
        <v>2135</v>
      </c>
      <c r="D2935" t="s">
        <v>17</v>
      </c>
      <c r="E2935" t="s">
        <v>18</v>
      </c>
      <c r="F2935" t="s">
        <v>19</v>
      </c>
      <c r="G2935" t="s">
        <v>20</v>
      </c>
      <c r="J2935" t="s">
        <v>17</v>
      </c>
      <c r="K2935" t="str">
        <f>"32231447"</f>
        <v>32231447</v>
      </c>
      <c r="L2935" t="str">
        <f>"32231447"</f>
        <v>32231447</v>
      </c>
      <c r="M2935" t="s">
        <v>84</v>
      </c>
      <c r="N2935" s="1">
        <v>43502.78125</v>
      </c>
      <c r="O2935" t="s">
        <v>19</v>
      </c>
    </row>
    <row r="2936" spans="1:15" x14ac:dyDescent="0.25">
      <c r="A2936" t="s">
        <v>2399</v>
      </c>
      <c r="B2936" t="s">
        <v>15</v>
      </c>
      <c r="C2936" t="s">
        <v>2135</v>
      </c>
      <c r="D2936" t="s">
        <v>17</v>
      </c>
      <c r="E2936" t="s">
        <v>18</v>
      </c>
      <c r="F2936" t="s">
        <v>19</v>
      </c>
      <c r="G2936" t="s">
        <v>20</v>
      </c>
      <c r="J2936" t="s">
        <v>17</v>
      </c>
      <c r="K2936" t="str">
        <f>"322314266"</f>
        <v>322314266</v>
      </c>
      <c r="L2936" t="str">
        <f>"322314266"</f>
        <v>322314266</v>
      </c>
      <c r="M2936" t="s">
        <v>84</v>
      </c>
      <c r="N2936" s="1">
        <v>43502.78125</v>
      </c>
      <c r="O2936" t="s">
        <v>19</v>
      </c>
    </row>
    <row r="2937" spans="1:15" x14ac:dyDescent="0.25">
      <c r="A2937" t="s">
        <v>2399</v>
      </c>
      <c r="B2937" t="s">
        <v>15</v>
      </c>
      <c r="C2937" t="s">
        <v>2135</v>
      </c>
      <c r="D2937" t="s">
        <v>17</v>
      </c>
      <c r="E2937" t="s">
        <v>18</v>
      </c>
      <c r="F2937" t="s">
        <v>19</v>
      </c>
      <c r="G2937" t="s">
        <v>20</v>
      </c>
      <c r="J2937" t="s">
        <v>17</v>
      </c>
      <c r="K2937" t="str">
        <f>"68231447"</f>
        <v>68231447</v>
      </c>
      <c r="L2937" t="str">
        <f>"68231447"</f>
        <v>68231447</v>
      </c>
      <c r="M2937" t="s">
        <v>84</v>
      </c>
      <c r="N2937" s="1">
        <v>43545.785416666666</v>
      </c>
      <c r="O2937" t="s">
        <v>19</v>
      </c>
    </row>
    <row r="2938" spans="1:15" x14ac:dyDescent="0.25">
      <c r="A2938" t="s">
        <v>2399</v>
      </c>
      <c r="B2938" t="s">
        <v>15</v>
      </c>
      <c r="C2938" t="s">
        <v>2135</v>
      </c>
      <c r="D2938" t="s">
        <v>17</v>
      </c>
      <c r="E2938" t="s">
        <v>18</v>
      </c>
      <c r="F2938" t="s">
        <v>19</v>
      </c>
      <c r="G2938" t="s">
        <v>20</v>
      </c>
      <c r="J2938" t="s">
        <v>17</v>
      </c>
      <c r="K2938" t="str">
        <f>"67231447"</f>
        <v>67231447</v>
      </c>
      <c r="L2938" t="str">
        <f>"67231447"</f>
        <v>67231447</v>
      </c>
      <c r="M2938" t="s">
        <v>84</v>
      </c>
      <c r="N2938" s="1">
        <v>43546.949305555558</v>
      </c>
      <c r="O2938" t="s">
        <v>19</v>
      </c>
    </row>
    <row r="2939" spans="1:15" x14ac:dyDescent="0.25">
      <c r="A2939" t="s">
        <v>2400</v>
      </c>
      <c r="B2939" t="s">
        <v>15</v>
      </c>
      <c r="C2939" t="s">
        <v>2135</v>
      </c>
      <c r="D2939" t="s">
        <v>17</v>
      </c>
      <c r="E2939" t="s">
        <v>18</v>
      </c>
      <c r="F2939" t="s">
        <v>19</v>
      </c>
      <c r="G2939" t="s">
        <v>20</v>
      </c>
      <c r="J2939" t="s">
        <v>17</v>
      </c>
      <c r="K2939" t="str">
        <f>"992314137"</f>
        <v>992314137</v>
      </c>
      <c r="L2939" t="str">
        <f>"992314137"</f>
        <v>992314137</v>
      </c>
      <c r="M2939" t="s">
        <v>75</v>
      </c>
      <c r="N2939" s="1">
        <v>43244.880555555559</v>
      </c>
      <c r="O2939" t="s">
        <v>19</v>
      </c>
    </row>
    <row r="2940" spans="1:15" x14ac:dyDescent="0.25">
      <c r="A2940" t="s">
        <v>2401</v>
      </c>
      <c r="B2940" t="s">
        <v>15</v>
      </c>
      <c r="C2940" t="s">
        <v>2135</v>
      </c>
      <c r="D2940" t="s">
        <v>17</v>
      </c>
      <c r="E2940" t="s">
        <v>18</v>
      </c>
      <c r="F2940" t="s">
        <v>19</v>
      </c>
      <c r="G2940" t="s">
        <v>20</v>
      </c>
      <c r="J2940" t="s">
        <v>17</v>
      </c>
      <c r="K2940" t="str">
        <f>"172314266"</f>
        <v>172314266</v>
      </c>
      <c r="L2940" t="str">
        <f>"172314266"</f>
        <v>172314266</v>
      </c>
      <c r="M2940" t="s">
        <v>75</v>
      </c>
      <c r="N2940" s="1">
        <v>42872.849305555559</v>
      </c>
      <c r="O2940" t="s">
        <v>19</v>
      </c>
    </row>
    <row r="2941" spans="1:15" x14ac:dyDescent="0.25">
      <c r="A2941" t="s">
        <v>2401</v>
      </c>
      <c r="B2941" t="s">
        <v>15</v>
      </c>
      <c r="C2941" t="s">
        <v>2135</v>
      </c>
      <c r="D2941" t="s">
        <v>17</v>
      </c>
      <c r="E2941" t="s">
        <v>18</v>
      </c>
      <c r="F2941" t="s">
        <v>19</v>
      </c>
      <c r="G2941" t="s">
        <v>20</v>
      </c>
      <c r="J2941" t="s">
        <v>17</v>
      </c>
      <c r="K2941" t="str">
        <f>"176014266"</f>
        <v>176014266</v>
      </c>
      <c r="L2941" t="str">
        <f>"176014266"</f>
        <v>176014266</v>
      </c>
      <c r="M2941" t="s">
        <v>75</v>
      </c>
      <c r="N2941" s="1">
        <v>42872.849305555559</v>
      </c>
      <c r="O2941" t="s">
        <v>19</v>
      </c>
    </row>
    <row r="2942" spans="1:15" x14ac:dyDescent="0.25">
      <c r="A2942" t="s">
        <v>2401</v>
      </c>
      <c r="B2942" t="s">
        <v>15</v>
      </c>
      <c r="C2942" t="s">
        <v>2135</v>
      </c>
      <c r="D2942" t="s">
        <v>17</v>
      </c>
      <c r="E2942" t="s">
        <v>18</v>
      </c>
      <c r="F2942" t="s">
        <v>19</v>
      </c>
      <c r="G2942" t="s">
        <v>20</v>
      </c>
      <c r="J2942" t="s">
        <v>17</v>
      </c>
      <c r="K2942" t="str">
        <f>"762314266"</f>
        <v>762314266</v>
      </c>
      <c r="L2942" t="str">
        <f>"762314266"</f>
        <v>762314266</v>
      </c>
      <c r="M2942" t="s">
        <v>75</v>
      </c>
      <c r="N2942" s="1">
        <v>42872.849305555559</v>
      </c>
      <c r="O2942" t="s">
        <v>19</v>
      </c>
    </row>
    <row r="2943" spans="1:15" x14ac:dyDescent="0.25">
      <c r="A2943" t="s">
        <v>2401</v>
      </c>
      <c r="B2943" t="s">
        <v>15</v>
      </c>
      <c r="C2943" t="s">
        <v>2135</v>
      </c>
      <c r="D2943" t="s">
        <v>17</v>
      </c>
      <c r="E2943" t="s">
        <v>18</v>
      </c>
      <c r="F2943" t="s">
        <v>19</v>
      </c>
      <c r="G2943" t="s">
        <v>20</v>
      </c>
      <c r="J2943" t="s">
        <v>17</v>
      </c>
      <c r="K2943" t="str">
        <f>"766314266"</f>
        <v>766314266</v>
      </c>
      <c r="L2943" t="str">
        <f>"766314266"</f>
        <v>766314266</v>
      </c>
      <c r="M2943" t="s">
        <v>75</v>
      </c>
      <c r="N2943" s="1">
        <v>42872.849305555559</v>
      </c>
      <c r="O2943" t="s">
        <v>19</v>
      </c>
    </row>
    <row r="2944" spans="1:15" x14ac:dyDescent="0.25">
      <c r="A2944" t="s">
        <v>2401</v>
      </c>
      <c r="B2944" t="s">
        <v>15</v>
      </c>
      <c r="C2944" t="s">
        <v>2135</v>
      </c>
      <c r="D2944" t="s">
        <v>17</v>
      </c>
      <c r="E2944" t="s">
        <v>18</v>
      </c>
      <c r="F2944" t="s">
        <v>19</v>
      </c>
      <c r="G2944" t="s">
        <v>20</v>
      </c>
      <c r="J2944" t="s">
        <v>17</v>
      </c>
      <c r="K2944" t="str">
        <f>"766014266"</f>
        <v>766014266</v>
      </c>
      <c r="L2944" t="str">
        <f>"766014266"</f>
        <v>766014266</v>
      </c>
      <c r="M2944" t="s">
        <v>75</v>
      </c>
      <c r="N2944" s="1">
        <v>43005.692361111112</v>
      </c>
      <c r="O2944" t="s">
        <v>19</v>
      </c>
    </row>
    <row r="2945" spans="1:15" x14ac:dyDescent="0.25">
      <c r="A2945" t="s">
        <v>2401</v>
      </c>
      <c r="B2945" t="s">
        <v>15</v>
      </c>
      <c r="C2945" t="s">
        <v>2135</v>
      </c>
      <c r="D2945" t="s">
        <v>17</v>
      </c>
      <c r="E2945" t="s">
        <v>18</v>
      </c>
      <c r="F2945" t="s">
        <v>19</v>
      </c>
      <c r="G2945" t="s">
        <v>20</v>
      </c>
      <c r="J2945" t="s">
        <v>17</v>
      </c>
      <c r="K2945" t="str">
        <f>"346014266"</f>
        <v>346014266</v>
      </c>
      <c r="L2945" t="str">
        <f>"346014266"</f>
        <v>346014266</v>
      </c>
      <c r="M2945" t="s">
        <v>75</v>
      </c>
      <c r="N2945" s="1">
        <v>43066.757638888892</v>
      </c>
      <c r="O2945" t="s">
        <v>19</v>
      </c>
    </row>
    <row r="2946" spans="1:15" x14ac:dyDescent="0.25">
      <c r="A2946" t="s">
        <v>2401</v>
      </c>
      <c r="B2946" t="s">
        <v>15</v>
      </c>
      <c r="C2946" t="s">
        <v>2135</v>
      </c>
      <c r="D2946" t="s">
        <v>17</v>
      </c>
      <c r="E2946" t="s">
        <v>18</v>
      </c>
      <c r="F2946" t="s">
        <v>19</v>
      </c>
      <c r="G2946" t="s">
        <v>20</v>
      </c>
      <c r="J2946" t="s">
        <v>17</v>
      </c>
      <c r="K2946" t="str">
        <f>"992314266"</f>
        <v>992314266</v>
      </c>
      <c r="L2946" t="str">
        <f>"992314266"</f>
        <v>992314266</v>
      </c>
      <c r="M2946" t="s">
        <v>75</v>
      </c>
      <c r="N2946" s="1">
        <v>43244.879861111112</v>
      </c>
      <c r="O2946" t="s">
        <v>19</v>
      </c>
    </row>
    <row r="2947" spans="1:15" x14ac:dyDescent="0.25">
      <c r="A2947" t="s">
        <v>2401</v>
      </c>
      <c r="B2947" t="s">
        <v>15</v>
      </c>
      <c r="C2947" t="s">
        <v>2135</v>
      </c>
      <c r="D2947" t="s">
        <v>17</v>
      </c>
      <c r="E2947" t="s">
        <v>18</v>
      </c>
      <c r="F2947" t="s">
        <v>19</v>
      </c>
      <c r="G2947" t="s">
        <v>20</v>
      </c>
      <c r="J2947" t="s">
        <v>17</v>
      </c>
      <c r="K2947" t="str">
        <f>"862314266"</f>
        <v>862314266</v>
      </c>
      <c r="L2947" t="str">
        <f>"862314266"</f>
        <v>862314266</v>
      </c>
      <c r="M2947" t="s">
        <v>84</v>
      </c>
      <c r="N2947" s="1">
        <v>43280.710416666669</v>
      </c>
      <c r="O2947" t="s">
        <v>19</v>
      </c>
    </row>
    <row r="2948" spans="1:15" x14ac:dyDescent="0.25">
      <c r="A2948" t="s">
        <v>2402</v>
      </c>
      <c r="B2948" t="s">
        <v>15</v>
      </c>
      <c r="C2948" t="s">
        <v>2135</v>
      </c>
      <c r="D2948" t="s">
        <v>17</v>
      </c>
      <c r="E2948" t="s">
        <v>18</v>
      </c>
      <c r="F2948" t="s">
        <v>19</v>
      </c>
      <c r="G2948" t="s">
        <v>20</v>
      </c>
      <c r="J2948" t="s">
        <v>17</v>
      </c>
      <c r="K2948" t="str">
        <f>"762314129"</f>
        <v>762314129</v>
      </c>
      <c r="L2948" t="str">
        <f>"762314129"</f>
        <v>762314129</v>
      </c>
      <c r="M2948" t="s">
        <v>75</v>
      </c>
      <c r="N2948" s="1">
        <v>42986.731944444444</v>
      </c>
      <c r="O2948" t="s">
        <v>19</v>
      </c>
    </row>
    <row r="2949" spans="1:15" x14ac:dyDescent="0.25">
      <c r="A2949" t="s">
        <v>2402</v>
      </c>
      <c r="B2949" t="s">
        <v>15</v>
      </c>
      <c r="C2949" t="s">
        <v>2135</v>
      </c>
      <c r="D2949" t="s">
        <v>17</v>
      </c>
      <c r="E2949" t="s">
        <v>18</v>
      </c>
      <c r="F2949" t="s">
        <v>19</v>
      </c>
      <c r="G2949" t="s">
        <v>20</v>
      </c>
      <c r="J2949" t="s">
        <v>17</v>
      </c>
      <c r="K2949" t="str">
        <f>"766314129"</f>
        <v>766314129</v>
      </c>
      <c r="L2949" t="str">
        <f>"766314129"</f>
        <v>766314129</v>
      </c>
      <c r="M2949" t="s">
        <v>75</v>
      </c>
      <c r="N2949" s="1">
        <v>43005.693749999999</v>
      </c>
      <c r="O2949" t="s">
        <v>19</v>
      </c>
    </row>
    <row r="2950" spans="1:15" x14ac:dyDescent="0.25">
      <c r="A2950" t="s">
        <v>2402</v>
      </c>
      <c r="B2950" t="s">
        <v>15</v>
      </c>
      <c r="C2950" t="s">
        <v>2135</v>
      </c>
      <c r="D2950" t="s">
        <v>17</v>
      </c>
      <c r="E2950" t="s">
        <v>18</v>
      </c>
      <c r="F2950" t="s">
        <v>19</v>
      </c>
      <c r="G2950" t="s">
        <v>20</v>
      </c>
      <c r="J2950" t="s">
        <v>17</v>
      </c>
      <c r="K2950" t="str">
        <f>"762314121"</f>
        <v>762314121</v>
      </c>
      <c r="L2950" t="str">
        <f>"762314121"</f>
        <v>762314121</v>
      </c>
      <c r="M2950" t="s">
        <v>75</v>
      </c>
      <c r="N2950" s="1">
        <v>43196.885416666664</v>
      </c>
      <c r="O2950" t="s">
        <v>19</v>
      </c>
    </row>
    <row r="2951" spans="1:15" x14ac:dyDescent="0.25">
      <c r="A2951" t="s">
        <v>2403</v>
      </c>
      <c r="B2951" t="s">
        <v>15</v>
      </c>
      <c r="C2951" t="s">
        <v>2135</v>
      </c>
      <c r="D2951" t="s">
        <v>17</v>
      </c>
      <c r="E2951" t="s">
        <v>18</v>
      </c>
      <c r="F2951" t="s">
        <v>19</v>
      </c>
      <c r="G2951" t="s">
        <v>20</v>
      </c>
      <c r="J2951" t="s">
        <v>17</v>
      </c>
      <c r="K2951" t="str">
        <f>"176014127"</f>
        <v>176014127</v>
      </c>
      <c r="L2951" t="str">
        <f>"176014127"</f>
        <v>176014127</v>
      </c>
      <c r="M2951" t="s">
        <v>75</v>
      </c>
      <c r="N2951" s="1">
        <v>42872.849305555559</v>
      </c>
      <c r="O2951" t="s">
        <v>19</v>
      </c>
    </row>
    <row r="2952" spans="1:15" x14ac:dyDescent="0.25">
      <c r="A2952" t="s">
        <v>2403</v>
      </c>
      <c r="B2952" t="s">
        <v>15</v>
      </c>
      <c r="C2952" t="s">
        <v>2135</v>
      </c>
      <c r="D2952" t="s">
        <v>17</v>
      </c>
      <c r="E2952" t="s">
        <v>18</v>
      </c>
      <c r="F2952" t="s">
        <v>19</v>
      </c>
      <c r="G2952" t="s">
        <v>20</v>
      </c>
      <c r="J2952" t="s">
        <v>17</v>
      </c>
      <c r="K2952" t="str">
        <f>"762314127"</f>
        <v>762314127</v>
      </c>
      <c r="L2952" t="str">
        <f>"762314127"</f>
        <v>762314127</v>
      </c>
      <c r="M2952" t="s">
        <v>75</v>
      </c>
      <c r="N2952" s="1">
        <v>42872.849305555559</v>
      </c>
      <c r="O2952" t="s">
        <v>19</v>
      </c>
    </row>
    <row r="2953" spans="1:15" x14ac:dyDescent="0.25">
      <c r="A2953" t="s">
        <v>2403</v>
      </c>
      <c r="B2953" t="s">
        <v>15</v>
      </c>
      <c r="C2953" t="s">
        <v>2135</v>
      </c>
      <c r="D2953" t="s">
        <v>17</v>
      </c>
      <c r="E2953" t="s">
        <v>18</v>
      </c>
      <c r="F2953" t="s">
        <v>19</v>
      </c>
      <c r="G2953" t="s">
        <v>20</v>
      </c>
      <c r="J2953" t="s">
        <v>17</v>
      </c>
      <c r="K2953" t="str">
        <f>"766014127"</f>
        <v>766014127</v>
      </c>
      <c r="L2953" t="str">
        <f>"766014127"</f>
        <v>766014127</v>
      </c>
      <c r="M2953" t="s">
        <v>75</v>
      </c>
      <c r="N2953" s="1">
        <v>42872.849305555559</v>
      </c>
      <c r="O2953" t="s">
        <v>19</v>
      </c>
    </row>
    <row r="2954" spans="1:15" x14ac:dyDescent="0.25">
      <c r="A2954" t="s">
        <v>2403</v>
      </c>
      <c r="B2954" t="s">
        <v>15</v>
      </c>
      <c r="C2954" t="s">
        <v>2135</v>
      </c>
      <c r="D2954" t="s">
        <v>17</v>
      </c>
      <c r="E2954" t="s">
        <v>18</v>
      </c>
      <c r="F2954" t="s">
        <v>19</v>
      </c>
      <c r="G2954" t="s">
        <v>20</v>
      </c>
      <c r="J2954" t="s">
        <v>17</v>
      </c>
      <c r="K2954" t="str">
        <f>"766314127"</f>
        <v>766314127</v>
      </c>
      <c r="L2954" t="str">
        <f>"766314127"</f>
        <v>766314127</v>
      </c>
      <c r="M2954" t="s">
        <v>75</v>
      </c>
      <c r="N2954" s="1">
        <v>43005.76458333333</v>
      </c>
      <c r="O2954" t="s">
        <v>19</v>
      </c>
    </row>
    <row r="2955" spans="1:15" x14ac:dyDescent="0.25">
      <c r="A2955" t="s">
        <v>2404</v>
      </c>
      <c r="B2955" t="s">
        <v>15</v>
      </c>
      <c r="C2955" t="s">
        <v>2135</v>
      </c>
      <c r="D2955" t="s">
        <v>17</v>
      </c>
      <c r="E2955" t="s">
        <v>18</v>
      </c>
      <c r="F2955" t="s">
        <v>19</v>
      </c>
      <c r="G2955" t="s">
        <v>20</v>
      </c>
      <c r="J2955" t="s">
        <v>17</v>
      </c>
      <c r="K2955" t="str">
        <f>"672314261"</f>
        <v>672314261</v>
      </c>
      <c r="L2955" t="str">
        <f>"672314261"</f>
        <v>672314261</v>
      </c>
      <c r="M2955" t="s">
        <v>84</v>
      </c>
      <c r="N2955" s="1">
        <v>43502.65347222222</v>
      </c>
      <c r="O2955" t="s">
        <v>19</v>
      </c>
    </row>
    <row r="2956" spans="1:15" x14ac:dyDescent="0.25">
      <c r="A2956" t="s">
        <v>2404</v>
      </c>
      <c r="B2956" t="s">
        <v>15</v>
      </c>
      <c r="C2956" t="s">
        <v>2135</v>
      </c>
      <c r="D2956" t="s">
        <v>17</v>
      </c>
      <c r="E2956" t="s">
        <v>18</v>
      </c>
      <c r="F2956" t="s">
        <v>19</v>
      </c>
      <c r="G2956" t="s">
        <v>20</v>
      </c>
      <c r="J2956" t="s">
        <v>17</v>
      </c>
      <c r="K2956" t="str">
        <f>"762314261"</f>
        <v>762314261</v>
      </c>
      <c r="L2956" t="str">
        <f>"762314261"</f>
        <v>762314261</v>
      </c>
      <c r="M2956" t="s">
        <v>21</v>
      </c>
      <c r="N2956" s="1">
        <v>43665.988888888889</v>
      </c>
      <c r="O2956" t="s">
        <v>19</v>
      </c>
    </row>
    <row r="2957" spans="1:15" x14ac:dyDescent="0.25">
      <c r="A2957" t="s">
        <v>2405</v>
      </c>
      <c r="B2957" t="s">
        <v>15</v>
      </c>
      <c r="C2957" t="s">
        <v>2135</v>
      </c>
      <c r="D2957" t="s">
        <v>17</v>
      </c>
      <c r="E2957" t="s">
        <v>18</v>
      </c>
      <c r="F2957" t="s">
        <v>19</v>
      </c>
      <c r="G2957" t="s">
        <v>20</v>
      </c>
      <c r="J2957" t="s">
        <v>17</v>
      </c>
      <c r="K2957" t="str">
        <f>"762314107"</f>
        <v>762314107</v>
      </c>
      <c r="L2957" t="str">
        <f>"762314107"</f>
        <v>762314107</v>
      </c>
      <c r="M2957" t="s">
        <v>75</v>
      </c>
      <c r="N2957" s="1">
        <v>42872.849305555559</v>
      </c>
      <c r="O2957" t="s">
        <v>19</v>
      </c>
    </row>
    <row r="2958" spans="1:15" x14ac:dyDescent="0.25">
      <c r="A2958" t="s">
        <v>2406</v>
      </c>
      <c r="B2958" t="s">
        <v>15</v>
      </c>
      <c r="C2958" t="s">
        <v>2135</v>
      </c>
      <c r="D2958" t="s">
        <v>17</v>
      </c>
      <c r="E2958" t="s">
        <v>18</v>
      </c>
      <c r="F2958" t="s">
        <v>19</v>
      </c>
      <c r="G2958" t="s">
        <v>20</v>
      </c>
      <c r="J2958" t="s">
        <v>17</v>
      </c>
      <c r="K2958" t="str">
        <f>"762314295"</f>
        <v>762314295</v>
      </c>
      <c r="L2958" t="str">
        <f>"762314295"</f>
        <v>762314295</v>
      </c>
      <c r="M2958" t="s">
        <v>21</v>
      </c>
      <c r="N2958" s="1">
        <v>42872.849305555559</v>
      </c>
      <c r="O2958" t="s">
        <v>19</v>
      </c>
    </row>
    <row r="2959" spans="1:15" x14ac:dyDescent="0.25">
      <c r="A2959" t="s">
        <v>2407</v>
      </c>
      <c r="B2959" t="s">
        <v>15</v>
      </c>
      <c r="C2959" t="s">
        <v>2135</v>
      </c>
      <c r="D2959" t="s">
        <v>17</v>
      </c>
      <c r="E2959" t="s">
        <v>18</v>
      </c>
      <c r="F2959" t="s">
        <v>19</v>
      </c>
      <c r="G2959" t="s">
        <v>20</v>
      </c>
      <c r="J2959" t="s">
        <v>17</v>
      </c>
      <c r="K2959" t="str">
        <f>"1000001013381"</f>
        <v>1000001013381</v>
      </c>
      <c r="L2959" t="str">
        <f>"766014138"</f>
        <v>766014138</v>
      </c>
      <c r="M2959" t="s">
        <v>84</v>
      </c>
      <c r="N2959" s="1">
        <v>43335.656944444447</v>
      </c>
      <c r="O2959" t="s">
        <v>19</v>
      </c>
    </row>
    <row r="2960" spans="1:15" x14ac:dyDescent="0.25">
      <c r="A2960" t="s">
        <v>2408</v>
      </c>
      <c r="B2960" t="s">
        <v>15</v>
      </c>
      <c r="C2960" t="s">
        <v>2135</v>
      </c>
      <c r="D2960" t="s">
        <v>17</v>
      </c>
      <c r="E2960" t="s">
        <v>18</v>
      </c>
      <c r="F2960" t="s">
        <v>19</v>
      </c>
      <c r="G2960" t="s">
        <v>20</v>
      </c>
      <c r="J2960" t="s">
        <v>17</v>
      </c>
      <c r="K2960" t="str">
        <f>"322314260"</f>
        <v>322314260</v>
      </c>
      <c r="L2960" t="str">
        <f>"322314260"</f>
        <v>322314260</v>
      </c>
      <c r="M2960" t="s">
        <v>84</v>
      </c>
      <c r="N2960" s="1">
        <v>43502.777083333334</v>
      </c>
      <c r="O2960" t="s">
        <v>19</v>
      </c>
    </row>
    <row r="2961" spans="1:15" x14ac:dyDescent="0.25">
      <c r="A2961" t="s">
        <v>2409</v>
      </c>
      <c r="B2961" t="s">
        <v>15</v>
      </c>
      <c r="C2961" t="s">
        <v>2135</v>
      </c>
      <c r="D2961" t="s">
        <v>17</v>
      </c>
      <c r="E2961" t="s">
        <v>18</v>
      </c>
      <c r="F2961" t="s">
        <v>19</v>
      </c>
      <c r="G2961" t="s">
        <v>20</v>
      </c>
      <c r="J2961" t="s">
        <v>17</v>
      </c>
      <c r="K2961" t="str">
        <f>"762314269"</f>
        <v>762314269</v>
      </c>
      <c r="L2961" t="str">
        <f>"762314269"</f>
        <v>762314269</v>
      </c>
      <c r="M2961" t="s">
        <v>21</v>
      </c>
      <c r="N2961" s="1">
        <v>43610.682638888888</v>
      </c>
      <c r="O2961" t="s">
        <v>19</v>
      </c>
    </row>
    <row r="2962" spans="1:15" x14ac:dyDescent="0.25">
      <c r="A2962" t="s">
        <v>2410</v>
      </c>
      <c r="B2962" t="s">
        <v>15</v>
      </c>
      <c r="C2962" t="s">
        <v>2135</v>
      </c>
      <c r="D2962" t="s">
        <v>17</v>
      </c>
      <c r="E2962" t="s">
        <v>18</v>
      </c>
      <c r="F2962" t="s">
        <v>19</v>
      </c>
      <c r="G2962" t="s">
        <v>20</v>
      </c>
      <c r="J2962" t="s">
        <v>17</v>
      </c>
      <c r="K2962" t="str">
        <f>"762314273"</f>
        <v>762314273</v>
      </c>
      <c r="L2962" t="str">
        <f>"762314273"</f>
        <v>762314273</v>
      </c>
      <c r="M2962" t="s">
        <v>21</v>
      </c>
      <c r="N2962" s="1">
        <v>43610.681944444441</v>
      </c>
      <c r="O2962" t="s">
        <v>19</v>
      </c>
    </row>
    <row r="2963" spans="1:15" x14ac:dyDescent="0.25">
      <c r="A2963" t="s">
        <v>2411</v>
      </c>
      <c r="B2963" t="s">
        <v>15</v>
      </c>
      <c r="C2963" t="s">
        <v>2135</v>
      </c>
      <c r="D2963" t="s">
        <v>17</v>
      </c>
      <c r="E2963" t="s">
        <v>18</v>
      </c>
      <c r="F2963" t="s">
        <v>19</v>
      </c>
      <c r="G2963" t="s">
        <v>20</v>
      </c>
      <c r="J2963" t="s">
        <v>17</v>
      </c>
      <c r="K2963" t="str">
        <f>"110767622"</f>
        <v>110767622</v>
      </c>
      <c r="L2963" t="str">
        <f>"110767622"</f>
        <v>110767622</v>
      </c>
      <c r="M2963" t="s">
        <v>75</v>
      </c>
      <c r="N2963" s="1">
        <v>42872.847222222219</v>
      </c>
      <c r="O2963" t="s">
        <v>19</v>
      </c>
    </row>
    <row r="2964" spans="1:15" x14ac:dyDescent="0.25">
      <c r="A2964" t="s">
        <v>2411</v>
      </c>
      <c r="B2964" t="s">
        <v>15</v>
      </c>
      <c r="C2964" t="s">
        <v>2135</v>
      </c>
      <c r="D2964" t="s">
        <v>17</v>
      </c>
      <c r="E2964" t="s">
        <v>18</v>
      </c>
      <c r="F2964" t="s">
        <v>19</v>
      </c>
      <c r="G2964" t="s">
        <v>20</v>
      </c>
      <c r="J2964" t="s">
        <v>17</v>
      </c>
      <c r="K2964" t="str">
        <f>"110769500"</f>
        <v>110769500</v>
      </c>
      <c r="L2964" t="str">
        <f>"110769500"</f>
        <v>110769500</v>
      </c>
      <c r="M2964" t="s">
        <v>75</v>
      </c>
      <c r="N2964" s="1">
        <v>42872.847222222219</v>
      </c>
      <c r="O2964" t="s">
        <v>19</v>
      </c>
    </row>
    <row r="2965" spans="1:15" x14ac:dyDescent="0.25">
      <c r="A2965" t="s">
        <v>2412</v>
      </c>
      <c r="B2965" t="s">
        <v>15</v>
      </c>
      <c r="C2965" t="s">
        <v>2135</v>
      </c>
      <c r="D2965" t="s">
        <v>17</v>
      </c>
      <c r="E2965" t="s">
        <v>18</v>
      </c>
      <c r="F2965" t="s">
        <v>19</v>
      </c>
      <c r="G2965" t="s">
        <v>20</v>
      </c>
      <c r="J2965" t="s">
        <v>17</v>
      </c>
      <c r="K2965" t="str">
        <f>"76231485"</f>
        <v>76231485</v>
      </c>
      <c r="L2965" t="str">
        <f>"76231485"</f>
        <v>76231485</v>
      </c>
      <c r="M2965" t="s">
        <v>75</v>
      </c>
      <c r="N2965" s="1">
        <v>42872.847222222219</v>
      </c>
      <c r="O2965" t="s">
        <v>19</v>
      </c>
    </row>
    <row r="2966" spans="1:15" x14ac:dyDescent="0.25">
      <c r="A2966" t="s">
        <v>2413</v>
      </c>
      <c r="B2966" t="s">
        <v>15</v>
      </c>
      <c r="C2966" t="s">
        <v>2135</v>
      </c>
      <c r="D2966" t="s">
        <v>17</v>
      </c>
      <c r="E2966" t="s">
        <v>18</v>
      </c>
      <c r="F2966" t="s">
        <v>19</v>
      </c>
      <c r="G2966" t="s">
        <v>20</v>
      </c>
      <c r="J2966" t="s">
        <v>17</v>
      </c>
      <c r="K2966" t="str">
        <f>"17231486"</f>
        <v>17231486</v>
      </c>
      <c r="L2966" t="str">
        <f>"17231486"</f>
        <v>17231486</v>
      </c>
      <c r="M2966" t="s">
        <v>75</v>
      </c>
      <c r="N2966" s="1">
        <v>42872.839583333334</v>
      </c>
      <c r="O2966" t="s">
        <v>19</v>
      </c>
    </row>
    <row r="2967" spans="1:15" x14ac:dyDescent="0.25">
      <c r="A2967" t="s">
        <v>2413</v>
      </c>
      <c r="B2967" t="s">
        <v>15</v>
      </c>
      <c r="C2967" t="s">
        <v>2135</v>
      </c>
      <c r="D2967" t="s">
        <v>17</v>
      </c>
      <c r="E2967" t="s">
        <v>18</v>
      </c>
      <c r="F2967" t="s">
        <v>19</v>
      </c>
      <c r="G2967" t="s">
        <v>20</v>
      </c>
      <c r="J2967" t="s">
        <v>17</v>
      </c>
      <c r="K2967" t="str">
        <f>"76231486"</f>
        <v>76231486</v>
      </c>
      <c r="L2967" t="str">
        <f>"76231486"</f>
        <v>76231486</v>
      </c>
      <c r="M2967" t="s">
        <v>75</v>
      </c>
      <c r="N2967" s="1">
        <v>42872.847222222219</v>
      </c>
      <c r="O2967" t="s">
        <v>19</v>
      </c>
    </row>
    <row r="2968" spans="1:15" x14ac:dyDescent="0.25">
      <c r="A2968" t="s">
        <v>2413</v>
      </c>
      <c r="B2968" t="s">
        <v>15</v>
      </c>
      <c r="C2968" t="s">
        <v>2135</v>
      </c>
      <c r="D2968" t="s">
        <v>17</v>
      </c>
      <c r="E2968" t="s">
        <v>18</v>
      </c>
      <c r="F2968" t="s">
        <v>19</v>
      </c>
      <c r="G2968" t="s">
        <v>20</v>
      </c>
      <c r="J2968" t="s">
        <v>17</v>
      </c>
      <c r="K2968" t="str">
        <f>"76851486"</f>
        <v>76851486</v>
      </c>
      <c r="L2968" t="str">
        <f>"76851486"</f>
        <v>76851486</v>
      </c>
      <c r="M2968" t="s">
        <v>75</v>
      </c>
      <c r="N2968" s="1">
        <v>42872.847222222219</v>
      </c>
      <c r="O2968" t="s">
        <v>19</v>
      </c>
    </row>
    <row r="2969" spans="1:15" x14ac:dyDescent="0.25">
      <c r="A2969" t="s">
        <v>2413</v>
      </c>
      <c r="B2969" t="s">
        <v>15</v>
      </c>
      <c r="C2969" t="s">
        <v>2135</v>
      </c>
      <c r="D2969" t="s">
        <v>17</v>
      </c>
      <c r="E2969" t="s">
        <v>18</v>
      </c>
      <c r="F2969" t="s">
        <v>19</v>
      </c>
      <c r="G2969" t="s">
        <v>20</v>
      </c>
      <c r="J2969" t="s">
        <v>17</v>
      </c>
      <c r="K2969" t="str">
        <f>"768514186"</f>
        <v>768514186</v>
      </c>
      <c r="L2969" t="str">
        <f>"768514186"</f>
        <v>768514186</v>
      </c>
      <c r="M2969" t="s">
        <v>75</v>
      </c>
      <c r="N2969" s="1">
        <v>42872.849305555559</v>
      </c>
      <c r="O2969" t="s">
        <v>19</v>
      </c>
    </row>
    <row r="2970" spans="1:15" x14ac:dyDescent="0.25">
      <c r="A2970" t="s">
        <v>2414</v>
      </c>
      <c r="B2970" t="s">
        <v>15</v>
      </c>
      <c r="C2970" t="s">
        <v>2135</v>
      </c>
      <c r="D2970" t="s">
        <v>17</v>
      </c>
      <c r="E2970" t="s">
        <v>18</v>
      </c>
      <c r="F2970" t="s">
        <v>19</v>
      </c>
      <c r="G2970" t="s">
        <v>20</v>
      </c>
      <c r="J2970" t="s">
        <v>17</v>
      </c>
      <c r="K2970" t="str">
        <f>"17231454"</f>
        <v>17231454</v>
      </c>
      <c r="L2970" t="str">
        <f>"17231454"</f>
        <v>17231454</v>
      </c>
      <c r="M2970" t="s">
        <v>75</v>
      </c>
      <c r="N2970" s="1">
        <v>42872.839583333334</v>
      </c>
      <c r="O2970" t="s">
        <v>19</v>
      </c>
    </row>
    <row r="2971" spans="1:15" x14ac:dyDescent="0.25">
      <c r="A2971" t="s">
        <v>2415</v>
      </c>
      <c r="B2971" t="s">
        <v>15</v>
      </c>
      <c r="C2971" t="s">
        <v>2135</v>
      </c>
      <c r="D2971" t="s">
        <v>17</v>
      </c>
      <c r="E2971" t="s">
        <v>18</v>
      </c>
      <c r="F2971" t="s">
        <v>19</v>
      </c>
      <c r="G2971" t="s">
        <v>20</v>
      </c>
      <c r="J2971" t="s">
        <v>17</v>
      </c>
      <c r="K2971" t="str">
        <f>"76231454"</f>
        <v>76231454</v>
      </c>
      <c r="L2971" t="str">
        <f>"76231454"</f>
        <v>76231454</v>
      </c>
      <c r="M2971" t="s">
        <v>75</v>
      </c>
      <c r="N2971" s="1">
        <v>42872.847222222219</v>
      </c>
      <c r="O2971" t="s">
        <v>19</v>
      </c>
    </row>
    <row r="2972" spans="1:15" x14ac:dyDescent="0.25">
      <c r="A2972" t="s">
        <v>2416</v>
      </c>
      <c r="B2972" t="s">
        <v>15</v>
      </c>
      <c r="C2972" t="s">
        <v>2135</v>
      </c>
      <c r="D2972" t="s">
        <v>17</v>
      </c>
      <c r="E2972" t="s">
        <v>18</v>
      </c>
      <c r="F2972" t="s">
        <v>19</v>
      </c>
      <c r="G2972" t="s">
        <v>20</v>
      </c>
      <c r="J2972" t="s">
        <v>17</v>
      </c>
      <c r="K2972" t="str">
        <f>"172314174"</f>
        <v>172314174</v>
      </c>
      <c r="L2972" t="str">
        <f>"172314174"</f>
        <v>172314174</v>
      </c>
      <c r="M2972" t="s">
        <v>75</v>
      </c>
      <c r="N2972" s="1">
        <v>42872.847222222219</v>
      </c>
      <c r="O2972" t="s">
        <v>19</v>
      </c>
    </row>
    <row r="2973" spans="1:15" x14ac:dyDescent="0.25">
      <c r="A2973" t="s">
        <v>2416</v>
      </c>
      <c r="B2973" t="s">
        <v>15</v>
      </c>
      <c r="C2973" t="s">
        <v>2135</v>
      </c>
      <c r="D2973" t="s">
        <v>17</v>
      </c>
      <c r="E2973" t="s">
        <v>18</v>
      </c>
      <c r="F2973" t="s">
        <v>19</v>
      </c>
      <c r="G2973" t="s">
        <v>20</v>
      </c>
      <c r="J2973" t="s">
        <v>17</v>
      </c>
      <c r="K2973" t="str">
        <f>"172314175"</f>
        <v>172314175</v>
      </c>
      <c r="L2973" t="str">
        <f>"172314175"</f>
        <v>172314175</v>
      </c>
      <c r="M2973" t="s">
        <v>75</v>
      </c>
      <c r="N2973" s="1">
        <v>42872.849305555559</v>
      </c>
      <c r="O2973" t="s">
        <v>19</v>
      </c>
    </row>
    <row r="2974" spans="1:15" x14ac:dyDescent="0.25">
      <c r="A2974" t="s">
        <v>2416</v>
      </c>
      <c r="B2974" t="s">
        <v>15</v>
      </c>
      <c r="C2974" t="s">
        <v>2135</v>
      </c>
      <c r="D2974" t="s">
        <v>17</v>
      </c>
      <c r="E2974" t="s">
        <v>18</v>
      </c>
      <c r="F2974" t="s">
        <v>19</v>
      </c>
      <c r="G2974" t="s">
        <v>20</v>
      </c>
      <c r="J2974" t="s">
        <v>17</v>
      </c>
      <c r="K2974" t="str">
        <f>"762314175"</f>
        <v>762314175</v>
      </c>
      <c r="L2974" t="str">
        <f>"762314175"</f>
        <v>762314175</v>
      </c>
      <c r="M2974" t="s">
        <v>75</v>
      </c>
      <c r="N2974" s="1">
        <v>42872.849305555559</v>
      </c>
      <c r="O2974" t="s">
        <v>19</v>
      </c>
    </row>
    <row r="2975" spans="1:15" x14ac:dyDescent="0.25">
      <c r="A2975" t="s">
        <v>2417</v>
      </c>
      <c r="B2975" t="s">
        <v>15</v>
      </c>
      <c r="C2975" t="s">
        <v>2135</v>
      </c>
      <c r="D2975" t="s">
        <v>17</v>
      </c>
      <c r="E2975" t="s">
        <v>18</v>
      </c>
      <c r="F2975" t="s">
        <v>19</v>
      </c>
      <c r="G2975" t="s">
        <v>20</v>
      </c>
      <c r="J2975" t="s">
        <v>17</v>
      </c>
      <c r="K2975" t="str">
        <f>"762314178"</f>
        <v>762314178</v>
      </c>
      <c r="L2975" t="str">
        <f>"762314178"</f>
        <v>762314178</v>
      </c>
      <c r="M2975" t="s">
        <v>75</v>
      </c>
      <c r="N2975" s="1">
        <v>42872.849305555559</v>
      </c>
      <c r="O2975" t="s">
        <v>19</v>
      </c>
    </row>
    <row r="2976" spans="1:15" x14ac:dyDescent="0.25">
      <c r="A2976" t="s">
        <v>2417</v>
      </c>
      <c r="B2976" t="s">
        <v>15</v>
      </c>
      <c r="C2976" t="s">
        <v>2135</v>
      </c>
      <c r="D2976" t="s">
        <v>17</v>
      </c>
      <c r="E2976" t="s">
        <v>18</v>
      </c>
      <c r="F2976" t="s">
        <v>19</v>
      </c>
      <c r="G2976" t="s">
        <v>20</v>
      </c>
      <c r="J2976" t="s">
        <v>17</v>
      </c>
      <c r="K2976" t="str">
        <f>"766014178"</f>
        <v>766014178</v>
      </c>
      <c r="L2976" t="str">
        <f>"766014178"</f>
        <v>766014178</v>
      </c>
      <c r="M2976" t="s">
        <v>75</v>
      </c>
      <c r="N2976" s="1">
        <v>42872.849305555559</v>
      </c>
      <c r="O2976" t="s">
        <v>19</v>
      </c>
    </row>
    <row r="2977" spans="1:15" x14ac:dyDescent="0.25">
      <c r="A2977" t="s">
        <v>2417</v>
      </c>
      <c r="B2977" t="s">
        <v>15</v>
      </c>
      <c r="C2977" t="s">
        <v>2135</v>
      </c>
      <c r="D2977" t="s">
        <v>17</v>
      </c>
      <c r="E2977" t="s">
        <v>18</v>
      </c>
      <c r="F2977" t="s">
        <v>19</v>
      </c>
      <c r="G2977" t="s">
        <v>20</v>
      </c>
      <c r="J2977" t="s">
        <v>17</v>
      </c>
      <c r="K2977" t="str">
        <f>"766014184"</f>
        <v>766014184</v>
      </c>
      <c r="L2977" t="str">
        <f>"766014184"</f>
        <v>766014184</v>
      </c>
      <c r="M2977" t="s">
        <v>75</v>
      </c>
      <c r="N2977" s="1">
        <v>42872.849305555559</v>
      </c>
      <c r="O2977" t="s">
        <v>19</v>
      </c>
    </row>
    <row r="2978" spans="1:15" x14ac:dyDescent="0.25">
      <c r="A2978" t="s">
        <v>2418</v>
      </c>
      <c r="B2978" t="s">
        <v>15</v>
      </c>
      <c r="C2978" t="s">
        <v>2135</v>
      </c>
      <c r="D2978" t="s">
        <v>17</v>
      </c>
      <c r="E2978" t="s">
        <v>18</v>
      </c>
      <c r="F2978" t="s">
        <v>19</v>
      </c>
      <c r="G2978" t="s">
        <v>20</v>
      </c>
      <c r="J2978" t="s">
        <v>17</v>
      </c>
      <c r="K2978" t="str">
        <f>"762314191"</f>
        <v>762314191</v>
      </c>
      <c r="L2978" t="str">
        <f>"762314191"</f>
        <v>762314191</v>
      </c>
      <c r="M2978" t="s">
        <v>75</v>
      </c>
      <c r="N2978" s="1">
        <v>42872.849305555559</v>
      </c>
      <c r="O2978" t="s">
        <v>19</v>
      </c>
    </row>
    <row r="2979" spans="1:15" x14ac:dyDescent="0.25">
      <c r="A2979" t="s">
        <v>2418</v>
      </c>
      <c r="B2979" t="s">
        <v>15</v>
      </c>
      <c r="C2979" t="s">
        <v>2135</v>
      </c>
      <c r="D2979" t="s">
        <v>17</v>
      </c>
      <c r="E2979" t="s">
        <v>18</v>
      </c>
      <c r="F2979" t="s">
        <v>19</v>
      </c>
      <c r="G2979" t="s">
        <v>20</v>
      </c>
      <c r="J2979" t="s">
        <v>17</v>
      </c>
      <c r="K2979" t="str">
        <f>"766014191"</f>
        <v>766014191</v>
      </c>
      <c r="L2979" t="str">
        <f>"766014191"</f>
        <v>766014191</v>
      </c>
      <c r="M2979" t="s">
        <v>75</v>
      </c>
      <c r="N2979" s="1">
        <v>42872.849305555559</v>
      </c>
      <c r="O2979" t="s">
        <v>19</v>
      </c>
    </row>
    <row r="2980" spans="1:15" x14ac:dyDescent="0.25">
      <c r="A2980" t="s">
        <v>2418</v>
      </c>
      <c r="B2980" t="s">
        <v>15</v>
      </c>
      <c r="C2980" t="s">
        <v>2135</v>
      </c>
      <c r="D2980" t="s">
        <v>17</v>
      </c>
      <c r="E2980" t="s">
        <v>18</v>
      </c>
      <c r="F2980" t="s">
        <v>19</v>
      </c>
      <c r="G2980" t="s">
        <v>20</v>
      </c>
      <c r="J2980" t="s">
        <v>17</v>
      </c>
      <c r="K2980" t="str">
        <f>"862314191"</f>
        <v>862314191</v>
      </c>
      <c r="L2980" t="str">
        <f>"862314191"</f>
        <v>862314191</v>
      </c>
      <c r="M2980" t="s">
        <v>84</v>
      </c>
      <c r="N2980" s="1">
        <v>43280.708333333336</v>
      </c>
      <c r="O2980" t="s">
        <v>19</v>
      </c>
    </row>
    <row r="2981" spans="1:15" x14ac:dyDescent="0.25">
      <c r="A2981" t="s">
        <v>2419</v>
      </c>
      <c r="B2981" t="s">
        <v>15</v>
      </c>
      <c r="C2981" t="s">
        <v>2135</v>
      </c>
      <c r="D2981" t="s">
        <v>17</v>
      </c>
      <c r="E2981" t="s">
        <v>18</v>
      </c>
      <c r="F2981" t="s">
        <v>19</v>
      </c>
      <c r="G2981" t="s">
        <v>20</v>
      </c>
      <c r="J2981" t="s">
        <v>17</v>
      </c>
      <c r="K2981" t="str">
        <f>"176014200"</f>
        <v>176014200</v>
      </c>
      <c r="L2981" t="str">
        <f>"176014200"</f>
        <v>176014200</v>
      </c>
      <c r="M2981" t="s">
        <v>75</v>
      </c>
      <c r="N2981" s="1">
        <v>42895.95</v>
      </c>
      <c r="O2981" t="s">
        <v>19</v>
      </c>
    </row>
    <row r="2982" spans="1:15" x14ac:dyDescent="0.25">
      <c r="A2982" t="s">
        <v>2420</v>
      </c>
      <c r="B2982" t="s">
        <v>15</v>
      </c>
      <c r="C2982" t="s">
        <v>2135</v>
      </c>
      <c r="D2982" t="s">
        <v>17</v>
      </c>
      <c r="E2982" t="s">
        <v>18</v>
      </c>
      <c r="F2982" t="s">
        <v>19</v>
      </c>
      <c r="G2982" t="s">
        <v>20</v>
      </c>
      <c r="J2982" t="s">
        <v>17</v>
      </c>
      <c r="K2982" t="str">
        <f>"172314200"</f>
        <v>172314200</v>
      </c>
      <c r="L2982" t="str">
        <f>"172314200"</f>
        <v>172314200</v>
      </c>
      <c r="M2982" t="s">
        <v>75</v>
      </c>
      <c r="N2982" s="1">
        <v>42930.954861111109</v>
      </c>
      <c r="O2982" t="s">
        <v>19</v>
      </c>
    </row>
    <row r="2983" spans="1:15" x14ac:dyDescent="0.25">
      <c r="A2983" t="s">
        <v>2420</v>
      </c>
      <c r="B2983" t="s">
        <v>15</v>
      </c>
      <c r="C2983" t="s">
        <v>2135</v>
      </c>
      <c r="D2983" t="s">
        <v>17</v>
      </c>
      <c r="E2983" t="s">
        <v>18</v>
      </c>
      <c r="F2983" t="s">
        <v>19</v>
      </c>
      <c r="G2983" t="s">
        <v>20</v>
      </c>
      <c r="J2983" t="s">
        <v>17</v>
      </c>
      <c r="K2983" t="str">
        <f>"176314200"</f>
        <v>176314200</v>
      </c>
      <c r="L2983" t="str">
        <f>"176314200"</f>
        <v>176314200</v>
      </c>
      <c r="M2983" t="s">
        <v>75</v>
      </c>
      <c r="N2983" s="1">
        <v>43043.720833333333</v>
      </c>
      <c r="O2983" t="s">
        <v>19</v>
      </c>
    </row>
    <row r="2984" spans="1:15" x14ac:dyDescent="0.25">
      <c r="A2984" t="s">
        <v>2420</v>
      </c>
      <c r="B2984" t="s">
        <v>15</v>
      </c>
      <c r="C2984" t="s">
        <v>2135</v>
      </c>
      <c r="D2984" t="s">
        <v>17</v>
      </c>
      <c r="E2984" t="s">
        <v>18</v>
      </c>
      <c r="F2984" t="s">
        <v>19</v>
      </c>
      <c r="G2984" t="s">
        <v>20</v>
      </c>
      <c r="J2984" t="s">
        <v>17</v>
      </c>
      <c r="K2984" t="str">
        <f>"342314200"</f>
        <v>342314200</v>
      </c>
      <c r="L2984" t="str">
        <f>"342314200"</f>
        <v>342314200</v>
      </c>
      <c r="M2984" t="s">
        <v>75</v>
      </c>
      <c r="N2984" s="1">
        <v>43217.605555555558</v>
      </c>
      <c r="O2984" t="s">
        <v>19</v>
      </c>
    </row>
    <row r="2985" spans="1:15" x14ac:dyDescent="0.25">
      <c r="A2985" t="s">
        <v>2420</v>
      </c>
      <c r="B2985" t="s">
        <v>15</v>
      </c>
      <c r="C2985" t="s">
        <v>2135</v>
      </c>
      <c r="D2985" t="s">
        <v>17</v>
      </c>
      <c r="E2985" t="s">
        <v>18</v>
      </c>
      <c r="F2985" t="s">
        <v>19</v>
      </c>
      <c r="G2985" t="s">
        <v>20</v>
      </c>
      <c r="J2985" t="s">
        <v>17</v>
      </c>
      <c r="K2985" t="str">
        <f>"7290112310033"</f>
        <v>7290112310033</v>
      </c>
      <c r="L2985" t="str">
        <f>"346014200"</f>
        <v>346014200</v>
      </c>
      <c r="M2985" t="s">
        <v>84</v>
      </c>
      <c r="N2985" s="1">
        <v>43378.581250000003</v>
      </c>
      <c r="O2985" t="s">
        <v>19</v>
      </c>
    </row>
    <row r="2986" spans="1:15" x14ac:dyDescent="0.25">
      <c r="A2986" t="s">
        <v>2420</v>
      </c>
      <c r="B2986" t="s">
        <v>15</v>
      </c>
      <c r="C2986" t="s">
        <v>2135</v>
      </c>
      <c r="D2986" t="s">
        <v>17</v>
      </c>
      <c r="E2986" t="s">
        <v>18</v>
      </c>
      <c r="F2986" t="s">
        <v>19</v>
      </c>
      <c r="G2986" t="s">
        <v>20</v>
      </c>
      <c r="J2986" t="s">
        <v>17</v>
      </c>
      <c r="K2986" t="str">
        <f>"682314200"</f>
        <v>682314200</v>
      </c>
      <c r="L2986" t="str">
        <f>"682314200"</f>
        <v>682314200</v>
      </c>
      <c r="M2986" t="s">
        <v>84</v>
      </c>
      <c r="N2986" s="1">
        <v>43545.786111111112</v>
      </c>
      <c r="O2986" t="s">
        <v>19</v>
      </c>
    </row>
    <row r="2987" spans="1:15" x14ac:dyDescent="0.25">
      <c r="A2987" t="s">
        <v>2420</v>
      </c>
      <c r="B2987" t="s">
        <v>15</v>
      </c>
      <c r="C2987" t="s">
        <v>2135</v>
      </c>
      <c r="D2987" t="s">
        <v>17</v>
      </c>
      <c r="E2987" t="s">
        <v>18</v>
      </c>
      <c r="F2987" t="s">
        <v>19</v>
      </c>
      <c r="G2987" t="s">
        <v>20</v>
      </c>
      <c r="H2987" t="s">
        <v>2421</v>
      </c>
      <c r="J2987" t="s">
        <v>17</v>
      </c>
      <c r="K2987" t="str">
        <f>"8806088686967"</f>
        <v>8806088686967</v>
      </c>
      <c r="L2987" t="str">
        <f>"882314200"</f>
        <v>882314200</v>
      </c>
      <c r="M2987" t="s">
        <v>75</v>
      </c>
      <c r="N2987" s="1">
        <v>43216.627083333333</v>
      </c>
      <c r="O2987" t="s">
        <v>19</v>
      </c>
    </row>
    <row r="2988" spans="1:15" x14ac:dyDescent="0.25">
      <c r="A2988" t="s">
        <v>2422</v>
      </c>
      <c r="B2988" t="s">
        <v>15</v>
      </c>
      <c r="C2988" t="s">
        <v>2135</v>
      </c>
      <c r="D2988" t="s">
        <v>17</v>
      </c>
      <c r="E2988" t="s">
        <v>18</v>
      </c>
      <c r="F2988" t="s">
        <v>19</v>
      </c>
      <c r="G2988" t="s">
        <v>20</v>
      </c>
      <c r="J2988" t="s">
        <v>17</v>
      </c>
      <c r="K2988" t="str">
        <f>"176014201"</f>
        <v>176014201</v>
      </c>
      <c r="L2988" t="str">
        <f>"176014201"</f>
        <v>176014201</v>
      </c>
      <c r="M2988" t="s">
        <v>75</v>
      </c>
      <c r="N2988" s="1">
        <v>42895.949305555558</v>
      </c>
      <c r="O2988" t="s">
        <v>19</v>
      </c>
    </row>
    <row r="2989" spans="1:15" x14ac:dyDescent="0.25">
      <c r="A2989" t="s">
        <v>2422</v>
      </c>
      <c r="B2989" t="s">
        <v>15</v>
      </c>
      <c r="C2989" t="s">
        <v>2135</v>
      </c>
      <c r="D2989" t="s">
        <v>17</v>
      </c>
      <c r="E2989" t="s">
        <v>18</v>
      </c>
      <c r="F2989" t="s">
        <v>19</v>
      </c>
      <c r="G2989" t="s">
        <v>20</v>
      </c>
      <c r="J2989" t="s">
        <v>17</v>
      </c>
      <c r="K2989" t="str">
        <f>"172314201"</f>
        <v>172314201</v>
      </c>
      <c r="L2989" t="str">
        <f>"172314201"</f>
        <v>172314201</v>
      </c>
      <c r="M2989" t="s">
        <v>75</v>
      </c>
      <c r="N2989" s="1">
        <v>42930.956250000003</v>
      </c>
      <c r="O2989" t="s">
        <v>19</v>
      </c>
    </row>
    <row r="2990" spans="1:15" x14ac:dyDescent="0.25">
      <c r="A2990" t="s">
        <v>2422</v>
      </c>
      <c r="B2990" t="s">
        <v>15</v>
      </c>
      <c r="C2990" t="s">
        <v>2135</v>
      </c>
      <c r="D2990" t="s">
        <v>17</v>
      </c>
      <c r="E2990" t="s">
        <v>18</v>
      </c>
      <c r="F2990" t="s">
        <v>19</v>
      </c>
      <c r="G2990" t="s">
        <v>20</v>
      </c>
      <c r="J2990" t="s">
        <v>17</v>
      </c>
      <c r="K2990" t="str">
        <f>"176314201"</f>
        <v>176314201</v>
      </c>
      <c r="L2990" t="str">
        <f>"176314201"</f>
        <v>176314201</v>
      </c>
      <c r="M2990" t="s">
        <v>75</v>
      </c>
      <c r="N2990" s="1">
        <v>43043.720833333333</v>
      </c>
      <c r="O2990" t="s">
        <v>19</v>
      </c>
    </row>
    <row r="2991" spans="1:15" x14ac:dyDescent="0.25">
      <c r="A2991" t="s">
        <v>2422</v>
      </c>
      <c r="B2991" t="s">
        <v>15</v>
      </c>
      <c r="C2991" t="s">
        <v>2135</v>
      </c>
      <c r="D2991" t="s">
        <v>17</v>
      </c>
      <c r="E2991" t="s">
        <v>18</v>
      </c>
      <c r="F2991" t="s">
        <v>19</v>
      </c>
      <c r="G2991" t="s">
        <v>20</v>
      </c>
      <c r="J2991" t="s">
        <v>17</v>
      </c>
      <c r="K2991" t="str">
        <f>"869214201"</f>
        <v>869214201</v>
      </c>
      <c r="L2991" t="str">
        <f>"869214201"</f>
        <v>869214201</v>
      </c>
      <c r="M2991" t="s">
        <v>84</v>
      </c>
      <c r="N2991" s="1">
        <v>43374.652777777781</v>
      </c>
      <c r="O2991" t="s">
        <v>19</v>
      </c>
    </row>
    <row r="2992" spans="1:15" x14ac:dyDescent="0.25">
      <c r="A2992" t="s">
        <v>2422</v>
      </c>
      <c r="B2992" t="s">
        <v>15</v>
      </c>
      <c r="C2992" t="s">
        <v>2135</v>
      </c>
      <c r="D2992" t="s">
        <v>17</v>
      </c>
      <c r="E2992" t="s">
        <v>18</v>
      </c>
      <c r="F2992" t="s">
        <v>19</v>
      </c>
      <c r="G2992" t="s">
        <v>20</v>
      </c>
      <c r="H2992" t="s">
        <v>2421</v>
      </c>
      <c r="J2992" t="s">
        <v>17</v>
      </c>
      <c r="K2992" t="str">
        <f>"8806088687063"</f>
        <v>8806088687063</v>
      </c>
      <c r="L2992" t="str">
        <f>"882314201"</f>
        <v>882314201</v>
      </c>
      <c r="M2992" t="s">
        <v>75</v>
      </c>
      <c r="N2992" s="1">
        <v>43216.627083333333</v>
      </c>
      <c r="O2992" t="s">
        <v>19</v>
      </c>
    </row>
    <row r="2993" spans="1:15" x14ac:dyDescent="0.25">
      <c r="A2993" t="s">
        <v>2423</v>
      </c>
      <c r="B2993" t="s">
        <v>15</v>
      </c>
      <c r="C2993" t="s">
        <v>2135</v>
      </c>
      <c r="D2993" t="s">
        <v>17</v>
      </c>
      <c r="E2993" t="s">
        <v>18</v>
      </c>
      <c r="F2993" t="s">
        <v>19</v>
      </c>
      <c r="G2993" t="s">
        <v>20</v>
      </c>
      <c r="J2993" t="s">
        <v>17</v>
      </c>
      <c r="K2993" t="str">
        <f>"342314203"</f>
        <v>342314203</v>
      </c>
      <c r="L2993" t="str">
        <f>"342314203"</f>
        <v>342314203</v>
      </c>
      <c r="M2993" t="s">
        <v>75</v>
      </c>
      <c r="N2993" s="1">
        <v>43217.602083333331</v>
      </c>
      <c r="O2993" t="s">
        <v>19</v>
      </c>
    </row>
    <row r="2994" spans="1:15" x14ac:dyDescent="0.25">
      <c r="A2994" t="s">
        <v>2423</v>
      </c>
      <c r="B2994" t="s">
        <v>15</v>
      </c>
      <c r="C2994" t="s">
        <v>2135</v>
      </c>
      <c r="D2994" t="s">
        <v>17</v>
      </c>
      <c r="E2994" t="s">
        <v>18</v>
      </c>
      <c r="F2994" t="s">
        <v>19</v>
      </c>
      <c r="G2994" t="s">
        <v>20</v>
      </c>
      <c r="J2994" t="s">
        <v>17</v>
      </c>
      <c r="K2994" t="str">
        <f>"992314203"</f>
        <v>992314203</v>
      </c>
      <c r="L2994" t="str">
        <f>"992314203"</f>
        <v>992314203</v>
      </c>
      <c r="M2994" t="s">
        <v>75</v>
      </c>
      <c r="N2994" s="1">
        <v>43236.82916666667</v>
      </c>
      <c r="O2994" t="s">
        <v>19</v>
      </c>
    </row>
    <row r="2995" spans="1:15" x14ac:dyDescent="0.25">
      <c r="A2995" t="s">
        <v>2423</v>
      </c>
      <c r="B2995" t="s">
        <v>15</v>
      </c>
      <c r="C2995" t="s">
        <v>2135</v>
      </c>
      <c r="D2995" t="s">
        <v>17</v>
      </c>
      <c r="E2995" t="s">
        <v>18</v>
      </c>
      <c r="F2995" t="s">
        <v>19</v>
      </c>
      <c r="G2995" t="s">
        <v>20</v>
      </c>
      <c r="J2995" t="s">
        <v>17</v>
      </c>
      <c r="K2995" t="str">
        <f>"7290112310330"</f>
        <v>7290112310330</v>
      </c>
      <c r="L2995" t="str">
        <f>"346314203"</f>
        <v>346314203</v>
      </c>
      <c r="M2995" t="s">
        <v>84</v>
      </c>
      <c r="N2995" s="1">
        <v>43370.880555555559</v>
      </c>
      <c r="O2995" t="s">
        <v>19</v>
      </c>
    </row>
    <row r="2996" spans="1:15" x14ac:dyDescent="0.25">
      <c r="A2996" t="s">
        <v>2424</v>
      </c>
      <c r="B2996" t="s">
        <v>15</v>
      </c>
      <c r="C2996" t="s">
        <v>2135</v>
      </c>
      <c r="D2996" t="s">
        <v>17</v>
      </c>
      <c r="E2996" t="s">
        <v>18</v>
      </c>
      <c r="F2996" t="s">
        <v>19</v>
      </c>
      <c r="G2996" t="s">
        <v>20</v>
      </c>
      <c r="J2996" t="s">
        <v>17</v>
      </c>
      <c r="K2996" t="str">
        <f>"342314204"</f>
        <v>342314204</v>
      </c>
      <c r="L2996" t="str">
        <f>"342314204"</f>
        <v>342314204</v>
      </c>
      <c r="M2996" t="s">
        <v>75</v>
      </c>
      <c r="N2996" s="1">
        <v>43217.602777777778</v>
      </c>
      <c r="O2996" t="s">
        <v>19</v>
      </c>
    </row>
    <row r="2997" spans="1:15" x14ac:dyDescent="0.25">
      <c r="A2997" t="s">
        <v>2424</v>
      </c>
      <c r="B2997" t="s">
        <v>15</v>
      </c>
      <c r="C2997" t="s">
        <v>2135</v>
      </c>
      <c r="D2997" t="s">
        <v>17</v>
      </c>
      <c r="E2997" t="s">
        <v>18</v>
      </c>
      <c r="F2997" t="s">
        <v>19</v>
      </c>
      <c r="G2997" t="s">
        <v>20</v>
      </c>
      <c r="J2997" t="s">
        <v>17</v>
      </c>
      <c r="K2997" t="str">
        <f>"992314204"</f>
        <v>992314204</v>
      </c>
      <c r="L2997" t="str">
        <f>"992314204"</f>
        <v>992314204</v>
      </c>
      <c r="M2997" t="s">
        <v>75</v>
      </c>
      <c r="N2997" s="1">
        <v>43236.829861111109</v>
      </c>
      <c r="O2997" t="s">
        <v>19</v>
      </c>
    </row>
    <row r="2998" spans="1:15" x14ac:dyDescent="0.25">
      <c r="A2998" t="s">
        <v>2424</v>
      </c>
      <c r="B2998" t="s">
        <v>15</v>
      </c>
      <c r="C2998" t="s">
        <v>2135</v>
      </c>
      <c r="D2998" t="s">
        <v>17</v>
      </c>
      <c r="E2998" t="s">
        <v>18</v>
      </c>
      <c r="F2998" t="s">
        <v>19</v>
      </c>
      <c r="G2998" t="s">
        <v>20</v>
      </c>
      <c r="J2998" t="s">
        <v>17</v>
      </c>
      <c r="K2998" t="str">
        <f>"7290112310347"</f>
        <v>7290112310347</v>
      </c>
      <c r="L2998" t="str">
        <f>"346314204"</f>
        <v>346314204</v>
      </c>
      <c r="M2998" t="s">
        <v>84</v>
      </c>
      <c r="N2998" s="1">
        <v>43370.879861111112</v>
      </c>
      <c r="O2998" t="s">
        <v>19</v>
      </c>
    </row>
    <row r="2999" spans="1:15" x14ac:dyDescent="0.25">
      <c r="A2999" t="s">
        <v>2425</v>
      </c>
      <c r="B2999" t="s">
        <v>15</v>
      </c>
      <c r="C2999" t="s">
        <v>2135</v>
      </c>
      <c r="D2999" t="s">
        <v>17</v>
      </c>
      <c r="E2999" t="s">
        <v>18</v>
      </c>
      <c r="F2999" t="s">
        <v>19</v>
      </c>
      <c r="G2999" t="s">
        <v>20</v>
      </c>
      <c r="J2999" t="s">
        <v>17</v>
      </c>
      <c r="K2999" t="str">
        <f>"76231428"</f>
        <v>76231428</v>
      </c>
      <c r="L2999" t="str">
        <f>"76231428"</f>
        <v>76231428</v>
      </c>
      <c r="M2999" t="s">
        <v>75</v>
      </c>
      <c r="N2999" s="1">
        <v>42872.847222222219</v>
      </c>
      <c r="O2999" t="s">
        <v>19</v>
      </c>
    </row>
    <row r="3000" spans="1:15" x14ac:dyDescent="0.25">
      <c r="A3000" t="s">
        <v>2426</v>
      </c>
      <c r="B3000" t="s">
        <v>15</v>
      </c>
      <c r="C3000" t="s">
        <v>2135</v>
      </c>
      <c r="D3000" t="s">
        <v>17</v>
      </c>
      <c r="E3000" t="s">
        <v>18</v>
      </c>
      <c r="F3000" t="s">
        <v>19</v>
      </c>
      <c r="G3000" t="s">
        <v>20</v>
      </c>
      <c r="J3000" t="s">
        <v>17</v>
      </c>
      <c r="K3000" t="str">
        <f>"76601518"</f>
        <v>76601518</v>
      </c>
      <c r="L3000" t="str">
        <f>"76601518"</f>
        <v>76601518</v>
      </c>
      <c r="M3000" t="s">
        <v>75</v>
      </c>
      <c r="N3000" s="1">
        <v>42872.847222222219</v>
      </c>
      <c r="O3000" t="s">
        <v>19</v>
      </c>
    </row>
    <row r="3001" spans="1:15" x14ac:dyDescent="0.25">
      <c r="A3001" t="s">
        <v>2427</v>
      </c>
      <c r="B3001" t="s">
        <v>15</v>
      </c>
      <c r="C3001" t="s">
        <v>2135</v>
      </c>
      <c r="D3001" t="s">
        <v>17</v>
      </c>
      <c r="E3001" t="s">
        <v>18</v>
      </c>
      <c r="F3001" t="s">
        <v>19</v>
      </c>
      <c r="G3001" t="s">
        <v>20</v>
      </c>
      <c r="J3001" t="s">
        <v>17</v>
      </c>
      <c r="K3001" t="str">
        <f>"17601509"</f>
        <v>17601509</v>
      </c>
      <c r="L3001" t="str">
        <f>"17601509"</f>
        <v>17601509</v>
      </c>
      <c r="M3001" t="s">
        <v>75</v>
      </c>
      <c r="N3001" s="1">
        <v>42872.839583333334</v>
      </c>
      <c r="O3001" t="s">
        <v>19</v>
      </c>
    </row>
    <row r="3002" spans="1:15" x14ac:dyDescent="0.25">
      <c r="A3002" t="s">
        <v>2427</v>
      </c>
      <c r="B3002" t="s">
        <v>15</v>
      </c>
      <c r="C3002" t="s">
        <v>2135</v>
      </c>
      <c r="D3002" t="s">
        <v>17</v>
      </c>
      <c r="E3002" t="s">
        <v>18</v>
      </c>
      <c r="F3002" t="s">
        <v>19</v>
      </c>
      <c r="G3002" t="s">
        <v>20</v>
      </c>
      <c r="J3002" t="s">
        <v>17</v>
      </c>
      <c r="K3002" t="str">
        <f>"76231509"</f>
        <v>76231509</v>
      </c>
      <c r="L3002" t="str">
        <f>"76231509"</f>
        <v>76231509</v>
      </c>
      <c r="M3002" t="s">
        <v>75</v>
      </c>
      <c r="N3002" s="1">
        <v>42872.847222222219</v>
      </c>
      <c r="O3002" t="s">
        <v>19</v>
      </c>
    </row>
    <row r="3003" spans="1:15" x14ac:dyDescent="0.25">
      <c r="A3003" t="s">
        <v>2428</v>
      </c>
      <c r="B3003" t="s">
        <v>15</v>
      </c>
      <c r="C3003" t="s">
        <v>2135</v>
      </c>
      <c r="D3003" t="s">
        <v>17</v>
      </c>
      <c r="E3003" t="s">
        <v>18</v>
      </c>
      <c r="F3003" t="s">
        <v>19</v>
      </c>
      <c r="G3003" t="s">
        <v>20</v>
      </c>
      <c r="J3003" t="s">
        <v>17</v>
      </c>
      <c r="K3003" t="str">
        <f>"17231503"</f>
        <v>17231503</v>
      </c>
      <c r="L3003" t="str">
        <f>"17231503"</f>
        <v>17231503</v>
      </c>
      <c r="M3003" t="s">
        <v>75</v>
      </c>
      <c r="N3003" s="1">
        <v>42872.839583333334</v>
      </c>
      <c r="O3003" t="s">
        <v>19</v>
      </c>
    </row>
    <row r="3004" spans="1:15" x14ac:dyDescent="0.25">
      <c r="A3004" t="s">
        <v>2428</v>
      </c>
      <c r="B3004" t="s">
        <v>15</v>
      </c>
      <c r="C3004" t="s">
        <v>2135</v>
      </c>
      <c r="D3004" t="s">
        <v>17</v>
      </c>
      <c r="E3004" t="s">
        <v>18</v>
      </c>
      <c r="F3004" t="s">
        <v>19</v>
      </c>
      <c r="G3004" t="s">
        <v>20</v>
      </c>
      <c r="J3004" t="s">
        <v>17</v>
      </c>
      <c r="K3004" t="str">
        <f>"32231503"</f>
        <v>32231503</v>
      </c>
      <c r="L3004" t="str">
        <f>"32231503"</f>
        <v>32231503</v>
      </c>
      <c r="M3004" t="s">
        <v>75</v>
      </c>
      <c r="N3004" s="1">
        <v>42872.839583333334</v>
      </c>
      <c r="O3004" t="s">
        <v>19</v>
      </c>
    </row>
    <row r="3005" spans="1:15" x14ac:dyDescent="0.25">
      <c r="A3005" t="s">
        <v>2428</v>
      </c>
      <c r="B3005" t="s">
        <v>15</v>
      </c>
      <c r="C3005" t="s">
        <v>2135</v>
      </c>
      <c r="D3005" t="s">
        <v>17</v>
      </c>
      <c r="E3005" t="s">
        <v>18</v>
      </c>
      <c r="F3005" t="s">
        <v>19</v>
      </c>
      <c r="G3005" t="s">
        <v>20</v>
      </c>
      <c r="J3005" t="s">
        <v>17</v>
      </c>
      <c r="K3005" t="str">
        <f>"76231503"</f>
        <v>76231503</v>
      </c>
      <c r="L3005" t="str">
        <f>"76231503"</f>
        <v>76231503</v>
      </c>
      <c r="M3005" t="s">
        <v>75</v>
      </c>
      <c r="N3005" s="1">
        <v>42872.847222222219</v>
      </c>
      <c r="O3005" t="s">
        <v>19</v>
      </c>
    </row>
    <row r="3006" spans="1:15" x14ac:dyDescent="0.25">
      <c r="A3006" t="s">
        <v>2428</v>
      </c>
      <c r="B3006" t="s">
        <v>15</v>
      </c>
      <c r="C3006" t="s">
        <v>2135</v>
      </c>
      <c r="D3006" t="s">
        <v>17</v>
      </c>
      <c r="E3006" t="s">
        <v>18</v>
      </c>
      <c r="F3006" t="s">
        <v>19</v>
      </c>
      <c r="G3006" t="s">
        <v>20</v>
      </c>
      <c r="J3006" t="s">
        <v>17</v>
      </c>
      <c r="K3006" t="str">
        <f>"76601503"</f>
        <v>76601503</v>
      </c>
      <c r="L3006" t="str">
        <f>"76601503"</f>
        <v>76601503</v>
      </c>
      <c r="M3006" t="s">
        <v>75</v>
      </c>
      <c r="N3006" s="1">
        <v>42872.847222222219</v>
      </c>
      <c r="O3006" t="s">
        <v>19</v>
      </c>
    </row>
    <row r="3007" spans="1:15" x14ac:dyDescent="0.25">
      <c r="A3007" t="s">
        <v>2428</v>
      </c>
      <c r="B3007" t="s">
        <v>15</v>
      </c>
      <c r="C3007" t="s">
        <v>2135</v>
      </c>
      <c r="D3007" t="s">
        <v>17</v>
      </c>
      <c r="E3007" t="s">
        <v>18</v>
      </c>
      <c r="F3007" t="s">
        <v>19</v>
      </c>
      <c r="G3007" t="s">
        <v>20</v>
      </c>
      <c r="J3007" t="s">
        <v>17</v>
      </c>
      <c r="K3007" t="str">
        <f>"76631403"</f>
        <v>76631403</v>
      </c>
      <c r="L3007" t="str">
        <f>"76631403"</f>
        <v>76631403</v>
      </c>
      <c r="M3007" t="s">
        <v>75</v>
      </c>
      <c r="N3007" s="1">
        <v>42872.847222222219</v>
      </c>
      <c r="O3007" t="s">
        <v>19</v>
      </c>
    </row>
    <row r="3008" spans="1:15" x14ac:dyDescent="0.25">
      <c r="A3008" t="s">
        <v>2428</v>
      </c>
      <c r="B3008" t="s">
        <v>15</v>
      </c>
      <c r="C3008" t="s">
        <v>2135</v>
      </c>
      <c r="D3008" t="s">
        <v>17</v>
      </c>
      <c r="E3008" t="s">
        <v>18</v>
      </c>
      <c r="F3008" t="s">
        <v>19</v>
      </c>
      <c r="G3008" t="s">
        <v>20</v>
      </c>
      <c r="J3008" t="s">
        <v>17</v>
      </c>
      <c r="K3008" t="str">
        <f>"76631503"</f>
        <v>76631503</v>
      </c>
      <c r="L3008" t="str">
        <f>"76631503"</f>
        <v>76631503</v>
      </c>
      <c r="M3008" t="s">
        <v>75</v>
      </c>
      <c r="N3008" s="1">
        <v>42872.847222222219</v>
      </c>
      <c r="O3008" t="s">
        <v>19</v>
      </c>
    </row>
    <row r="3009" spans="1:15" x14ac:dyDescent="0.25">
      <c r="A3009" t="s">
        <v>2429</v>
      </c>
      <c r="B3009" t="s">
        <v>15</v>
      </c>
      <c r="C3009" t="s">
        <v>2135</v>
      </c>
      <c r="D3009" t="s">
        <v>17</v>
      </c>
      <c r="E3009" t="s">
        <v>18</v>
      </c>
      <c r="F3009" t="s">
        <v>19</v>
      </c>
      <c r="G3009" t="s">
        <v>20</v>
      </c>
      <c r="J3009" t="s">
        <v>17</v>
      </c>
      <c r="K3009" t="str">
        <f>"17231537"</f>
        <v>17231537</v>
      </c>
      <c r="L3009" t="str">
        <f>"17231537"</f>
        <v>17231537</v>
      </c>
      <c r="M3009" t="s">
        <v>75</v>
      </c>
      <c r="N3009" s="1">
        <v>42872.839583333334</v>
      </c>
      <c r="O3009" t="s">
        <v>19</v>
      </c>
    </row>
    <row r="3010" spans="1:15" x14ac:dyDescent="0.25">
      <c r="A3010" t="s">
        <v>2430</v>
      </c>
      <c r="B3010" t="s">
        <v>15</v>
      </c>
      <c r="C3010" t="s">
        <v>2135</v>
      </c>
      <c r="D3010" t="s">
        <v>17</v>
      </c>
      <c r="E3010" t="s">
        <v>18</v>
      </c>
      <c r="F3010" t="s">
        <v>19</v>
      </c>
      <c r="G3010" t="s">
        <v>20</v>
      </c>
      <c r="J3010" t="s">
        <v>17</v>
      </c>
      <c r="K3010" t="str">
        <f>"17601505"</f>
        <v>17601505</v>
      </c>
      <c r="L3010" t="str">
        <f>"17601505"</f>
        <v>17601505</v>
      </c>
      <c r="M3010" t="s">
        <v>75</v>
      </c>
      <c r="N3010" s="1">
        <v>42872.839583333334</v>
      </c>
      <c r="O3010" t="s">
        <v>19</v>
      </c>
    </row>
    <row r="3011" spans="1:15" x14ac:dyDescent="0.25">
      <c r="A3011" t="s">
        <v>2431</v>
      </c>
      <c r="B3011" t="s">
        <v>15</v>
      </c>
      <c r="C3011" t="s">
        <v>2135</v>
      </c>
      <c r="D3011" t="s">
        <v>17</v>
      </c>
      <c r="E3011" t="s">
        <v>18</v>
      </c>
      <c r="F3011" t="s">
        <v>19</v>
      </c>
      <c r="G3011" t="s">
        <v>20</v>
      </c>
      <c r="J3011" t="s">
        <v>17</v>
      </c>
      <c r="K3011" t="str">
        <f>"17231505"</f>
        <v>17231505</v>
      </c>
      <c r="L3011" t="str">
        <f>"17231505"</f>
        <v>17231505</v>
      </c>
      <c r="M3011" t="s">
        <v>75</v>
      </c>
      <c r="N3011" s="1">
        <v>42872.839583333334</v>
      </c>
      <c r="O3011" t="s">
        <v>19</v>
      </c>
    </row>
    <row r="3012" spans="1:15" x14ac:dyDescent="0.25">
      <c r="A3012" t="s">
        <v>2431</v>
      </c>
      <c r="B3012" t="s">
        <v>15</v>
      </c>
      <c r="C3012" t="s">
        <v>2135</v>
      </c>
      <c r="D3012" t="s">
        <v>17</v>
      </c>
      <c r="E3012" t="s">
        <v>18</v>
      </c>
      <c r="F3012" t="s">
        <v>19</v>
      </c>
      <c r="G3012" t="s">
        <v>20</v>
      </c>
      <c r="J3012" t="s">
        <v>17</v>
      </c>
      <c r="K3012" t="str">
        <f>"172315220"</f>
        <v>172315220</v>
      </c>
      <c r="L3012" t="str">
        <f>"172315220"</f>
        <v>172315220</v>
      </c>
      <c r="M3012" t="s">
        <v>75</v>
      </c>
      <c r="N3012" s="1">
        <v>42872.849305555559</v>
      </c>
      <c r="O3012" t="s">
        <v>19</v>
      </c>
    </row>
    <row r="3013" spans="1:15" x14ac:dyDescent="0.25">
      <c r="A3013" t="s">
        <v>2432</v>
      </c>
      <c r="B3013" t="s">
        <v>15</v>
      </c>
      <c r="C3013" t="s">
        <v>2135</v>
      </c>
      <c r="D3013" t="s">
        <v>17</v>
      </c>
      <c r="E3013" t="s">
        <v>18</v>
      </c>
      <c r="F3013" t="s">
        <v>19</v>
      </c>
      <c r="G3013" t="s">
        <v>20</v>
      </c>
      <c r="J3013" t="s">
        <v>17</v>
      </c>
      <c r="K3013" t="str">
        <f>"110762201"</f>
        <v>110762201</v>
      </c>
      <c r="L3013" t="str">
        <f>"110762201"</f>
        <v>110762201</v>
      </c>
      <c r="M3013" t="s">
        <v>75</v>
      </c>
      <c r="N3013" s="1">
        <v>42872.847222222219</v>
      </c>
      <c r="O3013" t="s">
        <v>19</v>
      </c>
    </row>
    <row r="3014" spans="1:15" x14ac:dyDescent="0.25">
      <c r="A3014" t="s">
        <v>2432</v>
      </c>
      <c r="B3014" t="s">
        <v>15</v>
      </c>
      <c r="C3014" t="s">
        <v>2135</v>
      </c>
      <c r="D3014" t="s">
        <v>17</v>
      </c>
      <c r="E3014" t="s">
        <v>18</v>
      </c>
      <c r="F3014" t="s">
        <v>19</v>
      </c>
      <c r="G3014" t="s">
        <v>20</v>
      </c>
      <c r="J3014" t="s">
        <v>17</v>
      </c>
      <c r="K3014" t="str">
        <f>"110762202"</f>
        <v>110762202</v>
      </c>
      <c r="L3014" t="str">
        <f>"110762202"</f>
        <v>110762202</v>
      </c>
      <c r="M3014" t="s">
        <v>75</v>
      </c>
      <c r="N3014" s="1">
        <v>42872.847222222219</v>
      </c>
      <c r="O3014" t="s">
        <v>19</v>
      </c>
    </row>
    <row r="3015" spans="1:15" x14ac:dyDescent="0.25">
      <c r="A3015" t="s">
        <v>2433</v>
      </c>
      <c r="B3015" t="s">
        <v>15</v>
      </c>
      <c r="C3015" t="s">
        <v>2135</v>
      </c>
      <c r="D3015" t="s">
        <v>17</v>
      </c>
      <c r="E3015" t="s">
        <v>18</v>
      </c>
      <c r="F3015" t="s">
        <v>19</v>
      </c>
      <c r="G3015" t="s">
        <v>20</v>
      </c>
      <c r="J3015" t="s">
        <v>17</v>
      </c>
      <c r="K3015" t="str">
        <f>"17231504"</f>
        <v>17231504</v>
      </c>
      <c r="L3015" t="str">
        <f>"17231504"</f>
        <v>17231504</v>
      </c>
      <c r="M3015" t="s">
        <v>75</v>
      </c>
      <c r="N3015" s="1">
        <v>42872.839583333334</v>
      </c>
      <c r="O3015" t="s">
        <v>19</v>
      </c>
    </row>
    <row r="3016" spans="1:15" x14ac:dyDescent="0.25">
      <c r="A3016" t="s">
        <v>2433</v>
      </c>
      <c r="B3016" t="s">
        <v>15</v>
      </c>
      <c r="C3016" t="s">
        <v>2135</v>
      </c>
      <c r="D3016" t="s">
        <v>17</v>
      </c>
      <c r="E3016" t="s">
        <v>18</v>
      </c>
      <c r="F3016" t="s">
        <v>19</v>
      </c>
      <c r="G3016" t="s">
        <v>20</v>
      </c>
      <c r="J3016" t="s">
        <v>17</v>
      </c>
      <c r="K3016" t="str">
        <f>"76231504"</f>
        <v>76231504</v>
      </c>
      <c r="L3016" t="str">
        <f>"76231504"</f>
        <v>76231504</v>
      </c>
      <c r="M3016" t="s">
        <v>75</v>
      </c>
      <c r="N3016" s="1">
        <v>42872.847222222219</v>
      </c>
      <c r="O3016" t="s">
        <v>19</v>
      </c>
    </row>
    <row r="3017" spans="1:15" x14ac:dyDescent="0.25">
      <c r="A3017" t="s">
        <v>2433</v>
      </c>
      <c r="B3017" t="s">
        <v>15</v>
      </c>
      <c r="C3017" t="s">
        <v>2135</v>
      </c>
      <c r="D3017" t="s">
        <v>17</v>
      </c>
      <c r="E3017" t="s">
        <v>18</v>
      </c>
      <c r="F3017" t="s">
        <v>19</v>
      </c>
      <c r="G3017" t="s">
        <v>20</v>
      </c>
      <c r="J3017" t="s">
        <v>17</v>
      </c>
      <c r="K3017" t="str">
        <f>"76551504"</f>
        <v>76551504</v>
      </c>
      <c r="L3017" t="str">
        <f>"76551504"</f>
        <v>76551504</v>
      </c>
      <c r="M3017" t="s">
        <v>75</v>
      </c>
      <c r="N3017" s="1">
        <v>42872.847222222219</v>
      </c>
      <c r="O3017" t="s">
        <v>19</v>
      </c>
    </row>
    <row r="3018" spans="1:15" x14ac:dyDescent="0.25">
      <c r="A3018" t="s">
        <v>2433</v>
      </c>
      <c r="B3018" t="s">
        <v>15</v>
      </c>
      <c r="C3018" t="s">
        <v>2135</v>
      </c>
      <c r="D3018" t="s">
        <v>17</v>
      </c>
      <c r="E3018" t="s">
        <v>18</v>
      </c>
      <c r="F3018" t="s">
        <v>19</v>
      </c>
      <c r="G3018" t="s">
        <v>20</v>
      </c>
      <c r="J3018" t="s">
        <v>17</v>
      </c>
      <c r="K3018" t="str">
        <f>"76601504"</f>
        <v>76601504</v>
      </c>
      <c r="L3018" t="str">
        <f>"76601504"</f>
        <v>76601504</v>
      </c>
      <c r="M3018" t="s">
        <v>75</v>
      </c>
      <c r="N3018" s="1">
        <v>42872.847222222219</v>
      </c>
      <c r="O3018" t="s">
        <v>19</v>
      </c>
    </row>
    <row r="3019" spans="1:15" x14ac:dyDescent="0.25">
      <c r="A3019" t="s">
        <v>2434</v>
      </c>
      <c r="B3019" t="s">
        <v>15</v>
      </c>
      <c r="C3019" t="s">
        <v>2135</v>
      </c>
      <c r="D3019" t="s">
        <v>17</v>
      </c>
      <c r="E3019" t="s">
        <v>18</v>
      </c>
      <c r="F3019" t="s">
        <v>19</v>
      </c>
      <c r="G3019" t="s">
        <v>20</v>
      </c>
      <c r="J3019" t="s">
        <v>17</v>
      </c>
      <c r="K3019" t="str">
        <f>"172315131"</f>
        <v>172315131</v>
      </c>
      <c r="L3019" t="str">
        <f>"172315131"</f>
        <v>172315131</v>
      </c>
      <c r="M3019" t="s">
        <v>75</v>
      </c>
      <c r="N3019" s="1">
        <v>42872.849305555559</v>
      </c>
      <c r="O3019" t="s">
        <v>19</v>
      </c>
    </row>
    <row r="3020" spans="1:15" x14ac:dyDescent="0.25">
      <c r="A3020" t="s">
        <v>2434</v>
      </c>
      <c r="B3020" t="s">
        <v>15</v>
      </c>
      <c r="C3020" t="s">
        <v>2135</v>
      </c>
      <c r="D3020" t="s">
        <v>17</v>
      </c>
      <c r="E3020" t="s">
        <v>18</v>
      </c>
      <c r="F3020" t="s">
        <v>19</v>
      </c>
      <c r="G3020" t="s">
        <v>20</v>
      </c>
      <c r="J3020" t="s">
        <v>17</v>
      </c>
      <c r="K3020" t="str">
        <f>"762309131"</f>
        <v>762309131</v>
      </c>
      <c r="L3020" t="str">
        <f>"762309131"</f>
        <v>762309131</v>
      </c>
      <c r="M3020" t="s">
        <v>75</v>
      </c>
      <c r="N3020" s="1">
        <v>42872.849305555559</v>
      </c>
      <c r="O3020" t="s">
        <v>19</v>
      </c>
    </row>
    <row r="3021" spans="1:15" x14ac:dyDescent="0.25">
      <c r="A3021" t="s">
        <v>2434</v>
      </c>
      <c r="B3021" t="s">
        <v>15</v>
      </c>
      <c r="C3021" t="s">
        <v>2135</v>
      </c>
      <c r="D3021" t="s">
        <v>17</v>
      </c>
      <c r="E3021" t="s">
        <v>18</v>
      </c>
      <c r="F3021" t="s">
        <v>19</v>
      </c>
      <c r="G3021" t="s">
        <v>20</v>
      </c>
      <c r="J3021" t="s">
        <v>17</v>
      </c>
      <c r="K3021" t="str">
        <f>"762315131"</f>
        <v>762315131</v>
      </c>
      <c r="L3021" t="str">
        <f>"762315131"</f>
        <v>762315131</v>
      </c>
      <c r="M3021" t="s">
        <v>75</v>
      </c>
      <c r="N3021" s="1">
        <v>42872.849305555559</v>
      </c>
      <c r="O3021" t="s">
        <v>19</v>
      </c>
    </row>
    <row r="3022" spans="1:15" x14ac:dyDescent="0.25">
      <c r="A3022" t="s">
        <v>2434</v>
      </c>
      <c r="B3022" t="s">
        <v>15</v>
      </c>
      <c r="C3022" t="s">
        <v>2135</v>
      </c>
      <c r="D3022" t="s">
        <v>17</v>
      </c>
      <c r="E3022" t="s">
        <v>18</v>
      </c>
      <c r="F3022" t="s">
        <v>19</v>
      </c>
      <c r="G3022" t="s">
        <v>20</v>
      </c>
      <c r="J3022" t="s">
        <v>17</v>
      </c>
      <c r="K3022" t="str">
        <f>"766015131"</f>
        <v>766015131</v>
      </c>
      <c r="L3022" t="str">
        <f>"766015131"</f>
        <v>766015131</v>
      </c>
      <c r="M3022" t="s">
        <v>75</v>
      </c>
      <c r="N3022" s="1">
        <v>42872.849305555559</v>
      </c>
      <c r="O3022" t="s">
        <v>19</v>
      </c>
    </row>
    <row r="3023" spans="1:15" x14ac:dyDescent="0.25">
      <c r="A3023" t="s">
        <v>2435</v>
      </c>
      <c r="B3023" t="s">
        <v>15</v>
      </c>
      <c r="C3023" t="s">
        <v>2135</v>
      </c>
      <c r="D3023" t="s">
        <v>17</v>
      </c>
      <c r="E3023" t="s">
        <v>18</v>
      </c>
      <c r="F3023" t="s">
        <v>19</v>
      </c>
      <c r="G3023" t="s">
        <v>20</v>
      </c>
      <c r="J3023" t="s">
        <v>17</v>
      </c>
      <c r="K3023" t="str">
        <f>"17601527"</f>
        <v>17601527</v>
      </c>
      <c r="L3023" t="str">
        <f>"17601527"</f>
        <v>17601527</v>
      </c>
      <c r="M3023" t="s">
        <v>75</v>
      </c>
      <c r="N3023" s="1">
        <v>42872.839583333334</v>
      </c>
      <c r="O3023" t="s">
        <v>19</v>
      </c>
    </row>
    <row r="3024" spans="1:15" x14ac:dyDescent="0.25">
      <c r="A3024" t="s">
        <v>2435</v>
      </c>
      <c r="B3024" t="s">
        <v>15</v>
      </c>
      <c r="C3024" t="s">
        <v>2135</v>
      </c>
      <c r="D3024" t="s">
        <v>17</v>
      </c>
      <c r="E3024" t="s">
        <v>18</v>
      </c>
      <c r="F3024" t="s">
        <v>19</v>
      </c>
      <c r="G3024" t="s">
        <v>20</v>
      </c>
      <c r="J3024" t="s">
        <v>17</v>
      </c>
      <c r="K3024" t="str">
        <f>"76601527"</f>
        <v>76601527</v>
      </c>
      <c r="L3024" t="str">
        <f>"76601527"</f>
        <v>76601527</v>
      </c>
      <c r="M3024" t="s">
        <v>75</v>
      </c>
      <c r="N3024" s="1">
        <v>42872.847222222219</v>
      </c>
      <c r="O3024" t="s">
        <v>19</v>
      </c>
    </row>
    <row r="3025" spans="1:15" x14ac:dyDescent="0.25">
      <c r="A3025" t="s">
        <v>2436</v>
      </c>
      <c r="B3025" t="s">
        <v>15</v>
      </c>
      <c r="C3025" t="s">
        <v>2135</v>
      </c>
      <c r="D3025" t="s">
        <v>17</v>
      </c>
      <c r="E3025" t="s">
        <v>18</v>
      </c>
      <c r="F3025" t="s">
        <v>19</v>
      </c>
      <c r="G3025" t="s">
        <v>20</v>
      </c>
      <c r="J3025" t="s">
        <v>17</v>
      </c>
      <c r="K3025" t="str">
        <f>"3323150301"</f>
        <v>3323150301</v>
      </c>
      <c r="L3025" t="str">
        <f>"3323150301"</f>
        <v>3323150301</v>
      </c>
      <c r="M3025" t="s">
        <v>75</v>
      </c>
      <c r="N3025" s="1">
        <v>43244.716666666667</v>
      </c>
      <c r="O3025" t="s">
        <v>19</v>
      </c>
    </row>
    <row r="3026" spans="1:15" x14ac:dyDescent="0.25">
      <c r="A3026" t="s">
        <v>2437</v>
      </c>
      <c r="B3026" t="s">
        <v>15</v>
      </c>
      <c r="C3026" t="s">
        <v>2135</v>
      </c>
      <c r="D3026" t="s">
        <v>17</v>
      </c>
      <c r="E3026" t="s">
        <v>18</v>
      </c>
      <c r="F3026" t="s">
        <v>19</v>
      </c>
      <c r="G3026" t="s">
        <v>20</v>
      </c>
      <c r="J3026" t="s">
        <v>17</v>
      </c>
      <c r="K3026" t="str">
        <f>"76631513"</f>
        <v>76631513</v>
      </c>
      <c r="L3026" t="str">
        <f>"76631513"</f>
        <v>76631513</v>
      </c>
      <c r="M3026" t="s">
        <v>75</v>
      </c>
      <c r="N3026" s="1">
        <v>42872.847222222219</v>
      </c>
      <c r="O3026" t="s">
        <v>19</v>
      </c>
    </row>
    <row r="3027" spans="1:15" x14ac:dyDescent="0.25">
      <c r="A3027" t="s">
        <v>2437</v>
      </c>
      <c r="B3027" t="s">
        <v>15</v>
      </c>
      <c r="C3027" t="s">
        <v>2135</v>
      </c>
      <c r="D3027" t="s">
        <v>17</v>
      </c>
      <c r="E3027" t="s">
        <v>18</v>
      </c>
      <c r="F3027" t="s">
        <v>19</v>
      </c>
      <c r="G3027" t="s">
        <v>20</v>
      </c>
      <c r="J3027" t="s">
        <v>17</v>
      </c>
      <c r="K3027" t="str">
        <f>"76631518"</f>
        <v>76631518</v>
      </c>
      <c r="L3027" t="str">
        <f>"76631518"</f>
        <v>76631518</v>
      </c>
      <c r="M3027" t="s">
        <v>75</v>
      </c>
      <c r="N3027" s="1">
        <v>42872.847222222219</v>
      </c>
      <c r="O3027" t="s">
        <v>19</v>
      </c>
    </row>
    <row r="3028" spans="1:15" x14ac:dyDescent="0.25">
      <c r="A3028" t="s">
        <v>2437</v>
      </c>
      <c r="B3028" t="s">
        <v>15</v>
      </c>
      <c r="C3028" t="s">
        <v>2135</v>
      </c>
      <c r="D3028" t="s">
        <v>17</v>
      </c>
      <c r="E3028" t="s">
        <v>18</v>
      </c>
      <c r="F3028" t="s">
        <v>19</v>
      </c>
      <c r="G3028" t="s">
        <v>20</v>
      </c>
      <c r="J3028" t="s">
        <v>17</v>
      </c>
      <c r="K3028" t="str">
        <f>"766315113"</f>
        <v>766315113</v>
      </c>
      <c r="L3028" t="str">
        <f>"766315113"</f>
        <v>766315113</v>
      </c>
      <c r="M3028" t="s">
        <v>75</v>
      </c>
      <c r="N3028" s="1">
        <v>42872.849305555559</v>
      </c>
      <c r="O3028" t="s">
        <v>19</v>
      </c>
    </row>
    <row r="3029" spans="1:15" x14ac:dyDescent="0.25">
      <c r="A3029" t="s">
        <v>2437</v>
      </c>
      <c r="B3029" t="s">
        <v>15</v>
      </c>
      <c r="C3029" t="s">
        <v>2135</v>
      </c>
      <c r="D3029" t="s">
        <v>17</v>
      </c>
      <c r="E3029" t="s">
        <v>18</v>
      </c>
      <c r="F3029" t="s">
        <v>19</v>
      </c>
      <c r="G3029" t="s">
        <v>20</v>
      </c>
      <c r="J3029" t="s">
        <v>17</v>
      </c>
      <c r="K3029" t="str">
        <f>"110761044"</f>
        <v>110761044</v>
      </c>
      <c r="L3029" t="str">
        <f>"110761044"</f>
        <v>110761044</v>
      </c>
      <c r="M3029" t="s">
        <v>21</v>
      </c>
      <c r="N3029" s="1">
        <v>42872.847222222219</v>
      </c>
      <c r="O3029" t="s">
        <v>33</v>
      </c>
    </row>
    <row r="3030" spans="1:15" x14ac:dyDescent="0.25">
      <c r="A3030" t="s">
        <v>2438</v>
      </c>
      <c r="B3030" t="s">
        <v>15</v>
      </c>
      <c r="C3030" t="s">
        <v>2135</v>
      </c>
      <c r="D3030" t="s">
        <v>17</v>
      </c>
      <c r="E3030" t="s">
        <v>18</v>
      </c>
      <c r="F3030" t="s">
        <v>19</v>
      </c>
      <c r="G3030" t="s">
        <v>20</v>
      </c>
      <c r="J3030" t="s">
        <v>17</v>
      </c>
      <c r="K3030" t="str">
        <f>"17231509"</f>
        <v>17231509</v>
      </c>
      <c r="L3030" t="str">
        <f>"17231509"</f>
        <v>17231509</v>
      </c>
      <c r="M3030" t="s">
        <v>75</v>
      </c>
      <c r="N3030" s="1">
        <v>42872.839583333334</v>
      </c>
      <c r="O3030" t="s">
        <v>19</v>
      </c>
    </row>
    <row r="3031" spans="1:15" x14ac:dyDescent="0.25">
      <c r="A3031" t="s">
        <v>2438</v>
      </c>
      <c r="B3031" t="s">
        <v>15</v>
      </c>
      <c r="C3031" t="s">
        <v>2135</v>
      </c>
      <c r="D3031" t="s">
        <v>17</v>
      </c>
      <c r="E3031" t="s">
        <v>18</v>
      </c>
      <c r="F3031" t="s">
        <v>19</v>
      </c>
      <c r="G3031" t="s">
        <v>20</v>
      </c>
      <c r="J3031" t="s">
        <v>17</v>
      </c>
      <c r="K3031" t="str">
        <f>"76601509"</f>
        <v>76601509</v>
      </c>
      <c r="L3031" t="str">
        <f>"76601509"</f>
        <v>76601509</v>
      </c>
      <c r="M3031" t="s">
        <v>75</v>
      </c>
      <c r="N3031" s="1">
        <v>42872.847222222219</v>
      </c>
      <c r="O3031" t="s">
        <v>19</v>
      </c>
    </row>
    <row r="3032" spans="1:15" x14ac:dyDescent="0.25">
      <c r="A3032" t="s">
        <v>2438</v>
      </c>
      <c r="B3032" t="s">
        <v>15</v>
      </c>
      <c r="C3032" t="s">
        <v>2135</v>
      </c>
      <c r="D3032" t="s">
        <v>17</v>
      </c>
      <c r="E3032" t="s">
        <v>18</v>
      </c>
      <c r="F3032" t="s">
        <v>19</v>
      </c>
      <c r="G3032" t="s">
        <v>20</v>
      </c>
      <c r="J3032" t="s">
        <v>17</v>
      </c>
      <c r="K3032" t="str">
        <f>"76631509"</f>
        <v>76631509</v>
      </c>
      <c r="L3032" t="str">
        <f>"76631509"</f>
        <v>76631509</v>
      </c>
      <c r="M3032" t="s">
        <v>75</v>
      </c>
      <c r="N3032" s="1">
        <v>42872.847222222219</v>
      </c>
      <c r="O3032" t="s">
        <v>19</v>
      </c>
    </row>
    <row r="3033" spans="1:15" x14ac:dyDescent="0.25">
      <c r="A3033" t="s">
        <v>2439</v>
      </c>
      <c r="B3033" t="s">
        <v>15</v>
      </c>
      <c r="C3033" t="s">
        <v>2135</v>
      </c>
      <c r="D3033" t="s">
        <v>17</v>
      </c>
      <c r="E3033" t="s">
        <v>18</v>
      </c>
      <c r="F3033" t="s">
        <v>19</v>
      </c>
      <c r="G3033" t="s">
        <v>20</v>
      </c>
      <c r="J3033" t="s">
        <v>17</v>
      </c>
      <c r="K3033" t="str">
        <f>"172315111"</f>
        <v>172315111</v>
      </c>
      <c r="L3033" t="str">
        <f>"172315111"</f>
        <v>172315111</v>
      </c>
      <c r="M3033" t="s">
        <v>75</v>
      </c>
      <c r="N3033" s="1">
        <v>42872.849305555559</v>
      </c>
      <c r="O3033" t="s">
        <v>19</v>
      </c>
    </row>
    <row r="3034" spans="1:15" x14ac:dyDescent="0.25">
      <c r="A3034" t="s">
        <v>2439</v>
      </c>
      <c r="B3034" t="s">
        <v>15</v>
      </c>
      <c r="C3034" t="s">
        <v>2135</v>
      </c>
      <c r="D3034" t="s">
        <v>17</v>
      </c>
      <c r="E3034" t="s">
        <v>18</v>
      </c>
      <c r="F3034" t="s">
        <v>19</v>
      </c>
      <c r="G3034" t="s">
        <v>20</v>
      </c>
      <c r="J3034" t="s">
        <v>17</v>
      </c>
      <c r="K3034" t="str">
        <f>"762315111"</f>
        <v>762315111</v>
      </c>
      <c r="L3034" t="str">
        <f>"762315111"</f>
        <v>762315111</v>
      </c>
      <c r="M3034" t="s">
        <v>75</v>
      </c>
      <c r="N3034" s="1">
        <v>42872.849305555559</v>
      </c>
      <c r="O3034" t="s">
        <v>19</v>
      </c>
    </row>
    <row r="3035" spans="1:15" x14ac:dyDescent="0.25">
      <c r="A3035" t="s">
        <v>2439</v>
      </c>
      <c r="B3035" t="s">
        <v>15</v>
      </c>
      <c r="C3035" t="s">
        <v>2135</v>
      </c>
      <c r="D3035" t="s">
        <v>17</v>
      </c>
      <c r="E3035" t="s">
        <v>18</v>
      </c>
      <c r="F3035" t="s">
        <v>19</v>
      </c>
      <c r="G3035" t="s">
        <v>20</v>
      </c>
      <c r="J3035" t="s">
        <v>17</v>
      </c>
      <c r="K3035" t="str">
        <f>"766315111"</f>
        <v>766315111</v>
      </c>
      <c r="L3035" t="str">
        <f>"766315111"</f>
        <v>766315111</v>
      </c>
      <c r="M3035" t="s">
        <v>75</v>
      </c>
      <c r="N3035" s="1">
        <v>42872.849305555559</v>
      </c>
      <c r="O3035" t="s">
        <v>19</v>
      </c>
    </row>
    <row r="3036" spans="1:15" x14ac:dyDescent="0.25">
      <c r="A3036" t="s">
        <v>2439</v>
      </c>
      <c r="B3036" t="s">
        <v>15</v>
      </c>
      <c r="C3036" t="s">
        <v>2135</v>
      </c>
      <c r="D3036" t="s">
        <v>17</v>
      </c>
      <c r="E3036" t="s">
        <v>18</v>
      </c>
      <c r="F3036" t="s">
        <v>19</v>
      </c>
      <c r="G3036" t="s">
        <v>20</v>
      </c>
      <c r="J3036" t="s">
        <v>17</v>
      </c>
      <c r="K3036" t="str">
        <f>"762315113"</f>
        <v>762315113</v>
      </c>
      <c r="L3036" t="str">
        <f>"762315113"</f>
        <v>762315113</v>
      </c>
      <c r="M3036" t="s">
        <v>75</v>
      </c>
      <c r="N3036" s="1">
        <v>42872.849305555559</v>
      </c>
      <c r="O3036" t="s">
        <v>19</v>
      </c>
    </row>
    <row r="3037" spans="1:15" x14ac:dyDescent="0.25">
      <c r="A3037" t="s">
        <v>2440</v>
      </c>
      <c r="B3037" t="s">
        <v>15</v>
      </c>
      <c r="C3037" t="s">
        <v>2135</v>
      </c>
      <c r="D3037" t="s">
        <v>17</v>
      </c>
      <c r="E3037" t="s">
        <v>18</v>
      </c>
      <c r="F3037" t="s">
        <v>19</v>
      </c>
      <c r="G3037" t="s">
        <v>20</v>
      </c>
      <c r="J3037" t="s">
        <v>17</v>
      </c>
      <c r="K3037" t="str">
        <f>"176015266"</f>
        <v>176015266</v>
      </c>
      <c r="L3037" t="str">
        <f>"176015266"</f>
        <v>176015266</v>
      </c>
      <c r="M3037" t="s">
        <v>75</v>
      </c>
      <c r="N3037" s="1">
        <v>42872.849305555559</v>
      </c>
      <c r="O3037" t="s">
        <v>19</v>
      </c>
    </row>
    <row r="3038" spans="1:15" x14ac:dyDescent="0.25">
      <c r="A3038" t="s">
        <v>2440</v>
      </c>
      <c r="B3038" t="s">
        <v>15</v>
      </c>
      <c r="C3038" t="s">
        <v>2135</v>
      </c>
      <c r="D3038" t="s">
        <v>17</v>
      </c>
      <c r="E3038" t="s">
        <v>18</v>
      </c>
      <c r="F3038" t="s">
        <v>19</v>
      </c>
      <c r="G3038" t="s">
        <v>20</v>
      </c>
      <c r="J3038" t="s">
        <v>17</v>
      </c>
      <c r="K3038" t="str">
        <f>"766015266"</f>
        <v>766015266</v>
      </c>
      <c r="L3038" t="str">
        <f>"766015266"</f>
        <v>766015266</v>
      </c>
      <c r="M3038" t="s">
        <v>75</v>
      </c>
      <c r="N3038" s="1">
        <v>42872.849305555559</v>
      </c>
      <c r="O3038" t="s">
        <v>19</v>
      </c>
    </row>
    <row r="3039" spans="1:15" x14ac:dyDescent="0.25">
      <c r="A3039" t="s">
        <v>2441</v>
      </c>
      <c r="B3039" t="s">
        <v>15</v>
      </c>
      <c r="C3039" t="s">
        <v>2135</v>
      </c>
      <c r="D3039" t="s">
        <v>17</v>
      </c>
      <c r="E3039" t="s">
        <v>18</v>
      </c>
      <c r="F3039" t="s">
        <v>19</v>
      </c>
      <c r="G3039" t="s">
        <v>20</v>
      </c>
      <c r="J3039" t="s">
        <v>17</v>
      </c>
      <c r="K3039" t="str">
        <f>"172315286"</f>
        <v>172315286</v>
      </c>
      <c r="L3039" t="str">
        <f>"172315286"</f>
        <v>172315286</v>
      </c>
      <c r="M3039" t="s">
        <v>75</v>
      </c>
      <c r="N3039" s="1">
        <v>42872.849305555559</v>
      </c>
      <c r="O3039" t="s">
        <v>19</v>
      </c>
    </row>
    <row r="3040" spans="1:15" x14ac:dyDescent="0.25">
      <c r="A3040" t="s">
        <v>2442</v>
      </c>
      <c r="B3040" t="s">
        <v>15</v>
      </c>
      <c r="C3040" t="s">
        <v>2135</v>
      </c>
      <c r="D3040" t="s">
        <v>17</v>
      </c>
      <c r="E3040" t="s">
        <v>18</v>
      </c>
      <c r="F3040" t="s">
        <v>19</v>
      </c>
      <c r="G3040" t="s">
        <v>20</v>
      </c>
      <c r="J3040" t="s">
        <v>17</v>
      </c>
      <c r="K3040" t="str">
        <f>"176015286"</f>
        <v>176015286</v>
      </c>
      <c r="L3040" t="str">
        <f>"176015286"</f>
        <v>176015286</v>
      </c>
      <c r="M3040" t="s">
        <v>75</v>
      </c>
      <c r="N3040" s="1">
        <v>42895.959027777775</v>
      </c>
      <c r="O3040" t="s">
        <v>19</v>
      </c>
    </row>
    <row r="3041" spans="1:15" x14ac:dyDescent="0.25">
      <c r="A3041" t="s">
        <v>2443</v>
      </c>
      <c r="B3041" t="s">
        <v>15</v>
      </c>
      <c r="C3041" t="s">
        <v>2135</v>
      </c>
      <c r="D3041" t="s">
        <v>17</v>
      </c>
      <c r="E3041" t="s">
        <v>18</v>
      </c>
      <c r="F3041" t="s">
        <v>19</v>
      </c>
      <c r="G3041" t="s">
        <v>20</v>
      </c>
      <c r="J3041" t="s">
        <v>17</v>
      </c>
      <c r="K3041" t="str">
        <f>"332315287"</f>
        <v>332315287</v>
      </c>
      <c r="L3041" t="str">
        <f>"332315287"</f>
        <v>332315287</v>
      </c>
      <c r="M3041" t="s">
        <v>75</v>
      </c>
      <c r="N3041" s="1">
        <v>43244.71597222222</v>
      </c>
      <c r="O3041" t="s">
        <v>19</v>
      </c>
    </row>
    <row r="3042" spans="1:15" x14ac:dyDescent="0.25">
      <c r="A3042" t="s">
        <v>2443</v>
      </c>
      <c r="B3042" t="s">
        <v>15</v>
      </c>
      <c r="C3042" t="s">
        <v>2135</v>
      </c>
      <c r="D3042" t="s">
        <v>17</v>
      </c>
      <c r="E3042" t="s">
        <v>18</v>
      </c>
      <c r="F3042" t="s">
        <v>19</v>
      </c>
      <c r="G3042" t="s">
        <v>20</v>
      </c>
      <c r="J3042" t="s">
        <v>17</v>
      </c>
      <c r="K3042" t="str">
        <f>"342315287"</f>
        <v>342315287</v>
      </c>
      <c r="L3042" t="str">
        <f>"342315287"</f>
        <v>342315287</v>
      </c>
      <c r="M3042" t="s">
        <v>75</v>
      </c>
      <c r="N3042" s="1">
        <v>43244.731944444444</v>
      </c>
      <c r="O3042" t="s">
        <v>19</v>
      </c>
    </row>
    <row r="3043" spans="1:15" x14ac:dyDescent="0.25">
      <c r="A3043" t="s">
        <v>2444</v>
      </c>
      <c r="B3043" t="s">
        <v>15</v>
      </c>
      <c r="C3043" t="s">
        <v>2135</v>
      </c>
      <c r="D3043" t="s">
        <v>17</v>
      </c>
      <c r="E3043" t="s">
        <v>18</v>
      </c>
      <c r="F3043" t="s">
        <v>19</v>
      </c>
      <c r="G3043" t="s">
        <v>20</v>
      </c>
      <c r="J3043" t="s">
        <v>17</v>
      </c>
      <c r="K3043" t="str">
        <f>"110768007"</f>
        <v>110768007</v>
      </c>
      <c r="L3043" t="str">
        <f>"110768007"</f>
        <v>110768007</v>
      </c>
      <c r="M3043" t="s">
        <v>75</v>
      </c>
      <c r="N3043" s="1">
        <v>42872.847222222219</v>
      </c>
      <c r="O3043" t="s">
        <v>19</v>
      </c>
    </row>
    <row r="3044" spans="1:15" x14ac:dyDescent="0.25">
      <c r="A3044" t="s">
        <v>2445</v>
      </c>
      <c r="B3044" t="s">
        <v>15</v>
      </c>
      <c r="C3044" t="s">
        <v>2135</v>
      </c>
      <c r="D3044" t="s">
        <v>17</v>
      </c>
      <c r="E3044" t="s">
        <v>18</v>
      </c>
      <c r="F3044" t="s">
        <v>19</v>
      </c>
      <c r="G3044" t="s">
        <v>20</v>
      </c>
      <c r="J3044" t="s">
        <v>17</v>
      </c>
      <c r="K3044" t="str">
        <f>"110762140"</f>
        <v>110762140</v>
      </c>
      <c r="L3044" t="str">
        <f>"110762140"</f>
        <v>110762140</v>
      </c>
      <c r="M3044" t="s">
        <v>75</v>
      </c>
      <c r="N3044" s="1">
        <v>42872.847222222219</v>
      </c>
      <c r="O3044" t="s">
        <v>19</v>
      </c>
    </row>
    <row r="3045" spans="1:15" x14ac:dyDescent="0.25">
      <c r="A3045" t="s">
        <v>2446</v>
      </c>
      <c r="B3045" t="s">
        <v>15</v>
      </c>
      <c r="C3045" t="s">
        <v>2135</v>
      </c>
      <c r="D3045" t="s">
        <v>17</v>
      </c>
      <c r="E3045" t="s">
        <v>18</v>
      </c>
      <c r="F3045" t="s">
        <v>19</v>
      </c>
      <c r="G3045" t="s">
        <v>20</v>
      </c>
      <c r="J3045" t="s">
        <v>17</v>
      </c>
      <c r="K3045" t="str">
        <f>"76231524"</f>
        <v>76231524</v>
      </c>
      <c r="L3045" t="str">
        <f>"76231524"</f>
        <v>76231524</v>
      </c>
      <c r="M3045" t="s">
        <v>75</v>
      </c>
      <c r="N3045" s="1">
        <v>42872.847222222219</v>
      </c>
      <c r="O3045" t="s">
        <v>19</v>
      </c>
    </row>
    <row r="3046" spans="1:15" x14ac:dyDescent="0.25">
      <c r="A3046" t="s">
        <v>2446</v>
      </c>
      <c r="B3046" t="s">
        <v>15</v>
      </c>
      <c r="C3046" t="s">
        <v>2135</v>
      </c>
      <c r="D3046" t="s">
        <v>17</v>
      </c>
      <c r="E3046" t="s">
        <v>18</v>
      </c>
      <c r="F3046" t="s">
        <v>19</v>
      </c>
      <c r="G3046" t="s">
        <v>20</v>
      </c>
      <c r="J3046" t="s">
        <v>17</v>
      </c>
      <c r="K3046" t="str">
        <f>"110323034"</f>
        <v>110323034</v>
      </c>
      <c r="L3046" t="str">
        <f>"110323034"</f>
        <v>110323034</v>
      </c>
      <c r="M3046" t="s">
        <v>75</v>
      </c>
      <c r="N3046" s="1">
        <v>42872.847222222219</v>
      </c>
      <c r="O3046" t="s">
        <v>19</v>
      </c>
    </row>
    <row r="3047" spans="1:15" x14ac:dyDescent="0.25">
      <c r="A3047" t="s">
        <v>2447</v>
      </c>
      <c r="B3047" t="s">
        <v>15</v>
      </c>
      <c r="C3047" t="s">
        <v>2135</v>
      </c>
      <c r="D3047" t="s">
        <v>17</v>
      </c>
      <c r="E3047" t="s">
        <v>18</v>
      </c>
      <c r="F3047" t="s">
        <v>19</v>
      </c>
      <c r="G3047" t="s">
        <v>20</v>
      </c>
      <c r="J3047" t="s">
        <v>17</v>
      </c>
      <c r="K3047" t="str">
        <f>"176015133"</f>
        <v>176015133</v>
      </c>
      <c r="L3047" t="str">
        <f>"176015133"</f>
        <v>176015133</v>
      </c>
      <c r="M3047" t="s">
        <v>75</v>
      </c>
      <c r="N3047" s="1">
        <v>42872.849305555559</v>
      </c>
      <c r="O3047" t="s">
        <v>19</v>
      </c>
    </row>
    <row r="3048" spans="1:15" x14ac:dyDescent="0.25">
      <c r="A3048" t="s">
        <v>2447</v>
      </c>
      <c r="B3048" t="s">
        <v>15</v>
      </c>
      <c r="C3048" t="s">
        <v>2135</v>
      </c>
      <c r="D3048" t="s">
        <v>17</v>
      </c>
      <c r="E3048" t="s">
        <v>18</v>
      </c>
      <c r="F3048" t="s">
        <v>19</v>
      </c>
      <c r="G3048" t="s">
        <v>20</v>
      </c>
      <c r="J3048" t="s">
        <v>17</v>
      </c>
      <c r="K3048" t="str">
        <f>"176315133"</f>
        <v>176315133</v>
      </c>
      <c r="L3048" t="str">
        <f>"176315133"</f>
        <v>176315133</v>
      </c>
      <c r="M3048" t="s">
        <v>75</v>
      </c>
      <c r="N3048" s="1">
        <v>42872.849305555559</v>
      </c>
      <c r="O3048" t="s">
        <v>19</v>
      </c>
    </row>
    <row r="3049" spans="1:15" x14ac:dyDescent="0.25">
      <c r="A3049" t="s">
        <v>2448</v>
      </c>
      <c r="B3049" t="s">
        <v>15</v>
      </c>
      <c r="C3049" t="s">
        <v>2135</v>
      </c>
      <c r="D3049" t="s">
        <v>17</v>
      </c>
      <c r="E3049" t="s">
        <v>18</v>
      </c>
      <c r="F3049" t="s">
        <v>19</v>
      </c>
      <c r="G3049" t="s">
        <v>20</v>
      </c>
      <c r="J3049" t="s">
        <v>17</v>
      </c>
      <c r="K3049" t="str">
        <f>"766015176"</f>
        <v>766015176</v>
      </c>
      <c r="L3049" t="str">
        <f>"766015176"</f>
        <v>766015176</v>
      </c>
      <c r="M3049" t="s">
        <v>75</v>
      </c>
      <c r="N3049" s="1">
        <v>42872.849305555559</v>
      </c>
      <c r="O3049" t="s">
        <v>19</v>
      </c>
    </row>
    <row r="3050" spans="1:15" x14ac:dyDescent="0.25">
      <c r="A3050" t="s">
        <v>2449</v>
      </c>
      <c r="B3050" t="s">
        <v>15</v>
      </c>
      <c r="C3050" t="s">
        <v>2135</v>
      </c>
      <c r="D3050" t="s">
        <v>17</v>
      </c>
      <c r="E3050" t="s">
        <v>18</v>
      </c>
      <c r="F3050" t="s">
        <v>19</v>
      </c>
      <c r="G3050" t="s">
        <v>20</v>
      </c>
      <c r="J3050" t="s">
        <v>17</v>
      </c>
      <c r="K3050" t="str">
        <f>"912309173"</f>
        <v>912309173</v>
      </c>
      <c r="L3050" t="str">
        <f>"912309173"</f>
        <v>912309173</v>
      </c>
      <c r="M3050" t="s">
        <v>75</v>
      </c>
      <c r="N3050" s="1">
        <v>42872.849305555559</v>
      </c>
      <c r="O3050" t="s">
        <v>19</v>
      </c>
    </row>
    <row r="3051" spans="1:15" x14ac:dyDescent="0.25">
      <c r="A3051" t="s">
        <v>2450</v>
      </c>
      <c r="B3051" t="s">
        <v>15</v>
      </c>
      <c r="C3051" t="s">
        <v>2135</v>
      </c>
      <c r="D3051" t="s">
        <v>17</v>
      </c>
      <c r="E3051" t="s">
        <v>18</v>
      </c>
      <c r="F3051" t="s">
        <v>19</v>
      </c>
      <c r="G3051" t="s">
        <v>20</v>
      </c>
      <c r="J3051" t="s">
        <v>17</v>
      </c>
      <c r="K3051" t="str">
        <f>"110171057"</f>
        <v>110171057</v>
      </c>
      <c r="L3051" t="str">
        <f>"110171057"</f>
        <v>110171057</v>
      </c>
      <c r="M3051" t="s">
        <v>75</v>
      </c>
      <c r="N3051" s="1">
        <v>42872.847222222219</v>
      </c>
      <c r="O3051" t="s">
        <v>19</v>
      </c>
    </row>
    <row r="3052" spans="1:15" x14ac:dyDescent="0.25">
      <c r="A3052" t="s">
        <v>2451</v>
      </c>
      <c r="B3052" t="s">
        <v>15</v>
      </c>
      <c r="C3052" t="s">
        <v>2135</v>
      </c>
      <c r="D3052" t="s">
        <v>17</v>
      </c>
      <c r="E3052" t="s">
        <v>18</v>
      </c>
      <c r="F3052" t="s">
        <v>19</v>
      </c>
      <c r="G3052" t="s">
        <v>20</v>
      </c>
      <c r="J3052" t="s">
        <v>17</v>
      </c>
      <c r="K3052" t="str">
        <f>"17230096"</f>
        <v>17230096</v>
      </c>
      <c r="L3052" t="str">
        <f>"17230096"</f>
        <v>17230096</v>
      </c>
      <c r="M3052" t="s">
        <v>75</v>
      </c>
      <c r="N3052" s="1">
        <v>42872.839583333334</v>
      </c>
      <c r="O3052" t="s">
        <v>19</v>
      </c>
    </row>
    <row r="3053" spans="1:15" x14ac:dyDescent="0.25">
      <c r="A3053" t="s">
        <v>2452</v>
      </c>
      <c r="B3053" t="s">
        <v>15</v>
      </c>
      <c r="C3053" t="s">
        <v>2135</v>
      </c>
      <c r="D3053" t="s">
        <v>17</v>
      </c>
      <c r="E3053" t="s">
        <v>18</v>
      </c>
      <c r="F3053" t="s">
        <v>19</v>
      </c>
      <c r="G3053" t="s">
        <v>20</v>
      </c>
      <c r="J3053" t="s">
        <v>17</v>
      </c>
      <c r="K3053" t="str">
        <f>"32230001"</f>
        <v>32230001</v>
      </c>
      <c r="L3053" t="str">
        <f>"32230001"</f>
        <v>32230001</v>
      </c>
      <c r="M3053" t="s">
        <v>75</v>
      </c>
      <c r="N3053" s="1">
        <v>42872.839583333334</v>
      </c>
      <c r="O3053" t="s">
        <v>19</v>
      </c>
    </row>
    <row r="3054" spans="1:15" x14ac:dyDescent="0.25">
      <c r="A3054" t="s">
        <v>2453</v>
      </c>
      <c r="B3054" t="s">
        <v>15</v>
      </c>
      <c r="C3054" t="s">
        <v>2135</v>
      </c>
      <c r="D3054" t="s">
        <v>17</v>
      </c>
      <c r="E3054" t="s">
        <v>18</v>
      </c>
      <c r="F3054" t="s">
        <v>19</v>
      </c>
      <c r="G3054" t="s">
        <v>20</v>
      </c>
      <c r="J3054" t="s">
        <v>17</v>
      </c>
      <c r="K3054" t="str">
        <f>"76230095"</f>
        <v>76230095</v>
      </c>
      <c r="L3054" t="str">
        <f>"76230095"</f>
        <v>76230095</v>
      </c>
      <c r="M3054" t="s">
        <v>75</v>
      </c>
      <c r="N3054" s="1">
        <v>42872.847222222219</v>
      </c>
      <c r="O3054" t="s">
        <v>19</v>
      </c>
    </row>
    <row r="3055" spans="1:15" x14ac:dyDescent="0.25">
      <c r="A3055" t="s">
        <v>2454</v>
      </c>
      <c r="B3055" t="s">
        <v>15</v>
      </c>
      <c r="C3055" t="s">
        <v>2135</v>
      </c>
      <c r="D3055" t="s">
        <v>17</v>
      </c>
      <c r="E3055" t="s">
        <v>18</v>
      </c>
      <c r="F3055" t="s">
        <v>19</v>
      </c>
      <c r="G3055" t="s">
        <v>20</v>
      </c>
      <c r="J3055" t="s">
        <v>17</v>
      </c>
      <c r="K3055" t="str">
        <f>"61230055"</f>
        <v>61230055</v>
      </c>
      <c r="L3055" t="str">
        <f>"61230055"</f>
        <v>61230055</v>
      </c>
      <c r="M3055" t="s">
        <v>84</v>
      </c>
      <c r="N3055" s="1">
        <v>43320.713194444441</v>
      </c>
      <c r="O3055" t="s">
        <v>19</v>
      </c>
    </row>
    <row r="3056" spans="1:15" x14ac:dyDescent="0.25">
      <c r="A3056" t="s">
        <v>2455</v>
      </c>
      <c r="B3056" t="s">
        <v>15</v>
      </c>
      <c r="C3056" t="s">
        <v>2135</v>
      </c>
      <c r="D3056" t="s">
        <v>17</v>
      </c>
      <c r="E3056" t="s">
        <v>18</v>
      </c>
      <c r="F3056" t="s">
        <v>19</v>
      </c>
      <c r="G3056" t="s">
        <v>20</v>
      </c>
      <c r="J3056" t="s">
        <v>17</v>
      </c>
      <c r="K3056" t="str">
        <f>"34230055"</f>
        <v>34230055</v>
      </c>
      <c r="L3056" t="str">
        <f>"34230055"</f>
        <v>34230055</v>
      </c>
      <c r="M3056" t="s">
        <v>84</v>
      </c>
      <c r="N3056" s="1">
        <v>43378.59097222222</v>
      </c>
      <c r="O3056" t="s">
        <v>19</v>
      </c>
    </row>
    <row r="3057" spans="1:15" x14ac:dyDescent="0.25">
      <c r="A3057" t="s">
        <v>2456</v>
      </c>
      <c r="B3057" t="s">
        <v>15</v>
      </c>
      <c r="C3057" t="s">
        <v>2135</v>
      </c>
      <c r="D3057" t="s">
        <v>17</v>
      </c>
      <c r="E3057" t="s">
        <v>18</v>
      </c>
      <c r="F3057" t="s">
        <v>19</v>
      </c>
      <c r="G3057" t="s">
        <v>20</v>
      </c>
      <c r="J3057" t="s">
        <v>17</v>
      </c>
      <c r="K3057" t="str">
        <f>"76230092"</f>
        <v>76230092</v>
      </c>
      <c r="L3057" t="str">
        <f>"76230092"</f>
        <v>76230092</v>
      </c>
      <c r="M3057" t="s">
        <v>75</v>
      </c>
      <c r="N3057" s="1">
        <v>42872.847222222219</v>
      </c>
      <c r="O3057" t="s">
        <v>19</v>
      </c>
    </row>
    <row r="3058" spans="1:15" x14ac:dyDescent="0.25">
      <c r="A3058" t="s">
        <v>2457</v>
      </c>
      <c r="B3058" t="s">
        <v>15</v>
      </c>
      <c r="C3058" t="s">
        <v>2135</v>
      </c>
      <c r="D3058" t="s">
        <v>17</v>
      </c>
      <c r="E3058" t="s">
        <v>18</v>
      </c>
      <c r="F3058" t="s">
        <v>19</v>
      </c>
      <c r="G3058" t="s">
        <v>20</v>
      </c>
      <c r="J3058" t="s">
        <v>17</v>
      </c>
      <c r="K3058" t="str">
        <f>"76230093"</f>
        <v>76230093</v>
      </c>
      <c r="L3058" t="str">
        <f>"76230093"</f>
        <v>76230093</v>
      </c>
      <c r="M3058" t="s">
        <v>75</v>
      </c>
      <c r="N3058" s="1">
        <v>42872.847222222219</v>
      </c>
      <c r="O3058" t="s">
        <v>19</v>
      </c>
    </row>
    <row r="3059" spans="1:15" x14ac:dyDescent="0.25">
      <c r="A3059" t="s">
        <v>2458</v>
      </c>
      <c r="B3059" t="s">
        <v>15</v>
      </c>
      <c r="C3059" t="s">
        <v>2135</v>
      </c>
      <c r="D3059" t="s">
        <v>17</v>
      </c>
      <c r="E3059" t="s">
        <v>18</v>
      </c>
      <c r="F3059" t="s">
        <v>19</v>
      </c>
      <c r="G3059" t="s">
        <v>20</v>
      </c>
      <c r="J3059" t="s">
        <v>17</v>
      </c>
      <c r="K3059" t="str">
        <f>"17230094"</f>
        <v>17230094</v>
      </c>
      <c r="L3059" t="str">
        <f>"17230094"</f>
        <v>17230094</v>
      </c>
      <c r="M3059" t="s">
        <v>75</v>
      </c>
      <c r="N3059" s="1">
        <v>42872.839583333334</v>
      </c>
      <c r="O3059" t="s">
        <v>19</v>
      </c>
    </row>
    <row r="3060" spans="1:15" x14ac:dyDescent="0.25">
      <c r="A3060" t="s">
        <v>2458</v>
      </c>
      <c r="B3060" t="s">
        <v>15</v>
      </c>
      <c r="C3060" t="s">
        <v>2135</v>
      </c>
      <c r="D3060" t="s">
        <v>17</v>
      </c>
      <c r="E3060" t="s">
        <v>18</v>
      </c>
      <c r="F3060" t="s">
        <v>19</v>
      </c>
      <c r="G3060" t="s">
        <v>20</v>
      </c>
      <c r="J3060" t="s">
        <v>17</v>
      </c>
      <c r="K3060" t="str">
        <f>"76230094"</f>
        <v>76230094</v>
      </c>
      <c r="L3060" t="str">
        <f>"76230094"</f>
        <v>76230094</v>
      </c>
      <c r="M3060" t="s">
        <v>75</v>
      </c>
      <c r="N3060" s="1">
        <v>42872.847222222219</v>
      </c>
      <c r="O3060" t="s">
        <v>19</v>
      </c>
    </row>
    <row r="3061" spans="1:15" x14ac:dyDescent="0.25">
      <c r="A3061" t="s">
        <v>2459</v>
      </c>
      <c r="B3061" t="s">
        <v>15</v>
      </c>
      <c r="C3061" t="s">
        <v>2135</v>
      </c>
      <c r="D3061" t="s">
        <v>17</v>
      </c>
      <c r="E3061" t="s">
        <v>18</v>
      </c>
      <c r="F3061" t="s">
        <v>19</v>
      </c>
      <c r="G3061" t="s">
        <v>20</v>
      </c>
      <c r="J3061" t="s">
        <v>17</v>
      </c>
      <c r="K3061" t="str">
        <f>"17230095"</f>
        <v>17230095</v>
      </c>
      <c r="L3061" t="str">
        <f>"17230095"</f>
        <v>17230095</v>
      </c>
      <c r="M3061" t="s">
        <v>75</v>
      </c>
      <c r="N3061" s="1">
        <v>42872.839583333334</v>
      </c>
      <c r="O3061" t="s">
        <v>19</v>
      </c>
    </row>
    <row r="3062" spans="1:15" x14ac:dyDescent="0.25">
      <c r="A3062" t="s">
        <v>2460</v>
      </c>
      <c r="B3062" t="s">
        <v>15</v>
      </c>
      <c r="C3062" t="s">
        <v>2135</v>
      </c>
      <c r="D3062" t="s">
        <v>17</v>
      </c>
      <c r="E3062" t="s">
        <v>18</v>
      </c>
      <c r="F3062" t="s">
        <v>19</v>
      </c>
      <c r="G3062" t="s">
        <v>20</v>
      </c>
      <c r="J3062" t="s">
        <v>17</v>
      </c>
      <c r="K3062" t="str">
        <f>"11767006"</f>
        <v>11767006</v>
      </c>
      <c r="L3062" t="str">
        <f>"11767006"</f>
        <v>11767006</v>
      </c>
      <c r="M3062" t="s">
        <v>75</v>
      </c>
      <c r="N3062" s="1">
        <v>42872.839583333334</v>
      </c>
      <c r="O3062" t="s">
        <v>19</v>
      </c>
    </row>
    <row r="3063" spans="1:15" x14ac:dyDescent="0.25">
      <c r="A3063" t="s">
        <v>2460</v>
      </c>
      <c r="B3063" t="s">
        <v>15</v>
      </c>
      <c r="C3063" t="s">
        <v>2135</v>
      </c>
      <c r="D3063" t="s">
        <v>17</v>
      </c>
      <c r="E3063" t="s">
        <v>18</v>
      </c>
      <c r="F3063" t="s">
        <v>19</v>
      </c>
      <c r="G3063" t="s">
        <v>20</v>
      </c>
      <c r="J3063" t="s">
        <v>17</v>
      </c>
      <c r="K3063" t="str">
        <f>"110767006"</f>
        <v>110767006</v>
      </c>
      <c r="L3063" t="str">
        <f>"110767006"</f>
        <v>110767006</v>
      </c>
      <c r="M3063" t="s">
        <v>75</v>
      </c>
      <c r="N3063" s="1">
        <v>42872.847222222219</v>
      </c>
      <c r="O3063" t="s">
        <v>19</v>
      </c>
    </row>
    <row r="3064" spans="1:15" x14ac:dyDescent="0.25">
      <c r="A3064" t="s">
        <v>2461</v>
      </c>
      <c r="B3064" t="s">
        <v>15</v>
      </c>
      <c r="C3064" t="s">
        <v>2135</v>
      </c>
      <c r="D3064" t="s">
        <v>17</v>
      </c>
      <c r="E3064" t="s">
        <v>18</v>
      </c>
      <c r="F3064" t="s">
        <v>19</v>
      </c>
      <c r="G3064" t="s">
        <v>20</v>
      </c>
      <c r="J3064" t="s">
        <v>17</v>
      </c>
      <c r="K3064" t="str">
        <f>"76230213"</f>
        <v>76230213</v>
      </c>
      <c r="L3064" t="str">
        <f>"76230213"</f>
        <v>76230213</v>
      </c>
      <c r="M3064" t="s">
        <v>21</v>
      </c>
      <c r="N3064" s="1">
        <v>42872.849305555559</v>
      </c>
      <c r="O3064" t="s">
        <v>19</v>
      </c>
    </row>
    <row r="3065" spans="1:15" x14ac:dyDescent="0.25">
      <c r="A3065" t="s">
        <v>2462</v>
      </c>
      <c r="B3065" t="s">
        <v>15</v>
      </c>
      <c r="C3065" t="s">
        <v>2135</v>
      </c>
      <c r="D3065" t="s">
        <v>17</v>
      </c>
      <c r="E3065" t="s">
        <v>18</v>
      </c>
      <c r="F3065" t="s">
        <v>19</v>
      </c>
      <c r="G3065" t="s">
        <v>20</v>
      </c>
      <c r="J3065" t="s">
        <v>17</v>
      </c>
      <c r="K3065" t="str">
        <f>"766018186"</f>
        <v>766018186</v>
      </c>
      <c r="L3065" t="str">
        <f>"766018186"</f>
        <v>766018186</v>
      </c>
      <c r="M3065" t="s">
        <v>75</v>
      </c>
      <c r="N3065" s="1">
        <v>42872.849305555559</v>
      </c>
      <c r="O3065" t="s">
        <v>19</v>
      </c>
    </row>
    <row r="3066" spans="1:15" x14ac:dyDescent="0.25">
      <c r="A3066" t="s">
        <v>2463</v>
      </c>
      <c r="B3066" t="s">
        <v>15</v>
      </c>
      <c r="C3066" t="s">
        <v>2135</v>
      </c>
      <c r="D3066" t="s">
        <v>17</v>
      </c>
      <c r="E3066" t="s">
        <v>18</v>
      </c>
      <c r="F3066" t="s">
        <v>19</v>
      </c>
      <c r="G3066" t="s">
        <v>20</v>
      </c>
      <c r="J3066" t="s">
        <v>17</v>
      </c>
      <c r="K3066" t="str">
        <f>"76601836"</f>
        <v>76601836</v>
      </c>
      <c r="L3066" t="str">
        <f>"76601836"</f>
        <v>76601836</v>
      </c>
      <c r="M3066" t="s">
        <v>75</v>
      </c>
      <c r="N3066" s="1">
        <v>42872.847222222219</v>
      </c>
      <c r="O3066" t="s">
        <v>19</v>
      </c>
    </row>
    <row r="3067" spans="1:15" x14ac:dyDescent="0.25">
      <c r="A3067" t="s">
        <v>2464</v>
      </c>
      <c r="B3067" t="s">
        <v>15</v>
      </c>
      <c r="C3067" t="s">
        <v>2135</v>
      </c>
      <c r="D3067" t="s">
        <v>17</v>
      </c>
      <c r="E3067" t="s">
        <v>18</v>
      </c>
      <c r="F3067" t="s">
        <v>19</v>
      </c>
      <c r="G3067" t="s">
        <v>20</v>
      </c>
      <c r="J3067" t="s">
        <v>17</v>
      </c>
      <c r="K3067" t="str">
        <f>"76231806"</f>
        <v>76231806</v>
      </c>
      <c r="L3067" t="str">
        <f>"76231806"</f>
        <v>76231806</v>
      </c>
      <c r="M3067" t="s">
        <v>75</v>
      </c>
      <c r="N3067" s="1">
        <v>42872.847222222219</v>
      </c>
      <c r="O3067" t="s">
        <v>19</v>
      </c>
    </row>
    <row r="3068" spans="1:15" x14ac:dyDescent="0.25">
      <c r="A3068" t="s">
        <v>2464</v>
      </c>
      <c r="B3068" t="s">
        <v>15</v>
      </c>
      <c r="C3068" t="s">
        <v>2135</v>
      </c>
      <c r="D3068" t="s">
        <v>17</v>
      </c>
      <c r="E3068" t="s">
        <v>18</v>
      </c>
      <c r="F3068" t="s">
        <v>19</v>
      </c>
      <c r="G3068" t="s">
        <v>20</v>
      </c>
      <c r="J3068" t="s">
        <v>17</v>
      </c>
      <c r="K3068" t="str">
        <f>"766318112"</f>
        <v>766318112</v>
      </c>
      <c r="L3068" t="str">
        <f>"766318112"</f>
        <v>766318112</v>
      </c>
      <c r="M3068" t="s">
        <v>75</v>
      </c>
      <c r="N3068" s="1">
        <v>42872.849305555559</v>
      </c>
      <c r="O3068" t="s">
        <v>19</v>
      </c>
    </row>
    <row r="3069" spans="1:15" x14ac:dyDescent="0.25">
      <c r="A3069" t="s">
        <v>2465</v>
      </c>
      <c r="B3069" t="s">
        <v>15</v>
      </c>
      <c r="C3069" t="s">
        <v>2135</v>
      </c>
      <c r="D3069" t="s">
        <v>17</v>
      </c>
      <c r="E3069" t="s">
        <v>18</v>
      </c>
      <c r="F3069" t="s">
        <v>19</v>
      </c>
      <c r="G3069" t="s">
        <v>20</v>
      </c>
      <c r="J3069" t="s">
        <v>17</v>
      </c>
      <c r="K3069" t="str">
        <f>"762318133"</f>
        <v>762318133</v>
      </c>
      <c r="L3069" t="str">
        <f>"762318133"</f>
        <v>762318133</v>
      </c>
      <c r="M3069" t="s">
        <v>75</v>
      </c>
      <c r="N3069" s="1">
        <v>42872.849305555559</v>
      </c>
      <c r="O3069" t="s">
        <v>19</v>
      </c>
    </row>
    <row r="3070" spans="1:15" x14ac:dyDescent="0.25">
      <c r="A3070" t="s">
        <v>2465</v>
      </c>
      <c r="B3070" t="s">
        <v>15</v>
      </c>
      <c r="C3070" t="s">
        <v>2135</v>
      </c>
      <c r="D3070" t="s">
        <v>17</v>
      </c>
      <c r="E3070" t="s">
        <v>18</v>
      </c>
      <c r="F3070" t="s">
        <v>19</v>
      </c>
      <c r="G3070" t="s">
        <v>20</v>
      </c>
      <c r="J3070" t="s">
        <v>17</v>
      </c>
      <c r="K3070" t="str">
        <f>"766018133"</f>
        <v>766018133</v>
      </c>
      <c r="L3070" t="str">
        <f>"766018133"</f>
        <v>766018133</v>
      </c>
      <c r="M3070" t="s">
        <v>75</v>
      </c>
      <c r="N3070" s="1">
        <v>42872.849305555559</v>
      </c>
      <c r="O3070" t="s">
        <v>19</v>
      </c>
    </row>
    <row r="3071" spans="1:15" x14ac:dyDescent="0.25">
      <c r="A3071" t="s">
        <v>2465</v>
      </c>
      <c r="B3071" t="s">
        <v>15</v>
      </c>
      <c r="C3071" t="s">
        <v>2135</v>
      </c>
      <c r="D3071" t="s">
        <v>17</v>
      </c>
      <c r="E3071" t="s">
        <v>18</v>
      </c>
      <c r="F3071" t="s">
        <v>19</v>
      </c>
      <c r="G3071" t="s">
        <v>20</v>
      </c>
      <c r="J3071" t="s">
        <v>17</v>
      </c>
      <c r="K3071" t="str">
        <f>"766318133"</f>
        <v>766318133</v>
      </c>
      <c r="L3071" t="str">
        <f>"766318133"</f>
        <v>766318133</v>
      </c>
      <c r="M3071" t="s">
        <v>75</v>
      </c>
      <c r="N3071" s="1">
        <v>42872.849305555559</v>
      </c>
      <c r="O3071" t="s">
        <v>19</v>
      </c>
    </row>
    <row r="3072" spans="1:15" x14ac:dyDescent="0.25">
      <c r="A3072" t="s">
        <v>2466</v>
      </c>
      <c r="B3072" t="s">
        <v>15</v>
      </c>
      <c r="C3072" t="s">
        <v>2135</v>
      </c>
      <c r="D3072" t="s">
        <v>17</v>
      </c>
      <c r="E3072" t="s">
        <v>18</v>
      </c>
      <c r="F3072" t="s">
        <v>19</v>
      </c>
      <c r="G3072" t="s">
        <v>20</v>
      </c>
      <c r="J3072" t="s">
        <v>17</v>
      </c>
      <c r="K3072" t="str">
        <f>"76601876"</f>
        <v>76601876</v>
      </c>
      <c r="L3072" t="str">
        <f>"76601876"</f>
        <v>76601876</v>
      </c>
      <c r="M3072" t="s">
        <v>75</v>
      </c>
      <c r="N3072" s="1">
        <v>42872.847222222219</v>
      </c>
      <c r="O3072" t="s">
        <v>19</v>
      </c>
    </row>
    <row r="3073" spans="1:15" x14ac:dyDescent="0.25">
      <c r="A3073" t="s">
        <v>2467</v>
      </c>
      <c r="B3073" t="s">
        <v>15</v>
      </c>
      <c r="C3073" t="s">
        <v>2135</v>
      </c>
      <c r="D3073" t="s">
        <v>17</v>
      </c>
      <c r="E3073" t="s">
        <v>18</v>
      </c>
      <c r="F3073" t="s">
        <v>19</v>
      </c>
      <c r="G3073" t="s">
        <v>20</v>
      </c>
      <c r="J3073" t="s">
        <v>17</v>
      </c>
      <c r="K3073" t="str">
        <f>"762318186"</f>
        <v>762318186</v>
      </c>
      <c r="L3073" t="str">
        <f>"762318186"</f>
        <v>762318186</v>
      </c>
      <c r="M3073" t="s">
        <v>75</v>
      </c>
      <c r="N3073" s="1">
        <v>42872.849305555559</v>
      </c>
      <c r="O3073" t="s">
        <v>19</v>
      </c>
    </row>
    <row r="3074" spans="1:15" x14ac:dyDescent="0.25">
      <c r="A3074" t="s">
        <v>2468</v>
      </c>
      <c r="B3074" t="s">
        <v>15</v>
      </c>
      <c r="C3074" t="s">
        <v>2135</v>
      </c>
      <c r="D3074" t="s">
        <v>17</v>
      </c>
      <c r="E3074" t="s">
        <v>18</v>
      </c>
      <c r="F3074" t="s">
        <v>19</v>
      </c>
      <c r="G3074" t="s">
        <v>20</v>
      </c>
      <c r="J3074" t="s">
        <v>17</v>
      </c>
      <c r="K3074" t="str">
        <f>"76230956"</f>
        <v>76230956</v>
      </c>
      <c r="L3074" t="str">
        <f>"76230956"</f>
        <v>76230956</v>
      </c>
      <c r="M3074" t="s">
        <v>75</v>
      </c>
      <c r="N3074" s="1">
        <v>42872.847222222219</v>
      </c>
      <c r="O3074" t="s">
        <v>19</v>
      </c>
    </row>
    <row r="3075" spans="1:15" x14ac:dyDescent="0.25">
      <c r="A3075" t="s">
        <v>2469</v>
      </c>
      <c r="B3075" t="s">
        <v>15</v>
      </c>
      <c r="C3075" t="s">
        <v>2135</v>
      </c>
      <c r="D3075" t="s">
        <v>17</v>
      </c>
      <c r="E3075" t="s">
        <v>18</v>
      </c>
      <c r="F3075" t="s">
        <v>19</v>
      </c>
      <c r="G3075" t="s">
        <v>20</v>
      </c>
      <c r="J3075" t="s">
        <v>17</v>
      </c>
      <c r="K3075" t="str">
        <f>"76600934"</f>
        <v>76600934</v>
      </c>
      <c r="L3075" t="str">
        <f>"76600934"</f>
        <v>76600934</v>
      </c>
      <c r="M3075" t="s">
        <v>75</v>
      </c>
      <c r="N3075" s="1">
        <v>42872.847222222219</v>
      </c>
      <c r="O3075" t="s">
        <v>19</v>
      </c>
    </row>
    <row r="3076" spans="1:15" x14ac:dyDescent="0.25">
      <c r="A3076" t="s">
        <v>2470</v>
      </c>
      <c r="B3076" t="s">
        <v>15</v>
      </c>
      <c r="C3076" t="s">
        <v>37</v>
      </c>
      <c r="D3076" t="s">
        <v>17</v>
      </c>
      <c r="E3076" t="s">
        <v>18</v>
      </c>
      <c r="F3076" t="s">
        <v>19</v>
      </c>
      <c r="G3076" t="s">
        <v>20</v>
      </c>
      <c r="J3076" t="s">
        <v>17</v>
      </c>
      <c r="K3076" t="str">
        <f>"7858816071201"</f>
        <v>7858816071201</v>
      </c>
      <c r="L3076" t="str">
        <f>"87527120"</f>
        <v>87527120</v>
      </c>
      <c r="M3076" t="s">
        <v>21</v>
      </c>
      <c r="N3076" s="1">
        <v>43804.621527777781</v>
      </c>
      <c r="O3076" t="s">
        <v>19</v>
      </c>
    </row>
    <row r="3077" spans="1:15" x14ac:dyDescent="0.25">
      <c r="A3077" t="s">
        <v>2471</v>
      </c>
      <c r="B3077" t="s">
        <v>15</v>
      </c>
      <c r="C3077" t="s">
        <v>2472</v>
      </c>
      <c r="D3077" t="s">
        <v>17</v>
      </c>
      <c r="E3077" t="s">
        <v>18</v>
      </c>
      <c r="F3077" t="s">
        <v>19</v>
      </c>
      <c r="G3077" t="s">
        <v>20</v>
      </c>
      <c r="J3077" t="s">
        <v>17</v>
      </c>
      <c r="K3077" t="str">
        <f>"6925871608206"</f>
        <v>6925871608206</v>
      </c>
      <c r="L3077" t="str">
        <f>"22520820"</f>
        <v>22520820</v>
      </c>
      <c r="M3077" t="s">
        <v>75</v>
      </c>
      <c r="N3077" s="1">
        <v>43125.842361111114</v>
      </c>
      <c r="O3077" t="s">
        <v>19</v>
      </c>
    </row>
    <row r="3078" spans="1:15" x14ac:dyDescent="0.25">
      <c r="A3078" t="s">
        <v>2473</v>
      </c>
      <c r="B3078" t="s">
        <v>15</v>
      </c>
      <c r="C3078" t="s">
        <v>37</v>
      </c>
      <c r="D3078" t="s">
        <v>17</v>
      </c>
      <c r="E3078" t="s">
        <v>18</v>
      </c>
      <c r="F3078" t="s">
        <v>19</v>
      </c>
      <c r="G3078" t="s">
        <v>20</v>
      </c>
      <c r="J3078" t="s">
        <v>18</v>
      </c>
      <c r="K3078" t="str">
        <f>"10003225"</f>
        <v>10003225</v>
      </c>
      <c r="L3078" t="str">
        <f>"10003225"</f>
        <v>10003225</v>
      </c>
      <c r="M3078" t="s">
        <v>84</v>
      </c>
      <c r="N3078" s="1">
        <v>43323.681944444441</v>
      </c>
      <c r="O3078" t="s">
        <v>19</v>
      </c>
    </row>
    <row r="3079" spans="1:15" x14ac:dyDescent="0.25">
      <c r="A3079" t="s">
        <v>2474</v>
      </c>
      <c r="B3079" t="s">
        <v>15</v>
      </c>
      <c r="C3079" t="s">
        <v>171</v>
      </c>
      <c r="D3079" t="s">
        <v>17</v>
      </c>
      <c r="E3079" t="s">
        <v>18</v>
      </c>
      <c r="F3079" t="s">
        <v>19</v>
      </c>
      <c r="G3079" t="s">
        <v>20</v>
      </c>
      <c r="J3079" t="s">
        <v>17</v>
      </c>
      <c r="K3079" t="str">
        <f>"50000000"</f>
        <v>50000000</v>
      </c>
      <c r="L3079" t="str">
        <f>"50000000"</f>
        <v>50000000</v>
      </c>
      <c r="M3079" t="s">
        <v>75</v>
      </c>
      <c r="N3079" s="1">
        <v>42872.839583333334</v>
      </c>
      <c r="O3079" t="s">
        <v>19</v>
      </c>
    </row>
    <row r="3080" spans="1:15" x14ac:dyDescent="0.25">
      <c r="A3080" t="s">
        <v>2475</v>
      </c>
      <c r="B3080" t="s">
        <v>15</v>
      </c>
      <c r="C3080" t="s">
        <v>37</v>
      </c>
      <c r="D3080" t="s">
        <v>17</v>
      </c>
      <c r="E3080" t="s">
        <v>18</v>
      </c>
      <c r="F3080" t="s">
        <v>19</v>
      </c>
      <c r="G3080" t="s">
        <v>20</v>
      </c>
      <c r="J3080" t="s">
        <v>17</v>
      </c>
      <c r="K3080" t="str">
        <f>"6971399028040"</f>
        <v>6971399028040</v>
      </c>
      <c r="L3080" t="str">
        <f>"87525286"</f>
        <v>87525286</v>
      </c>
      <c r="M3080" t="s">
        <v>21</v>
      </c>
      <c r="N3080" s="1">
        <v>44371.65902777778</v>
      </c>
      <c r="O3080" t="s">
        <v>19</v>
      </c>
    </row>
    <row r="3081" spans="1:15" x14ac:dyDescent="0.25">
      <c r="A3081" t="s">
        <v>2476</v>
      </c>
      <c r="B3081" t="s">
        <v>15</v>
      </c>
      <c r="C3081" t="s">
        <v>2074</v>
      </c>
      <c r="D3081" t="s">
        <v>17</v>
      </c>
      <c r="E3081" t="s">
        <v>18</v>
      </c>
      <c r="F3081" t="s">
        <v>19</v>
      </c>
      <c r="G3081" t="s">
        <v>20</v>
      </c>
      <c r="J3081" t="s">
        <v>17</v>
      </c>
      <c r="K3081" t="str">
        <f>"3010074"</f>
        <v>3010074</v>
      </c>
      <c r="L3081" t="str">
        <f>"3010074"</f>
        <v>3010074</v>
      </c>
      <c r="M3081" t="s">
        <v>75</v>
      </c>
      <c r="N3081" s="1">
        <v>42872.839583333334</v>
      </c>
      <c r="O3081" t="s">
        <v>19</v>
      </c>
    </row>
    <row r="3082" spans="1:15" x14ac:dyDescent="0.25">
      <c r="A3082" t="s">
        <v>2477</v>
      </c>
      <c r="B3082" t="s">
        <v>15</v>
      </c>
      <c r="C3082" t="s">
        <v>2074</v>
      </c>
      <c r="D3082" t="s">
        <v>17</v>
      </c>
      <c r="E3082" t="s">
        <v>18</v>
      </c>
      <c r="F3082" t="s">
        <v>19</v>
      </c>
      <c r="G3082" t="s">
        <v>20</v>
      </c>
      <c r="J3082" t="s">
        <v>17</v>
      </c>
      <c r="K3082" t="str">
        <f>"110107909"</f>
        <v>110107909</v>
      </c>
      <c r="L3082" t="str">
        <f>"110107909"</f>
        <v>110107909</v>
      </c>
      <c r="M3082" t="s">
        <v>75</v>
      </c>
      <c r="N3082" s="1">
        <v>42872.847222222219</v>
      </c>
      <c r="O3082" t="s">
        <v>19</v>
      </c>
    </row>
    <row r="3083" spans="1:15" x14ac:dyDescent="0.25">
      <c r="A3083" t="s">
        <v>2478</v>
      </c>
      <c r="B3083" t="s">
        <v>15</v>
      </c>
      <c r="C3083" t="s">
        <v>2074</v>
      </c>
      <c r="D3083" t="s">
        <v>17</v>
      </c>
      <c r="E3083" t="s">
        <v>18</v>
      </c>
      <c r="F3083" t="s">
        <v>19</v>
      </c>
      <c r="G3083" t="s">
        <v>20</v>
      </c>
      <c r="J3083" t="s">
        <v>17</v>
      </c>
      <c r="K3083" t="str">
        <f>"34190700"</f>
        <v>34190700</v>
      </c>
      <c r="L3083" t="str">
        <f>"34190700"</f>
        <v>34190700</v>
      </c>
      <c r="M3083" t="s">
        <v>84</v>
      </c>
      <c r="N3083" s="1">
        <v>43463.972916666666</v>
      </c>
      <c r="O3083" t="s">
        <v>19</v>
      </c>
    </row>
    <row r="3084" spans="1:15" x14ac:dyDescent="0.25">
      <c r="A3084" t="s">
        <v>2479</v>
      </c>
      <c r="B3084" t="s">
        <v>15</v>
      </c>
      <c r="C3084" t="s">
        <v>2074</v>
      </c>
      <c r="D3084" t="s">
        <v>17</v>
      </c>
      <c r="E3084" t="s">
        <v>18</v>
      </c>
      <c r="F3084" t="s">
        <v>19</v>
      </c>
      <c r="G3084" t="s">
        <v>20</v>
      </c>
      <c r="J3084" t="s">
        <v>17</v>
      </c>
      <c r="K3084" t="str">
        <f>"5626890002006"</f>
        <v>5626890002006</v>
      </c>
      <c r="L3084" t="str">
        <f>"28184940"</f>
        <v>28184940</v>
      </c>
      <c r="M3084" t="s">
        <v>84</v>
      </c>
      <c r="N3084" s="1">
        <v>43335.875</v>
      </c>
      <c r="O3084" t="s">
        <v>19</v>
      </c>
    </row>
    <row r="3085" spans="1:15" x14ac:dyDescent="0.25">
      <c r="A3085" t="s">
        <v>2480</v>
      </c>
      <c r="B3085" t="s">
        <v>15</v>
      </c>
      <c r="C3085" t="s">
        <v>2481</v>
      </c>
      <c r="D3085" t="s">
        <v>17</v>
      </c>
      <c r="E3085" t="s">
        <v>18</v>
      </c>
      <c r="F3085" t="s">
        <v>19</v>
      </c>
      <c r="G3085" t="s">
        <v>20</v>
      </c>
      <c r="J3085" t="s">
        <v>18</v>
      </c>
      <c r="K3085" t="str">
        <f>"7858816053825"</f>
        <v>7858816053825</v>
      </c>
      <c r="L3085" t="str">
        <f>"87385382"</f>
        <v>87385382</v>
      </c>
      <c r="M3085" t="s">
        <v>21</v>
      </c>
      <c r="N3085" s="1">
        <v>44211.757638888892</v>
      </c>
      <c r="O3085" t="s">
        <v>19</v>
      </c>
    </row>
    <row r="3086" spans="1:15" x14ac:dyDescent="0.25">
      <c r="A3086" t="s">
        <v>2482</v>
      </c>
      <c r="B3086" t="s">
        <v>15</v>
      </c>
      <c r="C3086" t="s">
        <v>2074</v>
      </c>
      <c r="D3086" t="s">
        <v>17</v>
      </c>
      <c r="E3086" t="s">
        <v>18</v>
      </c>
      <c r="F3086" t="s">
        <v>19</v>
      </c>
      <c r="G3086" t="s">
        <v>20</v>
      </c>
      <c r="J3086" t="s">
        <v>17</v>
      </c>
      <c r="K3086" t="str">
        <f>"5626890048615"</f>
        <v>5626890048615</v>
      </c>
      <c r="L3086" t="str">
        <f>"2848920030"</f>
        <v>2848920030</v>
      </c>
      <c r="M3086" t="s">
        <v>84</v>
      </c>
      <c r="N3086" s="1">
        <v>43335.879861111112</v>
      </c>
      <c r="O3086" t="s">
        <v>19</v>
      </c>
    </row>
    <row r="3087" spans="1:15" x14ac:dyDescent="0.25">
      <c r="A3087" t="s">
        <v>2483</v>
      </c>
      <c r="B3087" t="s">
        <v>15</v>
      </c>
      <c r="C3087" t="s">
        <v>2074</v>
      </c>
      <c r="D3087" t="s">
        <v>17</v>
      </c>
      <c r="E3087" t="s">
        <v>18</v>
      </c>
      <c r="F3087" t="s">
        <v>19</v>
      </c>
      <c r="G3087" t="s">
        <v>20</v>
      </c>
      <c r="J3087" t="s">
        <v>17</v>
      </c>
      <c r="K3087" t="str">
        <f>"5626890049919"</f>
        <v>5626890049919</v>
      </c>
      <c r="L3087" t="str">
        <f>"28184991"</f>
        <v>28184991</v>
      </c>
      <c r="M3087" t="s">
        <v>84</v>
      </c>
      <c r="N3087" s="1">
        <v>43335.880555555559</v>
      </c>
      <c r="O3087" t="s">
        <v>19</v>
      </c>
    </row>
    <row r="3088" spans="1:15" x14ac:dyDescent="0.25">
      <c r="A3088" t="s">
        <v>2484</v>
      </c>
      <c r="B3088" t="s">
        <v>15</v>
      </c>
      <c r="C3088" t="s">
        <v>901</v>
      </c>
      <c r="D3088" t="s">
        <v>17</v>
      </c>
      <c r="E3088" t="s">
        <v>18</v>
      </c>
      <c r="F3088" t="s">
        <v>19</v>
      </c>
      <c r="G3088" t="s">
        <v>20</v>
      </c>
      <c r="J3088" t="s">
        <v>17</v>
      </c>
      <c r="K3088" t="str">
        <f>"6920756926581"</f>
        <v>6920756926581</v>
      </c>
      <c r="L3088" t="str">
        <f>"10520897"</f>
        <v>10520897</v>
      </c>
      <c r="M3088" t="s">
        <v>75</v>
      </c>
      <c r="N3088" s="1">
        <v>43110.942361111112</v>
      </c>
      <c r="O3088" t="s">
        <v>19</v>
      </c>
    </row>
    <row r="3089" spans="1:15" x14ac:dyDescent="0.25">
      <c r="A3089" t="s">
        <v>2485</v>
      </c>
      <c r="B3089" t="s">
        <v>15</v>
      </c>
      <c r="C3089" t="s">
        <v>2074</v>
      </c>
      <c r="D3089" t="s">
        <v>17</v>
      </c>
      <c r="E3089" t="s">
        <v>18</v>
      </c>
      <c r="F3089" t="s">
        <v>19</v>
      </c>
      <c r="G3089" t="s">
        <v>20</v>
      </c>
      <c r="J3089" t="s">
        <v>17</v>
      </c>
      <c r="K3089" t="str">
        <f>"2019080500056"</f>
        <v>2019080500056</v>
      </c>
      <c r="L3089" t="str">
        <f>"17190010"</f>
        <v>17190010</v>
      </c>
      <c r="M3089" t="s">
        <v>21</v>
      </c>
      <c r="N3089" s="1">
        <v>43890.574305555558</v>
      </c>
      <c r="O3089" t="s">
        <v>19</v>
      </c>
    </row>
    <row r="3090" spans="1:15" x14ac:dyDescent="0.25">
      <c r="A3090" t="s">
        <v>2485</v>
      </c>
      <c r="B3090" t="s">
        <v>15</v>
      </c>
      <c r="C3090" t="s">
        <v>2074</v>
      </c>
      <c r="D3090" t="s">
        <v>17</v>
      </c>
      <c r="E3090" t="s">
        <v>18</v>
      </c>
      <c r="F3090" t="s">
        <v>19</v>
      </c>
      <c r="G3090" t="s">
        <v>20</v>
      </c>
      <c r="J3090" t="s">
        <v>17</v>
      </c>
      <c r="K3090" t="str">
        <f>"2020081101043"</f>
        <v>2020081101043</v>
      </c>
      <c r="L3090" t="str">
        <f>"69190010"</f>
        <v>69190010</v>
      </c>
      <c r="M3090" t="s">
        <v>21</v>
      </c>
      <c r="N3090" s="1">
        <v>44265.67291666667</v>
      </c>
      <c r="O3090" t="s">
        <v>19</v>
      </c>
    </row>
    <row r="3091" spans="1:15" x14ac:dyDescent="0.25">
      <c r="A3091" t="s">
        <v>2486</v>
      </c>
      <c r="B3091" t="s">
        <v>15</v>
      </c>
      <c r="C3091" t="s">
        <v>2074</v>
      </c>
      <c r="D3091" t="s">
        <v>17</v>
      </c>
      <c r="E3091" t="s">
        <v>18</v>
      </c>
      <c r="F3091" t="s">
        <v>19</v>
      </c>
      <c r="G3091" t="s">
        <v>20</v>
      </c>
      <c r="J3091" t="s">
        <v>17</v>
      </c>
      <c r="K3091" t="str">
        <f>"76190700"</f>
        <v>76190700</v>
      </c>
      <c r="L3091" t="str">
        <f>"76190700"</f>
        <v>76190700</v>
      </c>
      <c r="M3091" t="s">
        <v>21</v>
      </c>
      <c r="N3091" s="1">
        <v>43665.709722222222</v>
      </c>
      <c r="O3091" t="s">
        <v>19</v>
      </c>
    </row>
    <row r="3092" spans="1:15" x14ac:dyDescent="0.25">
      <c r="A3092" t="s">
        <v>2487</v>
      </c>
      <c r="B3092" t="s">
        <v>15</v>
      </c>
      <c r="C3092" t="s">
        <v>2074</v>
      </c>
      <c r="D3092" t="s">
        <v>17</v>
      </c>
      <c r="E3092" t="s">
        <v>18</v>
      </c>
      <c r="F3092" t="s">
        <v>19</v>
      </c>
      <c r="G3092" t="s">
        <v>20</v>
      </c>
      <c r="J3092" t="s">
        <v>17</v>
      </c>
      <c r="K3092" t="str">
        <f>"76190007"</f>
        <v>76190007</v>
      </c>
      <c r="L3092" t="str">
        <f>"76190007"</f>
        <v>76190007</v>
      </c>
      <c r="M3092" t="s">
        <v>84</v>
      </c>
      <c r="N3092" s="1">
        <v>43377.911805555559</v>
      </c>
      <c r="O3092" t="s">
        <v>19</v>
      </c>
    </row>
    <row r="3093" spans="1:15" x14ac:dyDescent="0.25">
      <c r="A3093" t="s">
        <v>2487</v>
      </c>
      <c r="B3093" t="s">
        <v>15</v>
      </c>
      <c r="C3093" t="s">
        <v>2074</v>
      </c>
      <c r="D3093" t="s">
        <v>17</v>
      </c>
      <c r="E3093" t="s">
        <v>18</v>
      </c>
      <c r="F3093" t="s">
        <v>19</v>
      </c>
      <c r="G3093" t="s">
        <v>20</v>
      </c>
      <c r="J3093" t="s">
        <v>17</v>
      </c>
      <c r="K3093" t="str">
        <f>"2020032200092"</f>
        <v>2020032200092</v>
      </c>
      <c r="L3093" t="str">
        <f>"18190007"</f>
        <v>18190007</v>
      </c>
      <c r="M3093" t="s">
        <v>21</v>
      </c>
      <c r="N3093" s="1">
        <v>43890.574305555558</v>
      </c>
      <c r="O3093" t="s">
        <v>19</v>
      </c>
    </row>
    <row r="3094" spans="1:15" x14ac:dyDescent="0.25">
      <c r="A3094" t="s">
        <v>2488</v>
      </c>
      <c r="B3094" t="s">
        <v>15</v>
      </c>
      <c r="C3094" t="s">
        <v>2074</v>
      </c>
      <c r="D3094" t="s">
        <v>17</v>
      </c>
      <c r="E3094" t="s">
        <v>18</v>
      </c>
      <c r="F3094" t="s">
        <v>19</v>
      </c>
      <c r="G3094" t="s">
        <v>20</v>
      </c>
      <c r="J3094" t="s">
        <v>17</v>
      </c>
      <c r="K3094" t="str">
        <f>"50190010"</f>
        <v>50190010</v>
      </c>
      <c r="L3094" t="str">
        <f>"50190010"</f>
        <v>50190010</v>
      </c>
      <c r="M3094" t="s">
        <v>75</v>
      </c>
      <c r="N3094" s="1">
        <v>43167.850694444445</v>
      </c>
      <c r="O3094" t="s">
        <v>19</v>
      </c>
    </row>
    <row r="3095" spans="1:15" x14ac:dyDescent="0.25">
      <c r="A3095" t="s">
        <v>2489</v>
      </c>
      <c r="B3095" t="s">
        <v>15</v>
      </c>
      <c r="C3095" t="s">
        <v>2074</v>
      </c>
      <c r="D3095" t="s">
        <v>17</v>
      </c>
      <c r="E3095" t="s">
        <v>18</v>
      </c>
      <c r="F3095" t="s">
        <v>19</v>
      </c>
      <c r="G3095" t="s">
        <v>20</v>
      </c>
      <c r="J3095" t="s">
        <v>17</v>
      </c>
      <c r="K3095" t="str">
        <f>"76190010"</f>
        <v>76190010</v>
      </c>
      <c r="L3095" t="str">
        <f>"76190010"</f>
        <v>76190010</v>
      </c>
      <c r="M3095" t="s">
        <v>21</v>
      </c>
      <c r="N3095" s="1">
        <v>43706.696527777778</v>
      </c>
      <c r="O3095" t="s">
        <v>19</v>
      </c>
    </row>
    <row r="3096" spans="1:15" x14ac:dyDescent="0.25">
      <c r="A3096" t="s">
        <v>2490</v>
      </c>
      <c r="B3096" t="s">
        <v>15</v>
      </c>
      <c r="C3096" t="s">
        <v>2074</v>
      </c>
      <c r="D3096" t="s">
        <v>17</v>
      </c>
      <c r="E3096" t="s">
        <v>18</v>
      </c>
      <c r="F3096" t="s">
        <v>19</v>
      </c>
      <c r="G3096" t="s">
        <v>20</v>
      </c>
      <c r="J3096" t="s">
        <v>17</v>
      </c>
      <c r="K3096" t="str">
        <f>"76190230"</f>
        <v>76190230</v>
      </c>
      <c r="L3096" t="str">
        <f>"76190230"</f>
        <v>76190230</v>
      </c>
      <c r="M3096" t="s">
        <v>84</v>
      </c>
      <c r="N3096" s="1">
        <v>43377.912499999999</v>
      </c>
      <c r="O3096" t="s">
        <v>19</v>
      </c>
    </row>
    <row r="3097" spans="1:15" x14ac:dyDescent="0.25">
      <c r="A3097" t="s">
        <v>2491</v>
      </c>
      <c r="B3097" t="s">
        <v>15</v>
      </c>
      <c r="C3097" t="s">
        <v>2074</v>
      </c>
      <c r="D3097" t="s">
        <v>17</v>
      </c>
      <c r="E3097" t="s">
        <v>18</v>
      </c>
      <c r="F3097" t="s">
        <v>19</v>
      </c>
      <c r="G3097" t="s">
        <v>20</v>
      </c>
      <c r="J3097" t="s">
        <v>18</v>
      </c>
      <c r="K3097" t="str">
        <f>"13190010"</f>
        <v>13190010</v>
      </c>
      <c r="L3097" t="str">
        <f>"13190010"</f>
        <v>13190010</v>
      </c>
      <c r="M3097" t="s">
        <v>21</v>
      </c>
      <c r="N3097" s="1">
        <v>44348.779166666667</v>
      </c>
      <c r="O3097" t="s">
        <v>19</v>
      </c>
    </row>
    <row r="3098" spans="1:15" x14ac:dyDescent="0.25">
      <c r="A3098" t="s">
        <v>2492</v>
      </c>
      <c r="B3098" t="s">
        <v>15</v>
      </c>
      <c r="C3098" t="s">
        <v>2074</v>
      </c>
      <c r="D3098" t="s">
        <v>17</v>
      </c>
      <c r="E3098" t="s">
        <v>18</v>
      </c>
      <c r="F3098" t="s">
        <v>19</v>
      </c>
      <c r="G3098" t="s">
        <v>20</v>
      </c>
      <c r="J3098" t="s">
        <v>18</v>
      </c>
      <c r="K3098" t="str">
        <f>"13190008"</f>
        <v>13190008</v>
      </c>
      <c r="L3098" t="str">
        <f>"13190008"</f>
        <v>13190008</v>
      </c>
      <c r="M3098" t="s">
        <v>21</v>
      </c>
      <c r="N3098" s="1">
        <v>44348.78125</v>
      </c>
      <c r="O3098" t="s">
        <v>19</v>
      </c>
    </row>
    <row r="3099" spans="1:15" x14ac:dyDescent="0.25">
      <c r="A3099" t="s">
        <v>2493</v>
      </c>
      <c r="B3099" t="s">
        <v>15</v>
      </c>
      <c r="C3099" t="s">
        <v>35</v>
      </c>
      <c r="D3099" t="s">
        <v>17</v>
      </c>
      <c r="E3099" t="s">
        <v>18</v>
      </c>
      <c r="F3099" t="s">
        <v>19</v>
      </c>
      <c r="G3099" t="s">
        <v>20</v>
      </c>
      <c r="J3099" t="s">
        <v>17</v>
      </c>
      <c r="K3099" t="str">
        <f>"4260113520673"</f>
        <v>4260113520673</v>
      </c>
      <c r="L3099" t="str">
        <f>"110104323"</f>
        <v>110104323</v>
      </c>
      <c r="M3099" t="s">
        <v>75</v>
      </c>
      <c r="N3099" s="1">
        <v>42872.847222222219</v>
      </c>
      <c r="O3099" t="s">
        <v>19</v>
      </c>
    </row>
    <row r="3100" spans="1:15" x14ac:dyDescent="0.25">
      <c r="A3100" t="s">
        <v>2494</v>
      </c>
      <c r="B3100" t="s">
        <v>15</v>
      </c>
      <c r="C3100" t="s">
        <v>987</v>
      </c>
      <c r="D3100" t="s">
        <v>17</v>
      </c>
      <c r="E3100" t="s">
        <v>18</v>
      </c>
      <c r="F3100" t="s">
        <v>19</v>
      </c>
      <c r="G3100" t="s">
        <v>20</v>
      </c>
      <c r="J3100" t="s">
        <v>17</v>
      </c>
      <c r="K3100" t="str">
        <f>"6905631114017"</f>
        <v>6905631114017</v>
      </c>
      <c r="L3100" t="str">
        <f>"40280066"</f>
        <v>40280066</v>
      </c>
      <c r="M3100" t="s">
        <v>21</v>
      </c>
      <c r="N3100" s="1">
        <v>44225.865277777775</v>
      </c>
      <c r="O3100" t="s">
        <v>19</v>
      </c>
    </row>
    <row r="3101" spans="1:15" x14ac:dyDescent="0.25">
      <c r="A3101" t="s">
        <v>2495</v>
      </c>
      <c r="B3101" t="s">
        <v>15</v>
      </c>
      <c r="C3101" t="s">
        <v>217</v>
      </c>
      <c r="D3101" t="s">
        <v>17</v>
      </c>
      <c r="E3101" t="s">
        <v>18</v>
      </c>
      <c r="F3101" t="s">
        <v>19</v>
      </c>
      <c r="G3101" t="s">
        <v>20</v>
      </c>
      <c r="J3101" t="s">
        <v>17</v>
      </c>
      <c r="K3101" t="str">
        <f>"2019033556031"</f>
        <v>2019033556031</v>
      </c>
      <c r="L3101" t="str">
        <f>"18525603"</f>
        <v>18525603</v>
      </c>
      <c r="M3101" t="s">
        <v>21</v>
      </c>
      <c r="N3101" s="1">
        <v>43609.808333333334</v>
      </c>
      <c r="O3101" t="s">
        <v>19</v>
      </c>
    </row>
    <row r="3102" spans="1:15" x14ac:dyDescent="0.25">
      <c r="A3102" t="s">
        <v>2496</v>
      </c>
      <c r="B3102" t="s">
        <v>15</v>
      </c>
      <c r="C3102" t="s">
        <v>987</v>
      </c>
      <c r="D3102" t="s">
        <v>17</v>
      </c>
      <c r="E3102" t="s">
        <v>18</v>
      </c>
      <c r="F3102" t="s">
        <v>19</v>
      </c>
      <c r="G3102" t="s">
        <v>20</v>
      </c>
      <c r="J3102" t="s">
        <v>17</v>
      </c>
      <c r="K3102" t="str">
        <f>"7252816068986"</f>
        <v>7252816068986</v>
      </c>
      <c r="L3102" t="str">
        <f>"87286292"</f>
        <v>87286292</v>
      </c>
      <c r="M3102" t="s">
        <v>21</v>
      </c>
      <c r="N3102" s="1">
        <v>43819.621527777781</v>
      </c>
      <c r="O3102" t="s">
        <v>19</v>
      </c>
    </row>
    <row r="3103" spans="1:15" x14ac:dyDescent="0.25">
      <c r="A3103" t="s">
        <v>2497</v>
      </c>
      <c r="B3103" t="s">
        <v>15</v>
      </c>
      <c r="C3103" t="s">
        <v>37</v>
      </c>
      <c r="D3103" t="s">
        <v>17</v>
      </c>
      <c r="E3103" t="s">
        <v>18</v>
      </c>
      <c r="F3103" t="s">
        <v>19</v>
      </c>
      <c r="G3103" t="s">
        <v>20</v>
      </c>
      <c r="J3103" t="s">
        <v>17</v>
      </c>
      <c r="K3103" t="str">
        <f>"2019033555980"</f>
        <v>2019033555980</v>
      </c>
      <c r="L3103" t="str">
        <f>"18525598"</f>
        <v>18525598</v>
      </c>
      <c r="M3103" t="s">
        <v>21</v>
      </c>
      <c r="N3103" s="1">
        <v>43279.800694444442</v>
      </c>
      <c r="O3103" t="s">
        <v>19</v>
      </c>
    </row>
    <row r="3104" spans="1:15" x14ac:dyDescent="0.25">
      <c r="A3104" t="s">
        <v>2498</v>
      </c>
      <c r="B3104" t="s">
        <v>15</v>
      </c>
      <c r="C3104" t="s">
        <v>987</v>
      </c>
      <c r="D3104" t="s">
        <v>17</v>
      </c>
      <c r="E3104" t="s">
        <v>18</v>
      </c>
      <c r="F3104" t="s">
        <v>19</v>
      </c>
      <c r="G3104" t="s">
        <v>20</v>
      </c>
      <c r="J3104" t="s">
        <v>17</v>
      </c>
      <c r="K3104" t="str">
        <f>"8745125896528"</f>
        <v>8745125896528</v>
      </c>
      <c r="L3104" t="str">
        <f>"40280016"</f>
        <v>40280016</v>
      </c>
      <c r="M3104" t="s">
        <v>21</v>
      </c>
      <c r="N3104" s="1">
        <v>44349.820833333331</v>
      </c>
      <c r="O3104" t="s">
        <v>19</v>
      </c>
    </row>
    <row r="3105" spans="1:15" x14ac:dyDescent="0.25">
      <c r="A3105" t="s">
        <v>2499</v>
      </c>
      <c r="B3105" t="s">
        <v>15</v>
      </c>
      <c r="C3105" t="s">
        <v>987</v>
      </c>
      <c r="D3105" t="s">
        <v>17</v>
      </c>
      <c r="E3105" t="s">
        <v>18</v>
      </c>
      <c r="F3105" t="s">
        <v>19</v>
      </c>
      <c r="G3105" t="s">
        <v>20</v>
      </c>
      <c r="J3105" t="s">
        <v>17</v>
      </c>
      <c r="K3105" t="str">
        <f>"7858816061813"</f>
        <v>7858816061813</v>
      </c>
      <c r="L3105" t="str">
        <f>"87286181"</f>
        <v>87286181</v>
      </c>
      <c r="M3105" t="s">
        <v>21</v>
      </c>
      <c r="N3105" s="1">
        <v>44211.835416666669</v>
      </c>
      <c r="O3105" t="s">
        <v>19</v>
      </c>
    </row>
    <row r="3106" spans="1:15" x14ac:dyDescent="0.25">
      <c r="A3106" t="s">
        <v>2500</v>
      </c>
      <c r="B3106" t="s">
        <v>15</v>
      </c>
      <c r="C3106" t="s">
        <v>37</v>
      </c>
      <c r="D3106" t="s">
        <v>17</v>
      </c>
      <c r="E3106" t="s">
        <v>18</v>
      </c>
      <c r="F3106" t="s">
        <v>19</v>
      </c>
      <c r="G3106" t="s">
        <v>20</v>
      </c>
      <c r="J3106" t="s">
        <v>17</v>
      </c>
      <c r="K3106" t="str">
        <f>"6971835790128"</f>
        <v>6971835790128</v>
      </c>
      <c r="L3106" t="str">
        <f>"10001011"</f>
        <v>10001011</v>
      </c>
      <c r="M3106" t="s">
        <v>21</v>
      </c>
      <c r="N3106" s="1">
        <v>43666.875</v>
      </c>
      <c r="O3106" t="s">
        <v>19</v>
      </c>
    </row>
    <row r="3107" spans="1:15" x14ac:dyDescent="0.25">
      <c r="A3107" t="s">
        <v>2501</v>
      </c>
      <c r="B3107" t="s">
        <v>15</v>
      </c>
      <c r="C3107" t="s">
        <v>987</v>
      </c>
      <c r="D3107" t="s">
        <v>17</v>
      </c>
      <c r="E3107" t="s">
        <v>18</v>
      </c>
      <c r="F3107" t="s">
        <v>19</v>
      </c>
      <c r="G3107" t="s">
        <v>20</v>
      </c>
      <c r="J3107" t="s">
        <v>17</v>
      </c>
      <c r="K3107" t="str">
        <f>"10013627"</f>
        <v>10013627</v>
      </c>
      <c r="L3107" t="str">
        <f>"10013627"</f>
        <v>10013627</v>
      </c>
      <c r="M3107" t="s">
        <v>21</v>
      </c>
      <c r="N3107" s="1">
        <v>43819.895138888889</v>
      </c>
      <c r="O3107" t="s">
        <v>19</v>
      </c>
    </row>
    <row r="3108" spans="1:15" x14ac:dyDescent="0.25">
      <c r="A3108" t="s">
        <v>2502</v>
      </c>
      <c r="B3108" t="s">
        <v>15</v>
      </c>
      <c r="C3108" t="s">
        <v>987</v>
      </c>
      <c r="D3108" t="s">
        <v>17</v>
      </c>
      <c r="E3108" t="s">
        <v>18</v>
      </c>
      <c r="F3108" t="s">
        <v>19</v>
      </c>
      <c r="G3108" t="s">
        <v>20</v>
      </c>
      <c r="J3108" t="s">
        <v>17</v>
      </c>
      <c r="K3108" t="str">
        <f>"10000673"</f>
        <v>10000673</v>
      </c>
      <c r="L3108" t="str">
        <f>"10000673"</f>
        <v>10000673</v>
      </c>
      <c r="M3108" t="s">
        <v>21</v>
      </c>
      <c r="N3108" s="1">
        <v>43819.886111111111</v>
      </c>
      <c r="O3108" t="s">
        <v>19</v>
      </c>
    </row>
    <row r="3109" spans="1:15" x14ac:dyDescent="0.25">
      <c r="A3109" t="s">
        <v>2503</v>
      </c>
      <c r="B3109" t="s">
        <v>15</v>
      </c>
      <c r="C3109" t="s">
        <v>987</v>
      </c>
      <c r="D3109" t="s">
        <v>17</v>
      </c>
      <c r="E3109" t="s">
        <v>18</v>
      </c>
      <c r="F3109" t="s">
        <v>19</v>
      </c>
      <c r="G3109" t="s">
        <v>20</v>
      </c>
      <c r="J3109" t="s">
        <v>17</v>
      </c>
      <c r="K3109" t="str">
        <f>"7858816059100"</f>
        <v>7858816059100</v>
      </c>
      <c r="L3109" t="str">
        <f>"87285910"</f>
        <v>87285910</v>
      </c>
      <c r="M3109" t="s">
        <v>21</v>
      </c>
      <c r="N3109" s="1">
        <v>43753.652777777781</v>
      </c>
      <c r="O3109" t="s">
        <v>19</v>
      </c>
    </row>
    <row r="3110" spans="1:15" x14ac:dyDescent="0.25">
      <c r="A3110" t="s">
        <v>2504</v>
      </c>
      <c r="B3110" t="s">
        <v>15</v>
      </c>
      <c r="C3110" t="s">
        <v>1607</v>
      </c>
      <c r="D3110" t="s">
        <v>17</v>
      </c>
      <c r="E3110" t="s">
        <v>18</v>
      </c>
      <c r="F3110" t="s">
        <v>19</v>
      </c>
      <c r="G3110" t="s">
        <v>20</v>
      </c>
      <c r="J3110" t="s">
        <v>17</v>
      </c>
      <c r="K3110" t="str">
        <f>"345714276"</f>
        <v>345714276</v>
      </c>
      <c r="L3110" t="str">
        <f>"345714276"</f>
        <v>345714276</v>
      </c>
      <c r="M3110" t="s">
        <v>75</v>
      </c>
      <c r="N3110" s="1">
        <v>42872.849305555559</v>
      </c>
      <c r="O3110" t="s">
        <v>19</v>
      </c>
    </row>
    <row r="3111" spans="1:15" x14ac:dyDescent="0.25">
      <c r="A3111" t="s">
        <v>2505</v>
      </c>
      <c r="B3111" t="s">
        <v>15</v>
      </c>
      <c r="C3111" t="s">
        <v>1607</v>
      </c>
      <c r="D3111" t="s">
        <v>17</v>
      </c>
      <c r="E3111" t="s">
        <v>18</v>
      </c>
      <c r="F3111" t="s">
        <v>19</v>
      </c>
      <c r="G3111" t="s">
        <v>20</v>
      </c>
      <c r="J3111" t="s">
        <v>17</v>
      </c>
      <c r="K3111" t="str">
        <f>"110347062"</f>
        <v>110347062</v>
      </c>
      <c r="L3111" t="str">
        <f>"110347062"</f>
        <v>110347062</v>
      </c>
      <c r="M3111" t="s">
        <v>75</v>
      </c>
      <c r="N3111" s="1">
        <v>42872.847222222219</v>
      </c>
      <c r="O3111" t="s">
        <v>19</v>
      </c>
    </row>
    <row r="3112" spans="1:15" x14ac:dyDescent="0.25">
      <c r="A3112" t="s">
        <v>2506</v>
      </c>
      <c r="B3112" t="s">
        <v>15</v>
      </c>
      <c r="C3112" t="s">
        <v>1607</v>
      </c>
      <c r="D3112" t="s">
        <v>17</v>
      </c>
      <c r="E3112" t="s">
        <v>18</v>
      </c>
      <c r="F3112" t="s">
        <v>19</v>
      </c>
      <c r="G3112" t="s">
        <v>20</v>
      </c>
      <c r="J3112" t="s">
        <v>17</v>
      </c>
      <c r="K3112" t="str">
        <f>"11002835"</f>
        <v>11002835</v>
      </c>
      <c r="L3112" t="str">
        <f>"11002835"</f>
        <v>11002835</v>
      </c>
      <c r="M3112" t="s">
        <v>75</v>
      </c>
      <c r="N3112" s="1">
        <v>42872.839583333334</v>
      </c>
      <c r="O3112" t="s">
        <v>19</v>
      </c>
    </row>
    <row r="3113" spans="1:15" x14ac:dyDescent="0.25">
      <c r="A3113" t="s">
        <v>2507</v>
      </c>
      <c r="B3113" t="s">
        <v>15</v>
      </c>
      <c r="C3113" t="s">
        <v>35</v>
      </c>
      <c r="D3113" t="s">
        <v>17</v>
      </c>
      <c r="E3113" t="s">
        <v>18</v>
      </c>
      <c r="F3113" t="s">
        <v>19</v>
      </c>
      <c r="G3113" t="s">
        <v>20</v>
      </c>
      <c r="J3113" t="s">
        <v>17</v>
      </c>
      <c r="K3113" t="str">
        <f>"63020439"</f>
        <v>63020439</v>
      </c>
      <c r="L3113" t="str">
        <f>"63020439"</f>
        <v>63020439</v>
      </c>
      <c r="M3113" t="s">
        <v>21</v>
      </c>
      <c r="N3113" s="1">
        <v>43742.68472222222</v>
      </c>
      <c r="O3113" t="s">
        <v>19</v>
      </c>
    </row>
    <row r="3114" spans="1:15" x14ac:dyDescent="0.25">
      <c r="A3114" t="s">
        <v>2508</v>
      </c>
      <c r="B3114" t="s">
        <v>15</v>
      </c>
      <c r="C3114" t="s">
        <v>35</v>
      </c>
      <c r="D3114" t="s">
        <v>17</v>
      </c>
      <c r="E3114" t="s">
        <v>18</v>
      </c>
      <c r="F3114" t="s">
        <v>19</v>
      </c>
      <c r="G3114" t="s">
        <v>20</v>
      </c>
      <c r="J3114" t="s">
        <v>17</v>
      </c>
      <c r="K3114" t="str">
        <f>"842776106131"</f>
        <v>842776106131</v>
      </c>
      <c r="L3114" t="str">
        <f>"29GGL0CH3R"</f>
        <v>29GGL0CH3R</v>
      </c>
      <c r="M3114" t="s">
        <v>21</v>
      </c>
      <c r="N3114" s="1">
        <v>43805.824999999997</v>
      </c>
      <c r="O3114" t="s">
        <v>19</v>
      </c>
    </row>
    <row r="3115" spans="1:15" x14ac:dyDescent="0.25">
      <c r="A3115" t="s">
        <v>2509</v>
      </c>
      <c r="B3115" t="s">
        <v>15</v>
      </c>
      <c r="C3115" t="s">
        <v>171</v>
      </c>
      <c r="D3115" t="s">
        <v>17</v>
      </c>
      <c r="E3115" t="s">
        <v>18</v>
      </c>
      <c r="F3115" t="s">
        <v>19</v>
      </c>
      <c r="G3115" t="s">
        <v>20</v>
      </c>
      <c r="J3115" t="s">
        <v>17</v>
      </c>
      <c r="K3115" t="str">
        <f>"6927696368136"</f>
        <v>6927696368136</v>
      </c>
      <c r="L3115" t="str">
        <f>"25700303"</f>
        <v>25700303</v>
      </c>
      <c r="M3115" t="s">
        <v>21</v>
      </c>
      <c r="N3115" s="1">
        <v>44316.805555555555</v>
      </c>
      <c r="O3115" t="s">
        <v>19</v>
      </c>
    </row>
    <row r="3116" spans="1:15" x14ac:dyDescent="0.25">
      <c r="A3116" t="s">
        <v>2510</v>
      </c>
      <c r="B3116" t="s">
        <v>15</v>
      </c>
      <c r="C3116" t="s">
        <v>171</v>
      </c>
      <c r="D3116" t="s">
        <v>17</v>
      </c>
      <c r="E3116" t="s">
        <v>18</v>
      </c>
      <c r="F3116" t="s">
        <v>19</v>
      </c>
      <c r="G3116" t="s">
        <v>20</v>
      </c>
      <c r="J3116" t="s">
        <v>17</v>
      </c>
      <c r="K3116" t="str">
        <f>"10002942"</f>
        <v>10002942</v>
      </c>
      <c r="L3116" t="str">
        <f>"10002942"</f>
        <v>10002942</v>
      </c>
      <c r="M3116" t="s">
        <v>21</v>
      </c>
      <c r="N3116" s="1">
        <v>43720.917361111111</v>
      </c>
      <c r="O3116" t="s">
        <v>19</v>
      </c>
    </row>
    <row r="3117" spans="1:15" x14ac:dyDescent="0.25">
      <c r="A3117" t="s">
        <v>2511</v>
      </c>
      <c r="B3117" t="s">
        <v>15</v>
      </c>
      <c r="C3117" t="s">
        <v>171</v>
      </c>
      <c r="D3117" t="s">
        <v>17</v>
      </c>
      <c r="E3117" t="s">
        <v>18</v>
      </c>
      <c r="F3117" t="s">
        <v>19</v>
      </c>
      <c r="G3117" t="s">
        <v>20</v>
      </c>
      <c r="J3117" t="s">
        <v>17</v>
      </c>
      <c r="K3117" t="str">
        <f>"25700548"</f>
        <v>25700548</v>
      </c>
      <c r="L3117" t="str">
        <f>"25700548"</f>
        <v>25700548</v>
      </c>
      <c r="M3117" t="s">
        <v>75</v>
      </c>
      <c r="N3117" s="1">
        <v>42872.839583333334</v>
      </c>
      <c r="O3117" t="s">
        <v>19</v>
      </c>
    </row>
    <row r="3118" spans="1:15" x14ac:dyDescent="0.25">
      <c r="A3118" t="s">
        <v>2512</v>
      </c>
      <c r="B3118" t="s">
        <v>15</v>
      </c>
      <c r="C3118" t="s">
        <v>37</v>
      </c>
      <c r="D3118" t="s">
        <v>17</v>
      </c>
      <c r="E3118" t="s">
        <v>18</v>
      </c>
      <c r="F3118" t="s">
        <v>19</v>
      </c>
      <c r="G3118" t="s">
        <v>20</v>
      </c>
      <c r="J3118" t="s">
        <v>17</v>
      </c>
      <c r="K3118" t="str">
        <f>"10002749"</f>
        <v>10002749</v>
      </c>
      <c r="L3118" t="str">
        <f>"10002749"</f>
        <v>10002749</v>
      </c>
      <c r="M3118" t="s">
        <v>21</v>
      </c>
      <c r="N3118" s="1">
        <v>43708.879166666666</v>
      </c>
      <c r="O3118" t="s">
        <v>19</v>
      </c>
    </row>
    <row r="3119" spans="1:15" x14ac:dyDescent="0.25">
      <c r="A3119" t="s">
        <v>2513</v>
      </c>
      <c r="B3119" t="s">
        <v>15</v>
      </c>
      <c r="C3119" t="s">
        <v>37</v>
      </c>
      <c r="D3119" t="s">
        <v>17</v>
      </c>
      <c r="E3119" t="s">
        <v>18</v>
      </c>
      <c r="F3119" t="s">
        <v>19</v>
      </c>
      <c r="G3119" t="s">
        <v>20</v>
      </c>
      <c r="J3119" t="s">
        <v>17</v>
      </c>
      <c r="K3119" t="str">
        <f>"10000482"</f>
        <v>10000482</v>
      </c>
      <c r="L3119" t="str">
        <f>"10000482"</f>
        <v>10000482</v>
      </c>
      <c r="M3119" t="s">
        <v>21</v>
      </c>
      <c r="N3119" s="1">
        <v>43708.881944444445</v>
      </c>
      <c r="O3119" t="s">
        <v>19</v>
      </c>
    </row>
    <row r="3120" spans="1:15" x14ac:dyDescent="0.25">
      <c r="A3120" t="s">
        <v>2514</v>
      </c>
      <c r="B3120" t="s">
        <v>15</v>
      </c>
      <c r="C3120" t="s">
        <v>37</v>
      </c>
      <c r="D3120" t="s">
        <v>17</v>
      </c>
      <c r="E3120" t="s">
        <v>18</v>
      </c>
      <c r="F3120" t="s">
        <v>19</v>
      </c>
      <c r="G3120" t="s">
        <v>20</v>
      </c>
      <c r="J3120" t="s">
        <v>17</v>
      </c>
      <c r="K3120" t="str">
        <f>"3800123110184"</f>
        <v>3800123110184</v>
      </c>
      <c r="L3120" t="str">
        <f>"10003346"</f>
        <v>10003346</v>
      </c>
      <c r="M3120" t="s">
        <v>21</v>
      </c>
      <c r="N3120" s="1">
        <v>43839.620833333334</v>
      </c>
      <c r="O3120" t="s">
        <v>19</v>
      </c>
    </row>
    <row r="3121" spans="1:15" x14ac:dyDescent="0.25">
      <c r="A3121" t="s">
        <v>2515</v>
      </c>
      <c r="B3121" t="s">
        <v>15</v>
      </c>
      <c r="C3121" t="s">
        <v>37</v>
      </c>
      <c r="D3121" t="s">
        <v>17</v>
      </c>
      <c r="E3121" t="s">
        <v>18</v>
      </c>
      <c r="F3121" t="s">
        <v>19</v>
      </c>
      <c r="G3121" t="s">
        <v>20</v>
      </c>
      <c r="J3121" t="s">
        <v>17</v>
      </c>
      <c r="K3121" t="str">
        <f>"7858816001031"</f>
        <v>7858816001031</v>
      </c>
      <c r="L3121" t="str">
        <f>"87520103"</f>
        <v>87520103</v>
      </c>
      <c r="M3121" t="s">
        <v>21</v>
      </c>
      <c r="N3121" s="1">
        <v>44404.714583333334</v>
      </c>
      <c r="O3121" t="s">
        <v>19</v>
      </c>
    </row>
    <row r="3122" spans="1:15" x14ac:dyDescent="0.25">
      <c r="A3122" t="s">
        <v>2516</v>
      </c>
      <c r="B3122" t="s">
        <v>15</v>
      </c>
      <c r="C3122" t="s">
        <v>37</v>
      </c>
      <c r="D3122" t="s">
        <v>17</v>
      </c>
      <c r="E3122" t="s">
        <v>18</v>
      </c>
      <c r="F3122" t="s">
        <v>19</v>
      </c>
      <c r="G3122" t="s">
        <v>20</v>
      </c>
      <c r="J3122" t="s">
        <v>17</v>
      </c>
      <c r="K3122" t="str">
        <f>"10000933"</f>
        <v>10000933</v>
      </c>
      <c r="L3122" t="str">
        <f>"10000933"</f>
        <v>10000933</v>
      </c>
      <c r="M3122" t="s">
        <v>75</v>
      </c>
      <c r="N3122" s="1">
        <v>42872.839583333334</v>
      </c>
      <c r="O3122" t="s">
        <v>19</v>
      </c>
    </row>
    <row r="3123" spans="1:15" x14ac:dyDescent="0.25">
      <c r="A3123" t="s">
        <v>2517</v>
      </c>
      <c r="B3123" t="s">
        <v>15</v>
      </c>
      <c r="C3123" t="s">
        <v>2481</v>
      </c>
      <c r="D3123" t="s">
        <v>17</v>
      </c>
      <c r="E3123" t="s">
        <v>18</v>
      </c>
      <c r="F3123" t="s">
        <v>19</v>
      </c>
      <c r="G3123" t="s">
        <v>20</v>
      </c>
      <c r="J3123" t="s">
        <v>17</v>
      </c>
      <c r="K3123" t="str">
        <f>"67200005"</f>
        <v>67200005</v>
      </c>
      <c r="L3123" t="str">
        <f>"67200005"</f>
        <v>67200005</v>
      </c>
      <c r="M3123" t="s">
        <v>75</v>
      </c>
      <c r="N3123" s="1">
        <v>42872.847222222219</v>
      </c>
      <c r="O3123" t="s">
        <v>19</v>
      </c>
    </row>
    <row r="3124" spans="1:15" x14ac:dyDescent="0.25">
      <c r="A3124" t="s">
        <v>2518</v>
      </c>
      <c r="B3124" t="s">
        <v>15</v>
      </c>
      <c r="C3124" t="s">
        <v>2481</v>
      </c>
      <c r="D3124" t="s">
        <v>17</v>
      </c>
      <c r="E3124" t="s">
        <v>18</v>
      </c>
      <c r="F3124" t="s">
        <v>19</v>
      </c>
      <c r="G3124" t="s">
        <v>20</v>
      </c>
      <c r="J3124" t="s">
        <v>17</v>
      </c>
      <c r="K3124" t="str">
        <f>"69380937"</f>
        <v>69380937</v>
      </c>
      <c r="L3124" t="str">
        <f>"69380937"</f>
        <v>69380937</v>
      </c>
      <c r="M3124" t="s">
        <v>84</v>
      </c>
      <c r="N3124" s="1">
        <v>43328.671527777777</v>
      </c>
      <c r="O3124" t="s">
        <v>19</v>
      </c>
    </row>
    <row r="3125" spans="1:15" x14ac:dyDescent="0.25">
      <c r="A3125" t="s">
        <v>2519</v>
      </c>
      <c r="B3125" t="s">
        <v>15</v>
      </c>
      <c r="C3125" t="s">
        <v>2131</v>
      </c>
      <c r="D3125" t="s">
        <v>17</v>
      </c>
      <c r="E3125" t="s">
        <v>18</v>
      </c>
      <c r="F3125" t="s">
        <v>19</v>
      </c>
      <c r="G3125" t="s">
        <v>20</v>
      </c>
      <c r="J3125" t="s">
        <v>17</v>
      </c>
      <c r="K3125" t="str">
        <f>"1495836362124"</f>
        <v>1495836362124</v>
      </c>
      <c r="L3125" t="str">
        <f>"123456"</f>
        <v>123456</v>
      </c>
      <c r="M3125" t="s">
        <v>75</v>
      </c>
      <c r="N3125" s="1">
        <v>42881.92083333333</v>
      </c>
      <c r="O3125" t="s">
        <v>19</v>
      </c>
    </row>
    <row r="3126" spans="1:15" x14ac:dyDescent="0.25">
      <c r="A3126" t="s">
        <v>2520</v>
      </c>
      <c r="B3126" t="s">
        <v>15</v>
      </c>
      <c r="C3126" t="s">
        <v>31</v>
      </c>
      <c r="D3126" t="s">
        <v>17</v>
      </c>
      <c r="E3126" t="s">
        <v>18</v>
      </c>
      <c r="F3126" t="s">
        <v>19</v>
      </c>
      <c r="G3126" t="s">
        <v>20</v>
      </c>
      <c r="J3126" t="s">
        <v>17</v>
      </c>
      <c r="K3126" t="str">
        <f>"4897005980287"</f>
        <v>4897005980287</v>
      </c>
      <c r="L3126" t="str">
        <f>"10000738"</f>
        <v>10000738</v>
      </c>
      <c r="M3126" t="s">
        <v>21</v>
      </c>
      <c r="N3126" s="1">
        <v>42924.681250000001</v>
      </c>
      <c r="O3126" t="s">
        <v>19</v>
      </c>
    </row>
    <row r="3127" spans="1:15" x14ac:dyDescent="0.25">
      <c r="A3127" t="s">
        <v>2521</v>
      </c>
      <c r="B3127" t="s">
        <v>15</v>
      </c>
      <c r="C3127" t="s">
        <v>31</v>
      </c>
      <c r="D3127" t="s">
        <v>17</v>
      </c>
      <c r="E3127" t="s">
        <v>18</v>
      </c>
      <c r="F3127" t="s">
        <v>19</v>
      </c>
      <c r="G3127" t="s">
        <v>20</v>
      </c>
      <c r="J3127" t="s">
        <v>17</v>
      </c>
      <c r="K3127" t="str">
        <f>"6957107316012"</f>
        <v>6957107316012</v>
      </c>
      <c r="L3127" t="str">
        <f>"10002293"</f>
        <v>10002293</v>
      </c>
      <c r="M3127" t="s">
        <v>75</v>
      </c>
      <c r="N3127" s="1">
        <v>42924.683333333334</v>
      </c>
      <c r="O3127" t="s">
        <v>19</v>
      </c>
    </row>
    <row r="3128" spans="1:15" x14ac:dyDescent="0.25">
      <c r="A3128" t="s">
        <v>2522</v>
      </c>
      <c r="B3128" t="s">
        <v>15</v>
      </c>
      <c r="C3128" t="s">
        <v>37</v>
      </c>
      <c r="D3128" t="s">
        <v>17</v>
      </c>
      <c r="E3128" t="s">
        <v>18</v>
      </c>
      <c r="F3128" t="s">
        <v>19</v>
      </c>
      <c r="G3128" t="s">
        <v>20</v>
      </c>
      <c r="H3128" t="s">
        <v>2523</v>
      </c>
      <c r="J3128" t="s">
        <v>17</v>
      </c>
      <c r="K3128" t="str">
        <f>"7858816012686"</f>
        <v>7858816012686</v>
      </c>
      <c r="L3128" t="str">
        <f>"87521268"</f>
        <v>87521268</v>
      </c>
      <c r="M3128" t="s">
        <v>75</v>
      </c>
      <c r="N3128" s="1">
        <v>43216.742361111108</v>
      </c>
      <c r="O3128" t="s">
        <v>19</v>
      </c>
    </row>
    <row r="3129" spans="1:15" x14ac:dyDescent="0.25">
      <c r="A3129" t="s">
        <v>2524</v>
      </c>
      <c r="B3129" t="s">
        <v>15</v>
      </c>
      <c r="C3129" t="s">
        <v>37</v>
      </c>
      <c r="D3129" t="s">
        <v>17</v>
      </c>
      <c r="E3129" t="s">
        <v>18</v>
      </c>
      <c r="F3129" t="s">
        <v>19</v>
      </c>
      <c r="G3129" t="s">
        <v>20</v>
      </c>
      <c r="J3129" t="s">
        <v>17</v>
      </c>
      <c r="K3129" t="str">
        <f>"6908620061125"</f>
        <v>6908620061125</v>
      </c>
      <c r="L3129" t="str">
        <f>"10522437"</f>
        <v>10522437</v>
      </c>
      <c r="M3129" t="s">
        <v>21</v>
      </c>
      <c r="N3129" s="1">
        <v>43175.951388888891</v>
      </c>
      <c r="O3129" t="s">
        <v>19</v>
      </c>
    </row>
    <row r="3130" spans="1:15" x14ac:dyDescent="0.25">
      <c r="A3130" t="s">
        <v>2525</v>
      </c>
      <c r="B3130" t="s">
        <v>15</v>
      </c>
      <c r="C3130" t="s">
        <v>37</v>
      </c>
      <c r="D3130" t="s">
        <v>17</v>
      </c>
      <c r="E3130" t="s">
        <v>18</v>
      </c>
      <c r="F3130" t="s">
        <v>19</v>
      </c>
      <c r="G3130" t="s">
        <v>20</v>
      </c>
      <c r="J3130" t="s">
        <v>17</v>
      </c>
      <c r="K3130" t="str">
        <f>"10001220"</f>
        <v>10001220</v>
      </c>
      <c r="L3130" t="str">
        <f>"10001220"</f>
        <v>10001220</v>
      </c>
      <c r="M3130" t="s">
        <v>84</v>
      </c>
      <c r="N3130" s="1">
        <v>43307.861111111109</v>
      </c>
      <c r="O3130" t="s">
        <v>19</v>
      </c>
    </row>
    <row r="3131" spans="1:15" x14ac:dyDescent="0.25">
      <c r="A3131" t="s">
        <v>2526</v>
      </c>
      <c r="B3131" t="s">
        <v>15</v>
      </c>
      <c r="C3131" t="s">
        <v>37</v>
      </c>
      <c r="D3131" t="s">
        <v>17</v>
      </c>
      <c r="E3131" t="s">
        <v>18</v>
      </c>
      <c r="F3131" t="s">
        <v>19</v>
      </c>
      <c r="G3131" t="s">
        <v>20</v>
      </c>
      <c r="J3131" t="s">
        <v>17</v>
      </c>
      <c r="K3131" t="str">
        <f>"7858816043925"</f>
        <v>7858816043925</v>
      </c>
      <c r="L3131" t="str">
        <f>"87524392"</f>
        <v>87524392</v>
      </c>
      <c r="M3131" t="s">
        <v>75</v>
      </c>
      <c r="N3131" s="1">
        <v>43244.680555555555</v>
      </c>
      <c r="O3131" t="s">
        <v>19</v>
      </c>
    </row>
    <row r="3132" spans="1:15" x14ac:dyDescent="0.25">
      <c r="A3132" t="s">
        <v>2527</v>
      </c>
      <c r="B3132" t="s">
        <v>15</v>
      </c>
      <c r="C3132" t="s">
        <v>35</v>
      </c>
      <c r="D3132" t="s">
        <v>17</v>
      </c>
      <c r="E3132" t="s">
        <v>18</v>
      </c>
      <c r="F3132" t="s">
        <v>19</v>
      </c>
      <c r="G3132" t="s">
        <v>20</v>
      </c>
      <c r="J3132" t="s">
        <v>17</v>
      </c>
      <c r="K3132" t="str">
        <f>"49000044"</f>
        <v>49000044</v>
      </c>
      <c r="L3132" t="str">
        <f>"49000044"</f>
        <v>49000044</v>
      </c>
      <c r="M3132" t="s">
        <v>75</v>
      </c>
      <c r="N3132" s="1">
        <v>42872.839583333334</v>
      </c>
      <c r="O3132" t="s">
        <v>19</v>
      </c>
    </row>
    <row r="3133" spans="1:15" x14ac:dyDescent="0.25">
      <c r="A3133" t="s">
        <v>2528</v>
      </c>
      <c r="B3133" t="s">
        <v>15</v>
      </c>
      <c r="C3133" t="s">
        <v>64</v>
      </c>
      <c r="D3133" t="s">
        <v>17</v>
      </c>
      <c r="E3133" t="s">
        <v>18</v>
      </c>
      <c r="F3133" t="s">
        <v>19</v>
      </c>
      <c r="G3133" t="s">
        <v>20</v>
      </c>
      <c r="J3133" t="s">
        <v>17</v>
      </c>
      <c r="K3133" t="str">
        <f>"98931011"</f>
        <v>98931011</v>
      </c>
      <c r="L3133" t="str">
        <f>"98931011"</f>
        <v>98931011</v>
      </c>
      <c r="M3133" t="s">
        <v>21</v>
      </c>
      <c r="N3133" s="1">
        <v>44455.838888888888</v>
      </c>
      <c r="O3133" t="s">
        <v>19</v>
      </c>
    </row>
    <row r="3134" spans="1:15" x14ac:dyDescent="0.25">
      <c r="A3134" t="s">
        <v>2529</v>
      </c>
      <c r="B3134" t="s">
        <v>15</v>
      </c>
      <c r="C3134" t="s">
        <v>64</v>
      </c>
      <c r="D3134" t="s">
        <v>17</v>
      </c>
      <c r="E3134" t="s">
        <v>18</v>
      </c>
      <c r="F3134" t="s">
        <v>19</v>
      </c>
      <c r="G3134" t="s">
        <v>20</v>
      </c>
      <c r="J3134" t="s">
        <v>17</v>
      </c>
      <c r="K3134" t="str">
        <f>"87938041"</f>
        <v>87938041</v>
      </c>
      <c r="L3134" t="str">
        <f>"87938041"</f>
        <v>87938041</v>
      </c>
      <c r="M3134" t="s">
        <v>21</v>
      </c>
      <c r="N3134" s="1">
        <v>44252.772916666669</v>
      </c>
      <c r="O3134" t="s">
        <v>19</v>
      </c>
    </row>
    <row r="3135" spans="1:15" x14ac:dyDescent="0.25">
      <c r="A3135" t="s">
        <v>2530</v>
      </c>
      <c r="B3135" t="s">
        <v>15</v>
      </c>
      <c r="C3135" t="s">
        <v>37</v>
      </c>
      <c r="D3135" t="s">
        <v>17</v>
      </c>
      <c r="E3135" t="s">
        <v>18</v>
      </c>
      <c r="F3135" t="s">
        <v>19</v>
      </c>
      <c r="G3135" t="s">
        <v>20</v>
      </c>
      <c r="J3135" t="s">
        <v>17</v>
      </c>
      <c r="K3135" t="str">
        <f>"766623160605"</f>
        <v>766623160605</v>
      </c>
      <c r="L3135" t="str">
        <f>"98520605"</f>
        <v>98520605</v>
      </c>
      <c r="M3135" t="s">
        <v>21</v>
      </c>
      <c r="N3135" s="1">
        <v>43985.855555555558</v>
      </c>
      <c r="O3135" t="s">
        <v>19</v>
      </c>
    </row>
    <row r="3136" spans="1:15" x14ac:dyDescent="0.25">
      <c r="A3136" t="s">
        <v>2531</v>
      </c>
      <c r="B3136" t="s">
        <v>15</v>
      </c>
      <c r="C3136" t="s">
        <v>64</v>
      </c>
      <c r="D3136" t="s">
        <v>17</v>
      </c>
      <c r="E3136" t="s">
        <v>18</v>
      </c>
      <c r="F3136" t="s">
        <v>19</v>
      </c>
      <c r="G3136" t="s">
        <v>20</v>
      </c>
      <c r="J3136" t="s">
        <v>17</v>
      </c>
      <c r="K3136" t="str">
        <f>"6931326001843"</f>
        <v>6931326001843</v>
      </c>
      <c r="L3136" t="str">
        <f>"40081843"</f>
        <v>40081843</v>
      </c>
      <c r="M3136" t="s">
        <v>21</v>
      </c>
      <c r="N3136" s="1">
        <v>44306.87777777778</v>
      </c>
      <c r="O3136" t="s">
        <v>19</v>
      </c>
    </row>
    <row r="3137" spans="1:15" x14ac:dyDescent="0.25">
      <c r="A3137" t="s">
        <v>2532</v>
      </c>
      <c r="B3137" t="s">
        <v>15</v>
      </c>
      <c r="C3137" t="s">
        <v>64</v>
      </c>
      <c r="D3137" t="s">
        <v>17</v>
      </c>
      <c r="E3137" t="s">
        <v>18</v>
      </c>
      <c r="F3137" t="s">
        <v>19</v>
      </c>
      <c r="G3137" t="s">
        <v>20</v>
      </c>
      <c r="J3137" t="s">
        <v>18</v>
      </c>
      <c r="K3137" t="str">
        <f>"7858816066887"</f>
        <v>7858816066887</v>
      </c>
      <c r="L3137" t="str">
        <f>"87726688"</f>
        <v>87726688</v>
      </c>
      <c r="M3137" t="s">
        <v>21</v>
      </c>
      <c r="N3137" s="1">
        <v>44211.763194444444</v>
      </c>
      <c r="O3137" t="s">
        <v>19</v>
      </c>
    </row>
    <row r="3138" spans="1:15" x14ac:dyDescent="0.25">
      <c r="A3138" t="s">
        <v>2533</v>
      </c>
      <c r="B3138" t="s">
        <v>15</v>
      </c>
      <c r="C3138" t="s">
        <v>35</v>
      </c>
      <c r="D3138" t="s">
        <v>17</v>
      </c>
      <c r="E3138" t="s">
        <v>18</v>
      </c>
      <c r="F3138" t="s">
        <v>19</v>
      </c>
      <c r="G3138" t="s">
        <v>20</v>
      </c>
      <c r="J3138" t="s">
        <v>17</v>
      </c>
      <c r="K3138" t="str">
        <f>"7858816043932"</f>
        <v>7858816043932</v>
      </c>
      <c r="L3138" t="str">
        <f>"87524393"</f>
        <v>87524393</v>
      </c>
      <c r="M3138" t="s">
        <v>75</v>
      </c>
      <c r="N3138" s="1">
        <v>43244.678472222222</v>
      </c>
      <c r="O3138" t="s">
        <v>19</v>
      </c>
    </row>
    <row r="3139" spans="1:15" x14ac:dyDescent="0.25">
      <c r="A3139" t="s">
        <v>2534</v>
      </c>
      <c r="B3139" t="s">
        <v>15</v>
      </c>
      <c r="C3139" t="s">
        <v>64</v>
      </c>
      <c r="D3139" t="s">
        <v>17</v>
      </c>
      <c r="E3139" t="s">
        <v>18</v>
      </c>
      <c r="F3139" t="s">
        <v>19</v>
      </c>
      <c r="G3139" t="s">
        <v>20</v>
      </c>
      <c r="J3139" t="s">
        <v>17</v>
      </c>
      <c r="K3139" t="str">
        <f>"7168298825118"</f>
        <v>7168298825118</v>
      </c>
      <c r="L3139" t="str">
        <f>"98930024"</f>
        <v>98930024</v>
      </c>
      <c r="M3139" t="s">
        <v>21</v>
      </c>
      <c r="N3139" s="1">
        <v>43545.870138888888</v>
      </c>
      <c r="O3139" t="s">
        <v>19</v>
      </c>
    </row>
    <row r="3140" spans="1:15" x14ac:dyDescent="0.25">
      <c r="A3140" t="s">
        <v>2535</v>
      </c>
      <c r="B3140" t="s">
        <v>15</v>
      </c>
      <c r="C3140" t="s">
        <v>64</v>
      </c>
      <c r="D3140" t="s">
        <v>17</v>
      </c>
      <c r="E3140" t="s">
        <v>18</v>
      </c>
      <c r="F3140" t="s">
        <v>19</v>
      </c>
      <c r="G3140" t="s">
        <v>20</v>
      </c>
      <c r="J3140" t="s">
        <v>17</v>
      </c>
      <c r="K3140" t="str">
        <f>"4710007746301"</f>
        <v>4710007746301</v>
      </c>
      <c r="L3140" t="str">
        <f>"98930061"</f>
        <v>98930061</v>
      </c>
      <c r="M3140" t="s">
        <v>21</v>
      </c>
      <c r="N3140" s="1">
        <v>43545.866666666669</v>
      </c>
      <c r="O3140" t="s">
        <v>19</v>
      </c>
    </row>
    <row r="3141" spans="1:15" x14ac:dyDescent="0.25">
      <c r="A3141" t="s">
        <v>2536</v>
      </c>
      <c r="B3141" t="s">
        <v>15</v>
      </c>
      <c r="C3141" t="s">
        <v>31</v>
      </c>
      <c r="D3141" t="s">
        <v>17</v>
      </c>
      <c r="E3141" t="s">
        <v>18</v>
      </c>
      <c r="F3141" t="s">
        <v>19</v>
      </c>
      <c r="G3141" t="s">
        <v>20</v>
      </c>
      <c r="J3141" t="s">
        <v>17</v>
      </c>
      <c r="K3141" t="str">
        <f>"6925871603140"</f>
        <v>6925871603140</v>
      </c>
      <c r="L3141" t="str">
        <f>"22080314"</f>
        <v>22080314</v>
      </c>
      <c r="M3141" t="s">
        <v>84</v>
      </c>
      <c r="N3141" s="1">
        <v>43396.611805555556</v>
      </c>
      <c r="O3141" t="s">
        <v>19</v>
      </c>
    </row>
    <row r="3142" spans="1:15" x14ac:dyDescent="0.25">
      <c r="A3142" t="s">
        <v>2537</v>
      </c>
      <c r="B3142" t="s">
        <v>15</v>
      </c>
      <c r="C3142" t="s">
        <v>35</v>
      </c>
      <c r="D3142" t="s">
        <v>17</v>
      </c>
      <c r="E3142" t="s">
        <v>18</v>
      </c>
      <c r="F3142" t="s">
        <v>19</v>
      </c>
      <c r="G3142" t="s">
        <v>20</v>
      </c>
      <c r="J3142" t="s">
        <v>17</v>
      </c>
      <c r="K3142" t="str">
        <f>"42120100"</f>
        <v>42120100</v>
      </c>
      <c r="L3142" t="str">
        <f>"42120100"</f>
        <v>42120100</v>
      </c>
      <c r="M3142" t="s">
        <v>75</v>
      </c>
      <c r="N3142" s="1">
        <v>42872.839583333334</v>
      </c>
      <c r="O3142" t="s">
        <v>19</v>
      </c>
    </row>
    <row r="3143" spans="1:15" x14ac:dyDescent="0.25">
      <c r="A3143" t="s">
        <v>2538</v>
      </c>
      <c r="B3143" t="s">
        <v>15</v>
      </c>
      <c r="C3143" t="s">
        <v>35</v>
      </c>
      <c r="D3143" t="s">
        <v>17</v>
      </c>
      <c r="E3143" t="s">
        <v>18</v>
      </c>
      <c r="F3143" t="s">
        <v>19</v>
      </c>
      <c r="G3143" t="s">
        <v>20</v>
      </c>
      <c r="J3143" t="s">
        <v>17</v>
      </c>
      <c r="K3143" t="str">
        <f>"10002939"</f>
        <v>10002939</v>
      </c>
      <c r="L3143" t="str">
        <f>"10002939"</f>
        <v>10002939</v>
      </c>
      <c r="M3143" t="s">
        <v>21</v>
      </c>
      <c r="N3143" s="1">
        <v>43131.761111111111</v>
      </c>
      <c r="O3143" t="s">
        <v>19</v>
      </c>
    </row>
    <row r="3144" spans="1:15" x14ac:dyDescent="0.25">
      <c r="A3144" t="s">
        <v>2539</v>
      </c>
      <c r="B3144" t="s">
        <v>15</v>
      </c>
      <c r="C3144" t="s">
        <v>35</v>
      </c>
      <c r="D3144" t="s">
        <v>17</v>
      </c>
      <c r="E3144" t="s">
        <v>18</v>
      </c>
      <c r="F3144" t="s">
        <v>19</v>
      </c>
      <c r="G3144" t="s">
        <v>20</v>
      </c>
      <c r="J3144" t="s">
        <v>17</v>
      </c>
      <c r="K3144" t="str">
        <f>"6192085658116"</f>
        <v>6192085658116</v>
      </c>
      <c r="L3144" t="str">
        <f>"40028116"</f>
        <v>40028116</v>
      </c>
      <c r="M3144" t="s">
        <v>21</v>
      </c>
      <c r="N3144" s="1">
        <v>44349.792361111111</v>
      </c>
      <c r="O3144" t="s">
        <v>19</v>
      </c>
    </row>
    <row r="3145" spans="1:15" x14ac:dyDescent="0.25">
      <c r="A3145" t="s">
        <v>2540</v>
      </c>
      <c r="B3145" t="s">
        <v>15</v>
      </c>
      <c r="C3145" t="s">
        <v>64</v>
      </c>
      <c r="D3145" t="s">
        <v>17</v>
      </c>
      <c r="E3145" t="s">
        <v>18</v>
      </c>
      <c r="F3145" t="s">
        <v>19</v>
      </c>
      <c r="G3145" t="s">
        <v>20</v>
      </c>
      <c r="J3145" t="s">
        <v>17</v>
      </c>
      <c r="K3145" t="str">
        <f>"6956846536361"</f>
        <v>6956846536361</v>
      </c>
      <c r="L3145" t="str">
        <f>"40926361"</f>
        <v>40926361</v>
      </c>
      <c r="M3145" t="s">
        <v>21</v>
      </c>
      <c r="N3145" s="1">
        <v>44434.838888888888</v>
      </c>
      <c r="O3145" t="s">
        <v>19</v>
      </c>
    </row>
    <row r="3146" spans="1:15" x14ac:dyDescent="0.25">
      <c r="A3146" t="s">
        <v>2541</v>
      </c>
      <c r="B3146" t="s">
        <v>15</v>
      </c>
      <c r="C3146" t="s">
        <v>64</v>
      </c>
      <c r="D3146" t="s">
        <v>17</v>
      </c>
      <c r="E3146" t="s">
        <v>18</v>
      </c>
      <c r="F3146" t="s">
        <v>19</v>
      </c>
      <c r="G3146" t="s">
        <v>20</v>
      </c>
      <c r="J3146" t="s">
        <v>17</v>
      </c>
      <c r="K3146" t="str">
        <f>"40925011"</f>
        <v>40925011</v>
      </c>
      <c r="L3146" t="str">
        <f>"40925011"</f>
        <v>40925011</v>
      </c>
      <c r="M3146" t="s">
        <v>21</v>
      </c>
      <c r="N3146" s="1">
        <v>44306.871527777781</v>
      </c>
      <c r="O3146" t="s">
        <v>19</v>
      </c>
    </row>
    <row r="3147" spans="1:15" x14ac:dyDescent="0.25">
      <c r="A3147" t="s">
        <v>2542</v>
      </c>
      <c r="B3147" t="s">
        <v>15</v>
      </c>
      <c r="C3147" t="s">
        <v>31</v>
      </c>
      <c r="D3147" t="s">
        <v>17</v>
      </c>
      <c r="E3147" t="s">
        <v>18</v>
      </c>
      <c r="F3147" t="s">
        <v>19</v>
      </c>
      <c r="G3147" t="s">
        <v>20</v>
      </c>
      <c r="J3147" t="s">
        <v>17</v>
      </c>
      <c r="K3147" t="str">
        <f>"6957107331015"</f>
        <v>6957107331015</v>
      </c>
      <c r="L3147" t="str">
        <f>"10001512"</f>
        <v>10001512</v>
      </c>
      <c r="M3147" t="s">
        <v>84</v>
      </c>
      <c r="N3147" s="1">
        <v>43404.899305555555</v>
      </c>
      <c r="O3147" t="s">
        <v>19</v>
      </c>
    </row>
    <row r="3148" spans="1:15" x14ac:dyDescent="0.25">
      <c r="A3148" t="s">
        <v>2543</v>
      </c>
      <c r="B3148" t="s">
        <v>15</v>
      </c>
      <c r="C3148" t="s">
        <v>164</v>
      </c>
      <c r="D3148" t="s">
        <v>17</v>
      </c>
      <c r="E3148" t="s">
        <v>18</v>
      </c>
      <c r="F3148" t="s">
        <v>19</v>
      </c>
      <c r="G3148" t="s">
        <v>20</v>
      </c>
      <c r="J3148" t="s">
        <v>18</v>
      </c>
      <c r="K3148" t="str">
        <f>"7805040001825"</f>
        <v>7805040001825</v>
      </c>
      <c r="L3148" t="str">
        <f>"47881825"</f>
        <v>47881825</v>
      </c>
      <c r="M3148" t="s">
        <v>21</v>
      </c>
      <c r="N3148" s="1">
        <v>44042.65347222222</v>
      </c>
      <c r="O3148" t="s">
        <v>19</v>
      </c>
    </row>
    <row r="3149" spans="1:15" x14ac:dyDescent="0.25">
      <c r="A3149" t="s">
        <v>2544</v>
      </c>
      <c r="B3149" t="s">
        <v>15</v>
      </c>
      <c r="C3149" t="s">
        <v>37</v>
      </c>
      <c r="D3149" t="s">
        <v>17</v>
      </c>
      <c r="E3149" t="s">
        <v>18</v>
      </c>
      <c r="F3149" t="s">
        <v>19</v>
      </c>
      <c r="G3149" t="s">
        <v>20</v>
      </c>
      <c r="J3149" t="s">
        <v>17</v>
      </c>
      <c r="K3149" t="str">
        <f>"2021030101"</f>
        <v>2021030101</v>
      </c>
      <c r="L3149" t="str">
        <f>"10007555"</f>
        <v>10007555</v>
      </c>
      <c r="M3149" t="s">
        <v>21</v>
      </c>
      <c r="N3149" s="1">
        <v>44371.8125</v>
      </c>
      <c r="O3149" t="s">
        <v>19</v>
      </c>
    </row>
    <row r="3150" spans="1:15" x14ac:dyDescent="0.25">
      <c r="A3150" t="s">
        <v>2545</v>
      </c>
      <c r="B3150" t="s">
        <v>15</v>
      </c>
      <c r="C3150" t="s">
        <v>987</v>
      </c>
      <c r="D3150" t="s">
        <v>17</v>
      </c>
      <c r="E3150" t="s">
        <v>18</v>
      </c>
      <c r="F3150" t="s">
        <v>19</v>
      </c>
      <c r="G3150" t="s">
        <v>20</v>
      </c>
      <c r="J3150" t="s">
        <v>17</v>
      </c>
      <c r="K3150" t="str">
        <f>"66003164"</f>
        <v>66003164</v>
      </c>
      <c r="L3150" t="str">
        <f>"66003164"</f>
        <v>66003164</v>
      </c>
      <c r="M3150" t="s">
        <v>75</v>
      </c>
      <c r="N3150" s="1">
        <v>42872.847222222219</v>
      </c>
      <c r="O3150" t="s">
        <v>19</v>
      </c>
    </row>
    <row r="3151" spans="1:15" x14ac:dyDescent="0.25">
      <c r="A3151" t="s">
        <v>2546</v>
      </c>
      <c r="B3151" t="s">
        <v>15</v>
      </c>
      <c r="C3151" t="s">
        <v>987</v>
      </c>
      <c r="D3151" t="s">
        <v>17</v>
      </c>
      <c r="E3151" t="s">
        <v>18</v>
      </c>
      <c r="F3151" t="s">
        <v>19</v>
      </c>
      <c r="G3151" t="s">
        <v>20</v>
      </c>
      <c r="J3151" t="s">
        <v>17</v>
      </c>
      <c r="K3151" t="str">
        <f>"6925871600507"</f>
        <v>6925871600507</v>
      </c>
      <c r="L3151" t="str">
        <f>"22280950"</f>
        <v>22280950</v>
      </c>
      <c r="M3151" t="s">
        <v>84</v>
      </c>
      <c r="N3151" s="1">
        <v>43495.685416666667</v>
      </c>
      <c r="O3151" t="s">
        <v>19</v>
      </c>
    </row>
    <row r="3152" spans="1:15" x14ac:dyDescent="0.25">
      <c r="A3152" t="s">
        <v>2547</v>
      </c>
      <c r="B3152" t="s">
        <v>15</v>
      </c>
      <c r="C3152" t="s">
        <v>987</v>
      </c>
      <c r="D3152" t="s">
        <v>17</v>
      </c>
      <c r="E3152" t="s">
        <v>18</v>
      </c>
      <c r="F3152" t="s">
        <v>19</v>
      </c>
      <c r="G3152" t="s">
        <v>20</v>
      </c>
      <c r="J3152" t="s">
        <v>17</v>
      </c>
      <c r="K3152" t="str">
        <f>"6925871691468"</f>
        <v>6925871691468</v>
      </c>
      <c r="L3152" t="str">
        <f>"22280956"</f>
        <v>22280956</v>
      </c>
      <c r="M3152" t="s">
        <v>21</v>
      </c>
      <c r="N3152" s="1">
        <v>43818.694444444445</v>
      </c>
      <c r="O3152" t="s">
        <v>19</v>
      </c>
    </row>
    <row r="3153" spans="1:15" x14ac:dyDescent="0.25">
      <c r="A3153" t="s">
        <v>2548</v>
      </c>
      <c r="B3153" t="s">
        <v>15</v>
      </c>
      <c r="C3153" t="s">
        <v>987</v>
      </c>
      <c r="D3153" t="s">
        <v>17</v>
      </c>
      <c r="E3153" t="s">
        <v>18</v>
      </c>
      <c r="F3153" t="s">
        <v>19</v>
      </c>
      <c r="G3153" t="s">
        <v>20</v>
      </c>
      <c r="J3153" t="s">
        <v>17</v>
      </c>
      <c r="K3153" t="str">
        <f>"6925871691444"</f>
        <v>6925871691444</v>
      </c>
      <c r="L3153" t="str">
        <f>"22280958"</f>
        <v>22280958</v>
      </c>
      <c r="M3153" t="s">
        <v>21</v>
      </c>
      <c r="N3153" s="1">
        <v>43818.695138888892</v>
      </c>
      <c r="O3153" t="s">
        <v>19</v>
      </c>
    </row>
    <row r="3154" spans="1:15" x14ac:dyDescent="0.25">
      <c r="A3154" t="s">
        <v>2549</v>
      </c>
      <c r="B3154" t="s">
        <v>15</v>
      </c>
      <c r="C3154" t="s">
        <v>987</v>
      </c>
      <c r="D3154" t="s">
        <v>17</v>
      </c>
      <c r="E3154" t="s">
        <v>18</v>
      </c>
      <c r="F3154" t="s">
        <v>19</v>
      </c>
      <c r="G3154" t="s">
        <v>20</v>
      </c>
      <c r="J3154" t="s">
        <v>17</v>
      </c>
      <c r="K3154" t="str">
        <f>"7858816071492"</f>
        <v>7858816071492</v>
      </c>
      <c r="L3154" t="str">
        <f>"87287149"</f>
        <v>87287149</v>
      </c>
      <c r="M3154" t="s">
        <v>21</v>
      </c>
      <c r="N3154" s="1">
        <v>44211.915972222225</v>
      </c>
      <c r="O3154" t="s">
        <v>19</v>
      </c>
    </row>
    <row r="3155" spans="1:15" x14ac:dyDescent="0.25">
      <c r="A3155" t="s">
        <v>2550</v>
      </c>
      <c r="B3155" t="s">
        <v>15</v>
      </c>
      <c r="C3155" t="s">
        <v>987</v>
      </c>
      <c r="D3155" t="s">
        <v>17</v>
      </c>
      <c r="E3155" t="s">
        <v>18</v>
      </c>
      <c r="F3155" t="s">
        <v>19</v>
      </c>
      <c r="G3155" t="s">
        <v>20</v>
      </c>
      <c r="J3155" t="s">
        <v>17</v>
      </c>
      <c r="K3155" t="str">
        <f>"18280000"</f>
        <v>18280000</v>
      </c>
      <c r="L3155" t="str">
        <f>"18280000"</f>
        <v>18280000</v>
      </c>
      <c r="M3155" t="s">
        <v>75</v>
      </c>
      <c r="N3155" s="1">
        <v>43083.841666666667</v>
      </c>
      <c r="O3155" t="s">
        <v>19</v>
      </c>
    </row>
    <row r="3156" spans="1:15" x14ac:dyDescent="0.25">
      <c r="A3156" t="s">
        <v>2551</v>
      </c>
      <c r="B3156" t="s">
        <v>15</v>
      </c>
      <c r="C3156" t="s">
        <v>987</v>
      </c>
      <c r="D3156" t="s">
        <v>17</v>
      </c>
      <c r="E3156" t="s">
        <v>18</v>
      </c>
      <c r="F3156" t="s">
        <v>19</v>
      </c>
      <c r="G3156" t="s">
        <v>20</v>
      </c>
      <c r="J3156" t="s">
        <v>17</v>
      </c>
      <c r="K3156" t="str">
        <f>"22280000"</f>
        <v>22280000</v>
      </c>
      <c r="L3156" t="str">
        <f>"22280000"</f>
        <v>22280000</v>
      </c>
      <c r="M3156" t="s">
        <v>75</v>
      </c>
      <c r="N3156" s="1">
        <v>43096.805555555555</v>
      </c>
      <c r="O3156" t="s">
        <v>19</v>
      </c>
    </row>
    <row r="3157" spans="1:15" x14ac:dyDescent="0.25">
      <c r="A3157" t="s">
        <v>2552</v>
      </c>
      <c r="B3157" t="s">
        <v>15</v>
      </c>
      <c r="C3157" t="s">
        <v>987</v>
      </c>
      <c r="D3157" t="s">
        <v>17</v>
      </c>
      <c r="E3157" t="s">
        <v>18</v>
      </c>
      <c r="F3157" t="s">
        <v>19</v>
      </c>
      <c r="G3157" t="s">
        <v>20</v>
      </c>
      <c r="J3157" t="s">
        <v>17</v>
      </c>
      <c r="K3157" t="str">
        <f>"7297932319109"</f>
        <v>7297932319109</v>
      </c>
      <c r="L3157" t="str">
        <f>"31FJXPG910"</f>
        <v>31FJXPG910</v>
      </c>
      <c r="M3157" t="s">
        <v>21</v>
      </c>
      <c r="N3157" s="1">
        <v>44001.663194444445</v>
      </c>
      <c r="O3157" t="s">
        <v>19</v>
      </c>
    </row>
    <row r="3158" spans="1:15" x14ac:dyDescent="0.25">
      <c r="A3158" t="s">
        <v>2553</v>
      </c>
      <c r="B3158" t="s">
        <v>15</v>
      </c>
      <c r="C3158" t="s">
        <v>987</v>
      </c>
      <c r="D3158" t="s">
        <v>17</v>
      </c>
      <c r="E3158" t="s">
        <v>18</v>
      </c>
      <c r="F3158" t="s">
        <v>19</v>
      </c>
      <c r="G3158" t="s">
        <v>20</v>
      </c>
      <c r="J3158" t="s">
        <v>17</v>
      </c>
      <c r="K3158" t="str">
        <f>"8713439204919"</f>
        <v>8713439204919</v>
      </c>
      <c r="L3158" t="str">
        <f>"92280545"</f>
        <v>92280545</v>
      </c>
      <c r="M3158" t="s">
        <v>21</v>
      </c>
      <c r="N3158" s="1">
        <v>42872.839583333334</v>
      </c>
      <c r="O3158" t="s">
        <v>19</v>
      </c>
    </row>
    <row r="3159" spans="1:15" x14ac:dyDescent="0.25">
      <c r="A3159" t="s">
        <v>2554</v>
      </c>
      <c r="B3159" t="s">
        <v>15</v>
      </c>
      <c r="C3159" t="s">
        <v>987</v>
      </c>
      <c r="D3159" t="s">
        <v>17</v>
      </c>
      <c r="E3159" t="s">
        <v>18</v>
      </c>
      <c r="F3159" t="s">
        <v>19</v>
      </c>
      <c r="G3159" t="s">
        <v>20</v>
      </c>
      <c r="J3159" t="s">
        <v>17</v>
      </c>
      <c r="K3159" t="str">
        <f>"10003405"</f>
        <v>10003405</v>
      </c>
      <c r="L3159" t="str">
        <f>"10003405"</f>
        <v>10003405</v>
      </c>
      <c r="M3159" t="s">
        <v>75</v>
      </c>
      <c r="N3159" s="1">
        <v>42872.839583333334</v>
      </c>
      <c r="O3159" t="s">
        <v>19</v>
      </c>
    </row>
    <row r="3160" spans="1:15" x14ac:dyDescent="0.25">
      <c r="A3160" t="s">
        <v>2555</v>
      </c>
      <c r="B3160" t="s">
        <v>15</v>
      </c>
      <c r="C3160" t="s">
        <v>987</v>
      </c>
      <c r="D3160" t="s">
        <v>17</v>
      </c>
      <c r="E3160" t="s">
        <v>18</v>
      </c>
      <c r="F3160" t="s">
        <v>19</v>
      </c>
      <c r="G3160" t="s">
        <v>20</v>
      </c>
      <c r="J3160" t="s">
        <v>17</v>
      </c>
      <c r="K3160" t="str">
        <f>"872800883"</f>
        <v>872800883</v>
      </c>
      <c r="L3160" t="str">
        <f>"872800883"</f>
        <v>872800883</v>
      </c>
      <c r="M3160" t="s">
        <v>75</v>
      </c>
      <c r="N3160" s="1">
        <v>42872.849305555559</v>
      </c>
      <c r="O3160" t="s">
        <v>19</v>
      </c>
    </row>
    <row r="3161" spans="1:15" x14ac:dyDescent="0.25">
      <c r="A3161" t="s">
        <v>2556</v>
      </c>
      <c r="B3161" t="s">
        <v>15</v>
      </c>
      <c r="C3161" t="s">
        <v>987</v>
      </c>
      <c r="D3161" t="s">
        <v>17</v>
      </c>
      <c r="E3161" t="s">
        <v>18</v>
      </c>
      <c r="F3161" t="s">
        <v>19</v>
      </c>
      <c r="G3161" t="s">
        <v>20</v>
      </c>
      <c r="J3161" t="s">
        <v>17</v>
      </c>
      <c r="K3161" t="str">
        <f>"10001782"</f>
        <v>10001782</v>
      </c>
      <c r="L3161" t="str">
        <f>"10001782"</f>
        <v>10001782</v>
      </c>
      <c r="M3161" t="s">
        <v>84</v>
      </c>
      <c r="N3161" s="1">
        <v>43396.688194444447</v>
      </c>
      <c r="O3161" t="s">
        <v>19</v>
      </c>
    </row>
    <row r="3162" spans="1:15" x14ac:dyDescent="0.25">
      <c r="A3162" t="s">
        <v>2557</v>
      </c>
      <c r="B3162" t="s">
        <v>15</v>
      </c>
      <c r="C3162" t="s">
        <v>987</v>
      </c>
      <c r="D3162" t="s">
        <v>17</v>
      </c>
      <c r="E3162" t="s">
        <v>18</v>
      </c>
      <c r="F3162" t="s">
        <v>19</v>
      </c>
      <c r="G3162" t="s">
        <v>20</v>
      </c>
      <c r="J3162" t="s">
        <v>17</v>
      </c>
      <c r="K3162" t="str">
        <f>"6987245391282"</f>
        <v>6987245391282</v>
      </c>
      <c r="L3162" t="str">
        <f>"10002227"</f>
        <v>10002227</v>
      </c>
      <c r="M3162" t="s">
        <v>21</v>
      </c>
      <c r="N3162" s="1">
        <v>44371.811805555553</v>
      </c>
      <c r="O3162" t="s">
        <v>19</v>
      </c>
    </row>
    <row r="3163" spans="1:15" x14ac:dyDescent="0.25">
      <c r="A3163" t="s">
        <v>2558</v>
      </c>
      <c r="B3163" t="s">
        <v>15</v>
      </c>
      <c r="C3163" t="s">
        <v>987</v>
      </c>
      <c r="D3163" t="s">
        <v>17</v>
      </c>
      <c r="E3163" t="s">
        <v>18</v>
      </c>
      <c r="F3163" t="s">
        <v>19</v>
      </c>
      <c r="G3163" t="s">
        <v>20</v>
      </c>
      <c r="J3163" t="s">
        <v>17</v>
      </c>
      <c r="K3163" t="str">
        <f>"6931534500039"</f>
        <v>6931534500039</v>
      </c>
      <c r="L3163" t="str">
        <f>"10000040"</f>
        <v>10000040</v>
      </c>
      <c r="M3163" t="s">
        <v>84</v>
      </c>
      <c r="N3163" s="1">
        <v>43571.890972222223</v>
      </c>
      <c r="O3163" t="s">
        <v>19</v>
      </c>
    </row>
    <row r="3164" spans="1:15" x14ac:dyDescent="0.25">
      <c r="A3164" t="s">
        <v>2559</v>
      </c>
      <c r="B3164" t="s">
        <v>15</v>
      </c>
      <c r="C3164" t="s">
        <v>987</v>
      </c>
      <c r="D3164" t="s">
        <v>17</v>
      </c>
      <c r="E3164" t="s">
        <v>18</v>
      </c>
      <c r="F3164" t="s">
        <v>19</v>
      </c>
      <c r="G3164" t="s">
        <v>20</v>
      </c>
      <c r="J3164" t="s">
        <v>17</v>
      </c>
      <c r="K3164" t="str">
        <f>"98280001"</f>
        <v>98280001</v>
      </c>
      <c r="L3164" t="str">
        <f>"98280001"</f>
        <v>98280001</v>
      </c>
      <c r="M3164" t="s">
        <v>21</v>
      </c>
      <c r="N3164" s="1">
        <v>43369.722916666666</v>
      </c>
      <c r="O3164" t="s">
        <v>19</v>
      </c>
    </row>
    <row r="3165" spans="1:15" x14ac:dyDescent="0.25">
      <c r="A3165" t="s">
        <v>2559</v>
      </c>
      <c r="B3165" t="s">
        <v>15</v>
      </c>
      <c r="C3165" t="s">
        <v>987</v>
      </c>
      <c r="D3165" t="s">
        <v>17</v>
      </c>
      <c r="E3165" t="s">
        <v>18</v>
      </c>
      <c r="F3165" t="s">
        <v>19</v>
      </c>
      <c r="G3165" t="s">
        <v>20</v>
      </c>
      <c r="J3165" t="s">
        <v>17</v>
      </c>
      <c r="K3165" t="str">
        <f>"4260294560222"</f>
        <v>4260294560222</v>
      </c>
      <c r="L3165" t="str">
        <f>"31SNE49116"</f>
        <v>31SNE49116</v>
      </c>
      <c r="M3165" t="s">
        <v>21</v>
      </c>
      <c r="N3165" s="1">
        <v>44001.593055555553</v>
      </c>
      <c r="O3165" t="s">
        <v>19</v>
      </c>
    </row>
    <row r="3166" spans="1:15" x14ac:dyDescent="0.25">
      <c r="A3166" t="s">
        <v>2560</v>
      </c>
      <c r="B3166" t="s">
        <v>15</v>
      </c>
      <c r="C3166" t="s">
        <v>987</v>
      </c>
      <c r="D3166" t="s">
        <v>17</v>
      </c>
      <c r="E3166" t="s">
        <v>18</v>
      </c>
      <c r="F3166" t="s">
        <v>19</v>
      </c>
      <c r="G3166" t="s">
        <v>20</v>
      </c>
      <c r="J3166" t="s">
        <v>17</v>
      </c>
      <c r="K3166" t="str">
        <f>"6926868810053"</f>
        <v>6926868810053</v>
      </c>
      <c r="L3166" t="str">
        <f>"10000734"</f>
        <v>10000734</v>
      </c>
      <c r="M3166" t="s">
        <v>75</v>
      </c>
      <c r="N3166" s="1">
        <v>42872.839583333334</v>
      </c>
      <c r="O3166" t="s">
        <v>19</v>
      </c>
    </row>
    <row r="3167" spans="1:15" x14ac:dyDescent="0.25">
      <c r="A3167" t="s">
        <v>2561</v>
      </c>
      <c r="B3167" t="s">
        <v>15</v>
      </c>
      <c r="C3167" t="s">
        <v>37</v>
      </c>
      <c r="D3167" t="s">
        <v>17</v>
      </c>
      <c r="E3167" t="s">
        <v>18</v>
      </c>
      <c r="F3167" t="s">
        <v>19</v>
      </c>
      <c r="G3167" t="s">
        <v>20</v>
      </c>
      <c r="J3167" t="s">
        <v>17</v>
      </c>
      <c r="K3167" t="str">
        <f>"6987246390383"</f>
        <v>6987246390383</v>
      </c>
      <c r="L3167" t="str">
        <f>"10001474"</f>
        <v>10001474</v>
      </c>
      <c r="M3167" t="s">
        <v>84</v>
      </c>
      <c r="N3167" s="1">
        <v>43307.870138888888</v>
      </c>
      <c r="O3167" t="s">
        <v>19</v>
      </c>
    </row>
    <row r="3168" spans="1:15" x14ac:dyDescent="0.25">
      <c r="A3168" t="s">
        <v>2562</v>
      </c>
      <c r="B3168" t="s">
        <v>15</v>
      </c>
      <c r="C3168" t="s">
        <v>37</v>
      </c>
      <c r="D3168" t="s">
        <v>17</v>
      </c>
      <c r="E3168" t="s">
        <v>18</v>
      </c>
      <c r="F3168" t="s">
        <v>19</v>
      </c>
      <c r="G3168" t="s">
        <v>20</v>
      </c>
      <c r="J3168" t="s">
        <v>17</v>
      </c>
      <c r="K3168" t="str">
        <f>"4710345738525"</f>
        <v>4710345738525</v>
      </c>
      <c r="L3168" t="str">
        <f>"65528525"</f>
        <v>65528525</v>
      </c>
      <c r="M3168" t="s">
        <v>75</v>
      </c>
      <c r="N3168" s="1">
        <v>43028.961805555555</v>
      </c>
      <c r="O3168" t="s">
        <v>19</v>
      </c>
    </row>
    <row r="3169" spans="1:15" x14ac:dyDescent="0.25">
      <c r="A3169" t="s">
        <v>2563</v>
      </c>
      <c r="B3169" t="s">
        <v>15</v>
      </c>
      <c r="C3169" t="s">
        <v>987</v>
      </c>
      <c r="D3169" t="s">
        <v>17</v>
      </c>
      <c r="E3169" t="s">
        <v>18</v>
      </c>
      <c r="F3169" t="s">
        <v>19</v>
      </c>
      <c r="G3169" t="s">
        <v>20</v>
      </c>
      <c r="J3169" t="s">
        <v>17</v>
      </c>
      <c r="K3169" t="str">
        <f>"6926556542310"</f>
        <v>6926556542310</v>
      </c>
      <c r="L3169" t="str">
        <f>"98282310"</f>
        <v>98282310</v>
      </c>
      <c r="M3169" t="s">
        <v>21</v>
      </c>
      <c r="N3169" s="1">
        <v>44247.818749999999</v>
      </c>
      <c r="O3169" t="s">
        <v>19</v>
      </c>
    </row>
    <row r="3170" spans="1:15" x14ac:dyDescent="0.25">
      <c r="A3170" t="s">
        <v>2564</v>
      </c>
      <c r="B3170" t="s">
        <v>15</v>
      </c>
      <c r="C3170" t="s">
        <v>987</v>
      </c>
      <c r="D3170" t="s">
        <v>17</v>
      </c>
      <c r="E3170" t="s">
        <v>18</v>
      </c>
      <c r="F3170" t="s">
        <v>19</v>
      </c>
      <c r="G3170" t="s">
        <v>20</v>
      </c>
      <c r="J3170" t="s">
        <v>17</v>
      </c>
      <c r="K3170" t="str">
        <f>"6937867731218"</f>
        <v>6937867731218</v>
      </c>
      <c r="L3170" t="str">
        <f>"10001777"</f>
        <v>10001777</v>
      </c>
      <c r="M3170" t="s">
        <v>21</v>
      </c>
      <c r="N3170" s="1">
        <v>42872.847222222219</v>
      </c>
      <c r="O3170" t="s">
        <v>19</v>
      </c>
    </row>
    <row r="3171" spans="1:15" x14ac:dyDescent="0.25">
      <c r="A3171" t="s">
        <v>2565</v>
      </c>
      <c r="B3171" t="s">
        <v>15</v>
      </c>
      <c r="C3171" t="s">
        <v>987</v>
      </c>
      <c r="D3171" t="s">
        <v>17</v>
      </c>
      <c r="E3171" t="s">
        <v>18</v>
      </c>
      <c r="F3171" t="s">
        <v>19</v>
      </c>
      <c r="G3171" t="s">
        <v>20</v>
      </c>
      <c r="J3171" t="s">
        <v>17</v>
      </c>
      <c r="K3171" t="str">
        <f>"2020050060647"</f>
        <v>2020050060647</v>
      </c>
      <c r="L3171" t="str">
        <f>"18286064"</f>
        <v>18286064</v>
      </c>
      <c r="M3171" t="s">
        <v>21</v>
      </c>
      <c r="N3171" s="1">
        <v>43125.688888888886</v>
      </c>
      <c r="O3171" t="s">
        <v>19</v>
      </c>
    </row>
    <row r="3172" spans="1:15" x14ac:dyDescent="0.25">
      <c r="A3172" t="s">
        <v>2566</v>
      </c>
      <c r="B3172" t="s">
        <v>15</v>
      </c>
      <c r="C3172" t="s">
        <v>987</v>
      </c>
      <c r="D3172" t="s">
        <v>17</v>
      </c>
      <c r="E3172" t="s">
        <v>18</v>
      </c>
      <c r="F3172" t="s">
        <v>19</v>
      </c>
      <c r="G3172" t="s">
        <v>20</v>
      </c>
      <c r="J3172" t="s">
        <v>17</v>
      </c>
      <c r="K3172" t="str">
        <f>"7858816046025"</f>
        <v>7858816046025</v>
      </c>
      <c r="L3172" t="str">
        <f>"87284602"</f>
        <v>87284602</v>
      </c>
      <c r="M3172" t="s">
        <v>21</v>
      </c>
      <c r="N3172" s="1">
        <v>44211.913888888892</v>
      </c>
      <c r="O3172" t="s">
        <v>19</v>
      </c>
    </row>
    <row r="3173" spans="1:15" x14ac:dyDescent="0.25">
      <c r="A3173" t="s">
        <v>2567</v>
      </c>
      <c r="B3173" t="s">
        <v>15</v>
      </c>
      <c r="C3173" t="s">
        <v>987</v>
      </c>
      <c r="D3173" t="s">
        <v>17</v>
      </c>
      <c r="E3173" t="s">
        <v>18</v>
      </c>
      <c r="F3173" t="s">
        <v>19</v>
      </c>
      <c r="G3173" t="s">
        <v>20</v>
      </c>
      <c r="J3173" t="s">
        <v>17</v>
      </c>
      <c r="K3173" t="str">
        <f>"6905631118015"</f>
        <v>6905631118015</v>
      </c>
      <c r="L3173" t="str">
        <f>"40280760"</f>
        <v>40280760</v>
      </c>
      <c r="M3173" t="s">
        <v>21</v>
      </c>
      <c r="N3173" s="1">
        <v>44225.864583333336</v>
      </c>
      <c r="O3173" t="s">
        <v>19</v>
      </c>
    </row>
    <row r="3174" spans="1:15" x14ac:dyDescent="0.25">
      <c r="A3174" t="s">
        <v>2568</v>
      </c>
      <c r="B3174" t="s">
        <v>15</v>
      </c>
      <c r="C3174" t="s">
        <v>164</v>
      </c>
      <c r="D3174" t="s">
        <v>17</v>
      </c>
      <c r="E3174" t="s">
        <v>18</v>
      </c>
      <c r="F3174" t="s">
        <v>19</v>
      </c>
      <c r="G3174" t="s">
        <v>20</v>
      </c>
      <c r="J3174" t="s">
        <v>17</v>
      </c>
      <c r="K3174" t="str">
        <f>"47880190"</f>
        <v>47880190</v>
      </c>
      <c r="L3174" t="str">
        <f>"47880190"</f>
        <v>47880190</v>
      </c>
      <c r="M3174" t="s">
        <v>21</v>
      </c>
      <c r="N3174" s="1">
        <v>42872.847222222219</v>
      </c>
      <c r="O3174" t="s">
        <v>19</v>
      </c>
    </row>
    <row r="3175" spans="1:15" x14ac:dyDescent="0.25">
      <c r="A3175" t="s">
        <v>2569</v>
      </c>
      <c r="B3175" t="s">
        <v>15</v>
      </c>
      <c r="C3175" t="s">
        <v>941</v>
      </c>
      <c r="D3175" t="s">
        <v>17</v>
      </c>
      <c r="E3175" t="s">
        <v>18</v>
      </c>
      <c r="F3175" t="s">
        <v>19</v>
      </c>
      <c r="G3175" t="s">
        <v>20</v>
      </c>
      <c r="J3175" t="s">
        <v>17</v>
      </c>
      <c r="K3175" t="str">
        <f>"853700694"</f>
        <v>853700694</v>
      </c>
      <c r="L3175" t="str">
        <f>"853700694"</f>
        <v>853700694</v>
      </c>
      <c r="M3175" t="s">
        <v>75</v>
      </c>
      <c r="N3175" s="1">
        <v>42872.849305555559</v>
      </c>
      <c r="O3175" t="s">
        <v>19</v>
      </c>
    </row>
    <row r="3176" spans="1:15" x14ac:dyDescent="0.25">
      <c r="A3176" t="s">
        <v>2570</v>
      </c>
      <c r="B3176" t="s">
        <v>15</v>
      </c>
      <c r="C3176" t="s">
        <v>37</v>
      </c>
      <c r="D3176" t="s">
        <v>17</v>
      </c>
      <c r="E3176" t="s">
        <v>18</v>
      </c>
      <c r="F3176" t="s">
        <v>19</v>
      </c>
      <c r="G3176" t="s">
        <v>20</v>
      </c>
      <c r="J3176" t="s">
        <v>17</v>
      </c>
      <c r="K3176" t="str">
        <f>"10001666"</f>
        <v>10001666</v>
      </c>
      <c r="L3176" t="str">
        <f>"10001666"</f>
        <v>10001666</v>
      </c>
      <c r="M3176" t="s">
        <v>21</v>
      </c>
      <c r="N3176" s="1">
        <v>43377.715277777781</v>
      </c>
      <c r="O3176" t="s">
        <v>19</v>
      </c>
    </row>
    <row r="3177" spans="1:15" x14ac:dyDescent="0.25">
      <c r="A3177" t="s">
        <v>2571</v>
      </c>
      <c r="B3177" t="s">
        <v>15</v>
      </c>
      <c r="C3177" t="s">
        <v>37</v>
      </c>
      <c r="D3177" t="s">
        <v>17</v>
      </c>
      <c r="E3177" t="s">
        <v>18</v>
      </c>
      <c r="F3177" t="s">
        <v>19</v>
      </c>
      <c r="G3177" t="s">
        <v>20</v>
      </c>
      <c r="J3177" t="s">
        <v>17</v>
      </c>
      <c r="K3177" t="str">
        <f>"10002928"</f>
        <v>10002928</v>
      </c>
      <c r="L3177" t="str">
        <f>"10002928"</f>
        <v>10002928</v>
      </c>
      <c r="M3177" t="s">
        <v>21</v>
      </c>
      <c r="N3177" s="1">
        <v>43755.638194444444</v>
      </c>
      <c r="O3177" t="s">
        <v>19</v>
      </c>
    </row>
    <row r="3178" spans="1:15" x14ac:dyDescent="0.25">
      <c r="A3178" t="s">
        <v>2572</v>
      </c>
      <c r="B3178" t="s">
        <v>15</v>
      </c>
      <c r="C3178" t="s">
        <v>37</v>
      </c>
      <c r="D3178" t="s">
        <v>17</v>
      </c>
      <c r="E3178" t="s">
        <v>18</v>
      </c>
      <c r="F3178" t="s">
        <v>19</v>
      </c>
      <c r="G3178" t="s">
        <v>20</v>
      </c>
      <c r="J3178" t="s">
        <v>17</v>
      </c>
      <c r="K3178" t="str">
        <f>"10520350"</f>
        <v>10520350</v>
      </c>
      <c r="L3178" t="str">
        <f>"10520350"</f>
        <v>10520350</v>
      </c>
      <c r="M3178" t="s">
        <v>21</v>
      </c>
      <c r="N3178" s="1">
        <v>44026.788888888892</v>
      </c>
      <c r="O3178" t="s">
        <v>19</v>
      </c>
    </row>
    <row r="3179" spans="1:15" x14ac:dyDescent="0.25">
      <c r="A3179" t="s">
        <v>2573</v>
      </c>
      <c r="B3179" t="s">
        <v>15</v>
      </c>
      <c r="C3179" t="s">
        <v>37</v>
      </c>
      <c r="D3179" t="s">
        <v>17</v>
      </c>
      <c r="E3179" t="s">
        <v>18</v>
      </c>
      <c r="F3179" t="s">
        <v>19</v>
      </c>
      <c r="G3179" t="s">
        <v>20</v>
      </c>
      <c r="J3179" t="s">
        <v>17</v>
      </c>
      <c r="K3179" t="str">
        <f>"10112606"</f>
        <v>10112606</v>
      </c>
      <c r="L3179" t="str">
        <f>"10112606"</f>
        <v>10112606</v>
      </c>
      <c r="M3179" t="s">
        <v>21</v>
      </c>
      <c r="N3179" s="1">
        <v>43893.660416666666</v>
      </c>
      <c r="O3179" t="s">
        <v>19</v>
      </c>
    </row>
    <row r="3180" spans="1:15" x14ac:dyDescent="0.25">
      <c r="A3180" t="s">
        <v>2574</v>
      </c>
      <c r="B3180" t="s">
        <v>15</v>
      </c>
      <c r="C3180" t="s">
        <v>37</v>
      </c>
      <c r="D3180" t="s">
        <v>17</v>
      </c>
      <c r="E3180" t="s">
        <v>18</v>
      </c>
      <c r="F3180" t="s">
        <v>19</v>
      </c>
      <c r="G3180" t="s">
        <v>20</v>
      </c>
      <c r="J3180" t="s">
        <v>17</v>
      </c>
      <c r="K3180" t="str">
        <f>"10520329"</f>
        <v>10520329</v>
      </c>
      <c r="L3180" t="str">
        <f>"10520329"</f>
        <v>10520329</v>
      </c>
      <c r="M3180" t="s">
        <v>21</v>
      </c>
      <c r="N3180" s="1">
        <v>43893.664583333331</v>
      </c>
      <c r="O3180" t="s">
        <v>19</v>
      </c>
    </row>
    <row r="3181" spans="1:15" x14ac:dyDescent="0.25">
      <c r="A3181" t="s">
        <v>2575</v>
      </c>
      <c r="B3181" t="s">
        <v>15</v>
      </c>
      <c r="C3181" t="s">
        <v>1619</v>
      </c>
      <c r="D3181" t="s">
        <v>17</v>
      </c>
      <c r="E3181" t="s">
        <v>18</v>
      </c>
      <c r="F3181" t="s">
        <v>19</v>
      </c>
      <c r="G3181" t="s">
        <v>20</v>
      </c>
      <c r="J3181" t="s">
        <v>17</v>
      </c>
      <c r="K3181" t="str">
        <f>"10000189"</f>
        <v>10000189</v>
      </c>
      <c r="L3181" t="str">
        <f>"10000189"</f>
        <v>10000189</v>
      </c>
      <c r="M3181" t="s">
        <v>75</v>
      </c>
      <c r="N3181" s="1">
        <v>42872.839583333334</v>
      </c>
      <c r="O3181" t="s">
        <v>19</v>
      </c>
    </row>
    <row r="3182" spans="1:15" x14ac:dyDescent="0.25">
      <c r="A3182" t="s">
        <v>2576</v>
      </c>
      <c r="B3182" t="s">
        <v>15</v>
      </c>
      <c r="C3182" t="s">
        <v>37</v>
      </c>
      <c r="D3182" t="s">
        <v>17</v>
      </c>
      <c r="E3182" t="s">
        <v>18</v>
      </c>
      <c r="F3182" t="s">
        <v>19</v>
      </c>
      <c r="G3182" t="s">
        <v>20</v>
      </c>
      <c r="J3182" t="s">
        <v>17</v>
      </c>
      <c r="K3182" t="str">
        <f>"7858816084997"</f>
        <v>7858816084997</v>
      </c>
      <c r="L3182" t="str">
        <f>"87528499"</f>
        <v>87528499</v>
      </c>
      <c r="M3182" t="s">
        <v>21</v>
      </c>
      <c r="N3182" s="1">
        <v>44356.931250000001</v>
      </c>
      <c r="O3182" t="s">
        <v>19</v>
      </c>
    </row>
    <row r="3183" spans="1:15" x14ac:dyDescent="0.25">
      <c r="A3183" t="s">
        <v>2577</v>
      </c>
      <c r="B3183" t="s">
        <v>15</v>
      </c>
      <c r="C3183" t="s">
        <v>64</v>
      </c>
      <c r="D3183" t="s">
        <v>17</v>
      </c>
      <c r="E3183" t="s">
        <v>18</v>
      </c>
      <c r="F3183" t="s">
        <v>19</v>
      </c>
      <c r="G3183" t="s">
        <v>20</v>
      </c>
      <c r="J3183" t="s">
        <v>17</v>
      </c>
      <c r="K3183" t="str">
        <f>"6922951500122"</f>
        <v>6922951500122</v>
      </c>
      <c r="L3183" t="str">
        <f>"10119866"</f>
        <v>10119866</v>
      </c>
      <c r="M3183" t="s">
        <v>21</v>
      </c>
      <c r="N3183" s="1">
        <v>44392.775000000001</v>
      </c>
      <c r="O3183" t="s">
        <v>19</v>
      </c>
    </row>
    <row r="3184" spans="1:15" x14ac:dyDescent="0.25">
      <c r="A3184" t="s">
        <v>2578</v>
      </c>
      <c r="B3184" t="s">
        <v>15</v>
      </c>
      <c r="C3184" t="s">
        <v>37</v>
      </c>
      <c r="D3184" t="s">
        <v>17</v>
      </c>
      <c r="E3184" t="s">
        <v>18</v>
      </c>
      <c r="F3184" t="s">
        <v>19</v>
      </c>
      <c r="G3184" t="s">
        <v>20</v>
      </c>
      <c r="J3184" t="s">
        <v>17</v>
      </c>
      <c r="K3184" t="str">
        <f>"105213198"</f>
        <v>105213198</v>
      </c>
      <c r="L3184" t="str">
        <f>"105213198"</f>
        <v>105213198</v>
      </c>
      <c r="M3184" t="s">
        <v>75</v>
      </c>
      <c r="N3184" s="1">
        <v>43175.956250000003</v>
      </c>
      <c r="O3184" t="s">
        <v>19</v>
      </c>
    </row>
    <row r="3185" spans="1:15" x14ac:dyDescent="0.25">
      <c r="A3185" t="s">
        <v>2579</v>
      </c>
      <c r="B3185" t="s">
        <v>15</v>
      </c>
      <c r="C3185" t="s">
        <v>343</v>
      </c>
      <c r="D3185" t="s">
        <v>17</v>
      </c>
      <c r="E3185" t="s">
        <v>18</v>
      </c>
      <c r="F3185" t="s">
        <v>19</v>
      </c>
      <c r="G3185" t="s">
        <v>20</v>
      </c>
      <c r="J3185" t="s">
        <v>17</v>
      </c>
      <c r="K3185" t="str">
        <f>"110401001"</f>
        <v>110401001</v>
      </c>
      <c r="L3185" t="str">
        <f>"110401001"</f>
        <v>110401001</v>
      </c>
      <c r="M3185" t="s">
        <v>75</v>
      </c>
      <c r="N3185" s="1">
        <v>42872.847222222219</v>
      </c>
      <c r="O3185" t="s">
        <v>19</v>
      </c>
    </row>
    <row r="3186" spans="1:15" x14ac:dyDescent="0.25">
      <c r="A3186" t="s">
        <v>2580</v>
      </c>
      <c r="B3186" t="s">
        <v>15</v>
      </c>
      <c r="C3186" t="s">
        <v>35</v>
      </c>
      <c r="D3186" t="s">
        <v>17</v>
      </c>
      <c r="E3186" t="s">
        <v>18</v>
      </c>
      <c r="F3186" t="s">
        <v>19</v>
      </c>
      <c r="G3186" t="s">
        <v>20</v>
      </c>
      <c r="J3186" t="s">
        <v>17</v>
      </c>
      <c r="K3186" t="str">
        <f>"10003932"</f>
        <v>10003932</v>
      </c>
      <c r="L3186" t="str">
        <f>"10003932"</f>
        <v>10003932</v>
      </c>
      <c r="M3186" t="s">
        <v>75</v>
      </c>
      <c r="N3186" s="1">
        <v>42872.839583333334</v>
      </c>
      <c r="O3186" t="s">
        <v>19</v>
      </c>
    </row>
    <row r="3187" spans="1:15" x14ac:dyDescent="0.25">
      <c r="A3187" t="s">
        <v>2581</v>
      </c>
      <c r="B3187" t="s">
        <v>15</v>
      </c>
      <c r="C3187" t="s">
        <v>2582</v>
      </c>
      <c r="D3187" t="s">
        <v>17</v>
      </c>
      <c r="E3187" t="s">
        <v>18</v>
      </c>
      <c r="F3187" t="s">
        <v>19</v>
      </c>
      <c r="G3187" t="s">
        <v>20</v>
      </c>
      <c r="J3187" t="s">
        <v>17</v>
      </c>
      <c r="K3187" t="str">
        <f>"342714208"</f>
        <v>342714208</v>
      </c>
      <c r="L3187" t="str">
        <f>"342714208"</f>
        <v>342714208</v>
      </c>
      <c r="M3187" t="s">
        <v>75</v>
      </c>
      <c r="N3187" s="1">
        <v>43116.690972222219</v>
      </c>
      <c r="O3187" t="s">
        <v>19</v>
      </c>
    </row>
    <row r="3188" spans="1:15" x14ac:dyDescent="0.25">
      <c r="A3188" t="s">
        <v>2583</v>
      </c>
      <c r="B3188" t="s">
        <v>15</v>
      </c>
      <c r="C3188" t="s">
        <v>2582</v>
      </c>
      <c r="D3188" t="s">
        <v>17</v>
      </c>
      <c r="E3188" t="s">
        <v>18</v>
      </c>
      <c r="F3188" t="s">
        <v>19</v>
      </c>
      <c r="G3188" t="s">
        <v>20</v>
      </c>
      <c r="J3188" t="s">
        <v>17</v>
      </c>
      <c r="K3188" t="str">
        <f>"766614269"</f>
        <v>766614269</v>
      </c>
      <c r="L3188" t="str">
        <f>"766614269"</f>
        <v>766614269</v>
      </c>
      <c r="M3188" t="s">
        <v>21</v>
      </c>
      <c r="N3188" s="1">
        <v>43719.934027777781</v>
      </c>
      <c r="O3188" t="s">
        <v>19</v>
      </c>
    </row>
    <row r="3189" spans="1:15" x14ac:dyDescent="0.25">
      <c r="A3189" t="s">
        <v>2584</v>
      </c>
      <c r="B3189" t="s">
        <v>15</v>
      </c>
      <c r="C3189" t="s">
        <v>2585</v>
      </c>
      <c r="D3189" t="s">
        <v>17</v>
      </c>
      <c r="E3189" t="s">
        <v>18</v>
      </c>
      <c r="F3189" t="s">
        <v>19</v>
      </c>
      <c r="G3189" t="s">
        <v>20</v>
      </c>
      <c r="J3189" t="s">
        <v>17</v>
      </c>
      <c r="K3189" t="str">
        <f>"50291454"</f>
        <v>50291454</v>
      </c>
      <c r="L3189" t="str">
        <f>"50291454"</f>
        <v>50291454</v>
      </c>
      <c r="M3189" t="s">
        <v>75</v>
      </c>
      <c r="N3189" s="1">
        <v>43185.904166666667</v>
      </c>
      <c r="O3189" t="s">
        <v>19</v>
      </c>
    </row>
    <row r="3190" spans="1:15" x14ac:dyDescent="0.25">
      <c r="A3190" t="s">
        <v>2586</v>
      </c>
      <c r="B3190" t="s">
        <v>15</v>
      </c>
      <c r="C3190" t="s">
        <v>2582</v>
      </c>
      <c r="D3190" t="s">
        <v>17</v>
      </c>
      <c r="E3190" t="s">
        <v>18</v>
      </c>
      <c r="F3190" t="s">
        <v>19</v>
      </c>
      <c r="G3190" t="s">
        <v>20</v>
      </c>
      <c r="J3190" t="s">
        <v>17</v>
      </c>
      <c r="K3190" t="str">
        <f>"342714191"</f>
        <v>342714191</v>
      </c>
      <c r="L3190" t="str">
        <f>"342714191"</f>
        <v>342714191</v>
      </c>
      <c r="M3190" t="s">
        <v>75</v>
      </c>
      <c r="N3190" s="1">
        <v>43116.69027777778</v>
      </c>
      <c r="O3190" t="s">
        <v>19</v>
      </c>
    </row>
    <row r="3191" spans="1:15" x14ac:dyDescent="0.25">
      <c r="A3191" t="s">
        <v>2587</v>
      </c>
      <c r="B3191" t="s">
        <v>15</v>
      </c>
      <c r="C3191" t="s">
        <v>2582</v>
      </c>
      <c r="D3191" t="s">
        <v>17</v>
      </c>
      <c r="E3191" t="s">
        <v>18</v>
      </c>
      <c r="F3191" t="s">
        <v>19</v>
      </c>
      <c r="G3191" t="s">
        <v>20</v>
      </c>
      <c r="J3191" t="s">
        <v>17</v>
      </c>
      <c r="K3191" t="str">
        <f>"342714200"</f>
        <v>342714200</v>
      </c>
      <c r="L3191" t="str">
        <f>"342714200"</f>
        <v>342714200</v>
      </c>
      <c r="M3191" t="s">
        <v>75</v>
      </c>
      <c r="N3191" s="1">
        <v>43116.691666666666</v>
      </c>
      <c r="O3191" t="s">
        <v>19</v>
      </c>
    </row>
    <row r="3192" spans="1:15" x14ac:dyDescent="0.25">
      <c r="A3192" t="s">
        <v>2588</v>
      </c>
      <c r="B3192" t="s">
        <v>15</v>
      </c>
      <c r="C3192" t="s">
        <v>2582</v>
      </c>
      <c r="D3192" t="s">
        <v>17</v>
      </c>
      <c r="E3192" t="s">
        <v>18</v>
      </c>
      <c r="F3192" t="s">
        <v>19</v>
      </c>
      <c r="G3192" t="s">
        <v>20</v>
      </c>
      <c r="J3192" t="s">
        <v>17</v>
      </c>
      <c r="K3192" t="str">
        <f>"342714201"</f>
        <v>342714201</v>
      </c>
      <c r="L3192" t="str">
        <f>"342714201"</f>
        <v>342714201</v>
      </c>
      <c r="M3192" t="s">
        <v>75</v>
      </c>
      <c r="N3192" s="1">
        <v>43116.692361111112</v>
      </c>
      <c r="O3192" t="s">
        <v>19</v>
      </c>
    </row>
    <row r="3193" spans="1:15" x14ac:dyDescent="0.25">
      <c r="A3193" t="s">
        <v>2589</v>
      </c>
      <c r="B3193" t="s">
        <v>15</v>
      </c>
      <c r="C3193" t="s">
        <v>2582</v>
      </c>
      <c r="D3193" t="s">
        <v>17</v>
      </c>
      <c r="E3193" t="s">
        <v>18</v>
      </c>
      <c r="F3193" t="s">
        <v>19</v>
      </c>
      <c r="G3193" t="s">
        <v>20</v>
      </c>
      <c r="J3193" t="s">
        <v>17</v>
      </c>
      <c r="K3193" t="str">
        <f>"766614203"</f>
        <v>766614203</v>
      </c>
      <c r="L3193" t="str">
        <f>"766614203"</f>
        <v>766614203</v>
      </c>
      <c r="M3193" t="s">
        <v>21</v>
      </c>
      <c r="N3193" s="1">
        <v>43720.65347222222</v>
      </c>
      <c r="O3193" t="s">
        <v>19</v>
      </c>
    </row>
    <row r="3194" spans="1:15" x14ac:dyDescent="0.25">
      <c r="A3194" t="s">
        <v>2590</v>
      </c>
      <c r="B3194" t="s">
        <v>15</v>
      </c>
      <c r="C3194" t="s">
        <v>2582</v>
      </c>
      <c r="D3194" t="s">
        <v>17</v>
      </c>
      <c r="E3194" t="s">
        <v>18</v>
      </c>
      <c r="F3194" t="s">
        <v>19</v>
      </c>
      <c r="G3194" t="s">
        <v>20</v>
      </c>
      <c r="J3194" t="s">
        <v>17</v>
      </c>
      <c r="K3194" t="str">
        <f>"766614204"</f>
        <v>766614204</v>
      </c>
      <c r="L3194" t="str">
        <f>"766614204"</f>
        <v>766614204</v>
      </c>
      <c r="M3194" t="s">
        <v>21</v>
      </c>
      <c r="N3194" s="1">
        <v>43720.654166666667</v>
      </c>
      <c r="O3194" t="s">
        <v>19</v>
      </c>
    </row>
    <row r="3195" spans="1:15" x14ac:dyDescent="0.25">
      <c r="A3195" t="s">
        <v>2591</v>
      </c>
      <c r="B3195" t="s">
        <v>15</v>
      </c>
      <c r="C3195" t="s">
        <v>25</v>
      </c>
      <c r="D3195" t="s">
        <v>17</v>
      </c>
      <c r="E3195" t="s">
        <v>18</v>
      </c>
      <c r="F3195" t="s">
        <v>19</v>
      </c>
      <c r="G3195" t="s">
        <v>20</v>
      </c>
      <c r="J3195" t="s">
        <v>17</v>
      </c>
      <c r="K3195" t="str">
        <f>"1908070125021"</f>
        <v>1908070125021</v>
      </c>
      <c r="L3195" t="str">
        <f>"345205303"</f>
        <v>345205303</v>
      </c>
      <c r="M3195" t="s">
        <v>84</v>
      </c>
      <c r="N3195" s="1">
        <v>43545.856249999997</v>
      </c>
      <c r="O3195" t="s">
        <v>19</v>
      </c>
    </row>
    <row r="3196" spans="1:15" x14ac:dyDescent="0.25">
      <c r="A3196" t="s">
        <v>2592</v>
      </c>
      <c r="B3196" t="s">
        <v>15</v>
      </c>
      <c r="C3196" t="s">
        <v>2582</v>
      </c>
      <c r="D3196" t="s">
        <v>17</v>
      </c>
      <c r="E3196" t="s">
        <v>18</v>
      </c>
      <c r="F3196" t="s">
        <v>19</v>
      </c>
      <c r="G3196" t="s">
        <v>20</v>
      </c>
      <c r="J3196" t="s">
        <v>17</v>
      </c>
      <c r="K3196" t="str">
        <f>"1908070129494"</f>
        <v>1908070129494</v>
      </c>
      <c r="L3196" t="str">
        <f>"343407601"</f>
        <v>343407601</v>
      </c>
      <c r="M3196" t="s">
        <v>21</v>
      </c>
      <c r="N3196" s="1">
        <v>44285.90625</v>
      </c>
      <c r="O3196" t="s">
        <v>19</v>
      </c>
    </row>
    <row r="3197" spans="1:15" x14ac:dyDescent="0.25">
      <c r="A3197" t="s">
        <v>2593</v>
      </c>
      <c r="B3197" t="s">
        <v>15</v>
      </c>
      <c r="C3197" t="s">
        <v>2582</v>
      </c>
      <c r="D3197" t="s">
        <v>17</v>
      </c>
      <c r="E3197" t="s">
        <v>18</v>
      </c>
      <c r="F3197" t="s">
        <v>19</v>
      </c>
      <c r="G3197" t="s">
        <v>20</v>
      </c>
      <c r="J3197" t="s">
        <v>17</v>
      </c>
      <c r="K3197" t="str">
        <f>"1908070129517"</f>
        <v>1908070129517</v>
      </c>
      <c r="L3197" t="str">
        <f>"343407603"</f>
        <v>343407603</v>
      </c>
      <c r="M3197" t="s">
        <v>21</v>
      </c>
      <c r="N3197" s="1">
        <v>44285.906944444447</v>
      </c>
      <c r="O3197" t="s">
        <v>19</v>
      </c>
    </row>
    <row r="3198" spans="1:15" x14ac:dyDescent="0.25">
      <c r="A3198" t="s">
        <v>2594</v>
      </c>
      <c r="B3198" t="s">
        <v>15</v>
      </c>
      <c r="C3198" t="s">
        <v>25</v>
      </c>
      <c r="D3198" t="s">
        <v>17</v>
      </c>
      <c r="E3198" t="s">
        <v>18</v>
      </c>
      <c r="F3198" t="s">
        <v>19</v>
      </c>
      <c r="G3198" t="s">
        <v>20</v>
      </c>
      <c r="J3198" t="s">
        <v>17</v>
      </c>
      <c r="K3198" t="str">
        <f>"1908070124970"</f>
        <v>1908070124970</v>
      </c>
      <c r="L3198" t="str">
        <f>"345207253"</f>
        <v>345207253</v>
      </c>
      <c r="M3198" t="s">
        <v>84</v>
      </c>
      <c r="N3198" s="1">
        <v>43545.85833333333</v>
      </c>
      <c r="O3198" t="s">
        <v>19</v>
      </c>
    </row>
    <row r="3199" spans="1:15" x14ac:dyDescent="0.25">
      <c r="A3199" t="s">
        <v>2594</v>
      </c>
      <c r="B3199" t="s">
        <v>15</v>
      </c>
      <c r="C3199" t="s">
        <v>25</v>
      </c>
      <c r="D3199" t="s">
        <v>17</v>
      </c>
      <c r="E3199" t="s">
        <v>18</v>
      </c>
      <c r="F3199" t="s">
        <v>19</v>
      </c>
      <c r="G3199" t="s">
        <v>20</v>
      </c>
      <c r="J3199" t="s">
        <v>17</v>
      </c>
      <c r="K3199" t="str">
        <f>"1908070126066"</f>
        <v>1908070126066</v>
      </c>
      <c r="L3199" t="str">
        <f>"343407253"</f>
        <v>343407253</v>
      </c>
      <c r="M3199" t="s">
        <v>21</v>
      </c>
      <c r="N3199" s="1">
        <v>44285.907638888886</v>
      </c>
      <c r="O3199" t="s">
        <v>19</v>
      </c>
    </row>
    <row r="3200" spans="1:15" x14ac:dyDescent="0.25">
      <c r="A3200" t="s">
        <v>2595</v>
      </c>
      <c r="B3200" t="s">
        <v>15</v>
      </c>
      <c r="C3200" t="s">
        <v>25</v>
      </c>
      <c r="D3200" t="s">
        <v>17</v>
      </c>
      <c r="E3200" t="s">
        <v>18</v>
      </c>
      <c r="F3200" t="s">
        <v>19</v>
      </c>
      <c r="G3200" t="s">
        <v>20</v>
      </c>
      <c r="J3200" t="s">
        <v>17</v>
      </c>
      <c r="K3200" t="str">
        <f>"1908070124987"</f>
        <v>1908070124987</v>
      </c>
      <c r="L3200" t="str">
        <f>"345207254"</f>
        <v>345207254</v>
      </c>
      <c r="M3200" t="s">
        <v>84</v>
      </c>
      <c r="N3200" s="1">
        <v>43545.85833333333</v>
      </c>
      <c r="O3200" t="s">
        <v>19</v>
      </c>
    </row>
    <row r="3201" spans="1:15" x14ac:dyDescent="0.25">
      <c r="A3201" t="s">
        <v>2596</v>
      </c>
      <c r="B3201" t="s">
        <v>15</v>
      </c>
      <c r="C3201" t="s">
        <v>25</v>
      </c>
      <c r="D3201" t="s">
        <v>17</v>
      </c>
      <c r="E3201" t="s">
        <v>18</v>
      </c>
      <c r="F3201" t="s">
        <v>19</v>
      </c>
      <c r="G3201" t="s">
        <v>20</v>
      </c>
      <c r="J3201" t="s">
        <v>17</v>
      </c>
      <c r="K3201" t="str">
        <f>"1908070124994"</f>
        <v>1908070124994</v>
      </c>
      <c r="L3201" t="str">
        <f>"345207258"</f>
        <v>345207258</v>
      </c>
      <c r="M3201" t="s">
        <v>84</v>
      </c>
      <c r="N3201" s="1">
        <v>43545.859027777777</v>
      </c>
      <c r="O3201" t="s">
        <v>19</v>
      </c>
    </row>
    <row r="3202" spans="1:15" x14ac:dyDescent="0.25">
      <c r="A3202" t="s">
        <v>2597</v>
      </c>
      <c r="B3202" t="s">
        <v>15</v>
      </c>
      <c r="C3202" t="s">
        <v>25</v>
      </c>
      <c r="D3202" t="s">
        <v>17</v>
      </c>
      <c r="E3202" t="s">
        <v>18</v>
      </c>
      <c r="F3202" t="s">
        <v>19</v>
      </c>
      <c r="G3202" t="s">
        <v>20</v>
      </c>
      <c r="J3202" t="s">
        <v>17</v>
      </c>
      <c r="K3202" t="str">
        <f>"1908070125007"</f>
        <v>1908070125007</v>
      </c>
      <c r="L3202" t="str">
        <f>"345207600"</f>
        <v>345207600</v>
      </c>
      <c r="M3202" t="s">
        <v>84</v>
      </c>
      <c r="N3202" s="1">
        <v>43545.859722222223</v>
      </c>
      <c r="O3202" t="s">
        <v>19</v>
      </c>
    </row>
    <row r="3203" spans="1:15" x14ac:dyDescent="0.25">
      <c r="A3203" t="s">
        <v>2598</v>
      </c>
      <c r="B3203" t="s">
        <v>15</v>
      </c>
      <c r="C3203" t="s">
        <v>25</v>
      </c>
      <c r="D3203" t="s">
        <v>17</v>
      </c>
      <c r="E3203" t="s">
        <v>18</v>
      </c>
      <c r="F3203" t="s">
        <v>19</v>
      </c>
      <c r="G3203" t="s">
        <v>20</v>
      </c>
      <c r="J3203" t="s">
        <v>17</v>
      </c>
      <c r="K3203" t="str">
        <f>"345214263"</f>
        <v>345214263</v>
      </c>
      <c r="L3203" t="str">
        <f>"345214263"</f>
        <v>345214263</v>
      </c>
      <c r="M3203" t="s">
        <v>84</v>
      </c>
      <c r="N3203" s="1">
        <v>43545.857638888891</v>
      </c>
      <c r="O3203" t="s">
        <v>19</v>
      </c>
    </row>
    <row r="3204" spans="1:15" x14ac:dyDescent="0.25">
      <c r="A3204" t="s">
        <v>2599</v>
      </c>
      <c r="B3204" t="s">
        <v>15</v>
      </c>
      <c r="C3204" t="s">
        <v>25</v>
      </c>
      <c r="D3204" t="s">
        <v>17</v>
      </c>
      <c r="E3204" t="s">
        <v>18</v>
      </c>
      <c r="F3204" t="s">
        <v>19</v>
      </c>
      <c r="G3204" t="s">
        <v>20</v>
      </c>
      <c r="J3204" t="s">
        <v>17</v>
      </c>
      <c r="K3204" t="str">
        <f>"345214264"</f>
        <v>345214264</v>
      </c>
      <c r="L3204" t="str">
        <f>"345214264"</f>
        <v>345214264</v>
      </c>
      <c r="M3204" t="s">
        <v>84</v>
      </c>
      <c r="N3204" s="1">
        <v>43545.857638888891</v>
      </c>
      <c r="O3204" t="s">
        <v>19</v>
      </c>
    </row>
    <row r="3205" spans="1:15" x14ac:dyDescent="0.25">
      <c r="A3205" t="s">
        <v>2600</v>
      </c>
      <c r="B3205" t="s">
        <v>15</v>
      </c>
      <c r="C3205" t="s">
        <v>25</v>
      </c>
      <c r="D3205" t="s">
        <v>17</v>
      </c>
      <c r="E3205" t="s">
        <v>18</v>
      </c>
      <c r="F3205" t="s">
        <v>19</v>
      </c>
      <c r="G3205" t="s">
        <v>20</v>
      </c>
      <c r="J3205" t="s">
        <v>17</v>
      </c>
      <c r="K3205" t="str">
        <f>"1908070125052"</f>
        <v>1908070125052</v>
      </c>
      <c r="L3205" t="str">
        <f>"345214200"</f>
        <v>345214200</v>
      </c>
      <c r="M3205" t="s">
        <v>84</v>
      </c>
      <c r="N3205" s="1">
        <v>43545.856944444444</v>
      </c>
      <c r="O3205" t="s">
        <v>19</v>
      </c>
    </row>
    <row r="3206" spans="1:15" x14ac:dyDescent="0.25">
      <c r="A3206" t="s">
        <v>2601</v>
      </c>
      <c r="B3206" t="s">
        <v>15</v>
      </c>
      <c r="C3206" t="s">
        <v>25</v>
      </c>
      <c r="D3206" t="s">
        <v>17</v>
      </c>
      <c r="E3206" t="s">
        <v>18</v>
      </c>
      <c r="F3206" t="s">
        <v>19</v>
      </c>
      <c r="G3206" t="s">
        <v>20</v>
      </c>
      <c r="J3206" t="s">
        <v>17</v>
      </c>
      <c r="K3206" t="str">
        <f>"1908070125045"</f>
        <v>1908070125045</v>
      </c>
      <c r="L3206" t="str">
        <f>"345214203"</f>
        <v>345214203</v>
      </c>
      <c r="M3206" t="s">
        <v>84</v>
      </c>
      <c r="N3206" s="1">
        <v>43545.856249999997</v>
      </c>
      <c r="O3206" t="s">
        <v>19</v>
      </c>
    </row>
    <row r="3207" spans="1:15" x14ac:dyDescent="0.25">
      <c r="A3207" t="s">
        <v>2602</v>
      </c>
      <c r="B3207" t="s">
        <v>15</v>
      </c>
      <c r="C3207" t="s">
        <v>2582</v>
      </c>
      <c r="D3207" t="s">
        <v>17</v>
      </c>
      <c r="E3207" t="s">
        <v>18</v>
      </c>
      <c r="F3207" t="s">
        <v>19</v>
      </c>
      <c r="G3207" t="s">
        <v>20</v>
      </c>
      <c r="J3207" t="s">
        <v>17</v>
      </c>
      <c r="K3207" t="str">
        <f>"110769007"</f>
        <v>110769007</v>
      </c>
      <c r="L3207" t="str">
        <f>"110769007"</f>
        <v>110769007</v>
      </c>
      <c r="M3207" t="s">
        <v>75</v>
      </c>
      <c r="N3207" s="1">
        <v>42872.847222222219</v>
      </c>
      <c r="O3207" t="s">
        <v>19</v>
      </c>
    </row>
    <row r="3208" spans="1:15" x14ac:dyDescent="0.25">
      <c r="A3208" t="s">
        <v>2603</v>
      </c>
      <c r="B3208" t="s">
        <v>15</v>
      </c>
      <c r="C3208" t="s">
        <v>2582</v>
      </c>
      <c r="D3208" t="s">
        <v>17</v>
      </c>
      <c r="E3208" t="s">
        <v>18</v>
      </c>
      <c r="F3208" t="s">
        <v>19</v>
      </c>
      <c r="G3208" t="s">
        <v>20</v>
      </c>
      <c r="J3208" t="s">
        <v>17</v>
      </c>
      <c r="K3208" t="str">
        <f>"76907255"</f>
        <v>76907255</v>
      </c>
      <c r="L3208" t="str">
        <f>"76907255"</f>
        <v>76907255</v>
      </c>
      <c r="M3208" t="s">
        <v>75</v>
      </c>
      <c r="N3208" s="1">
        <v>43236.851388888892</v>
      </c>
      <c r="O3208" t="s">
        <v>19</v>
      </c>
    </row>
    <row r="3209" spans="1:15" x14ac:dyDescent="0.25">
      <c r="A3209" t="s">
        <v>2604</v>
      </c>
      <c r="B3209" t="s">
        <v>15</v>
      </c>
      <c r="C3209" t="s">
        <v>2582</v>
      </c>
      <c r="D3209" t="s">
        <v>17</v>
      </c>
      <c r="E3209" t="s">
        <v>18</v>
      </c>
      <c r="F3209" t="s">
        <v>19</v>
      </c>
      <c r="G3209" t="s">
        <v>20</v>
      </c>
      <c r="J3209" t="s">
        <v>17</v>
      </c>
      <c r="K3209" t="str">
        <f>"768207257"</f>
        <v>768207257</v>
      </c>
      <c r="L3209" t="str">
        <f>"768207257"</f>
        <v>768207257</v>
      </c>
      <c r="M3209" t="s">
        <v>75</v>
      </c>
      <c r="N3209" s="1">
        <v>43236.852083333331</v>
      </c>
      <c r="O3209" t="s">
        <v>19</v>
      </c>
    </row>
    <row r="3210" spans="1:15" x14ac:dyDescent="0.25">
      <c r="A3210" t="s">
        <v>2605</v>
      </c>
      <c r="B3210" t="s">
        <v>15</v>
      </c>
      <c r="C3210" t="s">
        <v>2585</v>
      </c>
      <c r="D3210" t="s">
        <v>17</v>
      </c>
      <c r="E3210" t="s">
        <v>18</v>
      </c>
      <c r="F3210" t="s">
        <v>19</v>
      </c>
      <c r="G3210" t="s">
        <v>20</v>
      </c>
      <c r="H3210" t="s">
        <v>2606</v>
      </c>
      <c r="J3210" t="s">
        <v>17</v>
      </c>
      <c r="K3210" t="str">
        <f>"762614200"</f>
        <v>762614200</v>
      </c>
      <c r="L3210" t="str">
        <f>"762614200"</f>
        <v>762614200</v>
      </c>
      <c r="M3210" t="s">
        <v>84</v>
      </c>
      <c r="N3210" s="1">
        <v>43195.875694444447</v>
      </c>
      <c r="O3210" t="s">
        <v>19</v>
      </c>
    </row>
    <row r="3211" spans="1:15" x14ac:dyDescent="0.25">
      <c r="A3211" t="s">
        <v>2607</v>
      </c>
      <c r="B3211" t="s">
        <v>15</v>
      </c>
      <c r="C3211" t="s">
        <v>25</v>
      </c>
      <c r="D3211" t="s">
        <v>17</v>
      </c>
      <c r="E3211" t="s">
        <v>18</v>
      </c>
      <c r="F3211" t="s">
        <v>19</v>
      </c>
      <c r="G3211" t="s">
        <v>20</v>
      </c>
      <c r="J3211" t="s">
        <v>17</v>
      </c>
      <c r="K3211" t="str">
        <f>"54335454"</f>
        <v>54335454</v>
      </c>
      <c r="L3211" t="str">
        <f>"54335454"</f>
        <v>54335454</v>
      </c>
      <c r="M3211" t="s">
        <v>21</v>
      </c>
      <c r="N3211" s="1">
        <v>42872.839583333334</v>
      </c>
      <c r="O3211" t="s">
        <v>19</v>
      </c>
    </row>
    <row r="3212" spans="1:15" x14ac:dyDescent="0.25">
      <c r="A3212" t="s">
        <v>2608</v>
      </c>
      <c r="B3212" t="s">
        <v>15</v>
      </c>
      <c r="C3212" t="s">
        <v>2609</v>
      </c>
      <c r="D3212" t="s">
        <v>17</v>
      </c>
      <c r="E3212" t="s">
        <v>18</v>
      </c>
      <c r="F3212" t="s">
        <v>19</v>
      </c>
      <c r="G3212" t="s">
        <v>20</v>
      </c>
      <c r="H3212" t="s">
        <v>2610</v>
      </c>
      <c r="J3212" t="s">
        <v>17</v>
      </c>
      <c r="K3212" t="str">
        <f>"86321454"</f>
        <v>86321454</v>
      </c>
      <c r="L3212" t="str">
        <f>"86321454"</f>
        <v>86321454</v>
      </c>
      <c r="M3212" t="s">
        <v>84</v>
      </c>
      <c r="N3212" s="1">
        <v>43367.823611111111</v>
      </c>
      <c r="O3212" t="s">
        <v>19</v>
      </c>
    </row>
    <row r="3213" spans="1:15" x14ac:dyDescent="0.25">
      <c r="A3213" t="s">
        <v>2611</v>
      </c>
      <c r="B3213" t="s">
        <v>15</v>
      </c>
      <c r="C3213" t="s">
        <v>2609</v>
      </c>
      <c r="D3213" t="s">
        <v>17</v>
      </c>
      <c r="E3213" t="s">
        <v>18</v>
      </c>
      <c r="F3213" t="s">
        <v>19</v>
      </c>
      <c r="G3213" t="s">
        <v>20</v>
      </c>
      <c r="H3213" t="s">
        <v>2610</v>
      </c>
      <c r="J3213" t="s">
        <v>17</v>
      </c>
      <c r="K3213" t="str">
        <f>"863214191"</f>
        <v>863214191</v>
      </c>
      <c r="L3213" t="str">
        <f>"863214191"</f>
        <v>863214191</v>
      </c>
      <c r="M3213" t="s">
        <v>84</v>
      </c>
      <c r="N3213" s="1">
        <v>43367.822916666664</v>
      </c>
      <c r="O3213" t="s">
        <v>19</v>
      </c>
    </row>
    <row r="3214" spans="1:15" x14ac:dyDescent="0.25">
      <c r="A3214" t="s">
        <v>2612</v>
      </c>
      <c r="B3214" t="s">
        <v>15</v>
      </c>
      <c r="C3214" t="s">
        <v>2609</v>
      </c>
      <c r="D3214" t="s">
        <v>17</v>
      </c>
      <c r="E3214" t="s">
        <v>18</v>
      </c>
      <c r="F3214" t="s">
        <v>19</v>
      </c>
      <c r="G3214" t="s">
        <v>20</v>
      </c>
      <c r="H3214" t="s">
        <v>2610</v>
      </c>
      <c r="J3214" t="s">
        <v>17</v>
      </c>
      <c r="K3214" t="str">
        <f>"863214203"</f>
        <v>863214203</v>
      </c>
      <c r="L3214" t="str">
        <f>"863214203"</f>
        <v>863214203</v>
      </c>
      <c r="M3214" t="s">
        <v>84</v>
      </c>
      <c r="N3214" s="1">
        <v>43367.822222222225</v>
      </c>
      <c r="O3214" t="s">
        <v>19</v>
      </c>
    </row>
    <row r="3215" spans="1:15" x14ac:dyDescent="0.25">
      <c r="A3215" t="s">
        <v>2613</v>
      </c>
      <c r="B3215" t="s">
        <v>15</v>
      </c>
      <c r="C3215" t="s">
        <v>2609</v>
      </c>
      <c r="D3215" t="s">
        <v>17</v>
      </c>
      <c r="E3215" t="s">
        <v>18</v>
      </c>
      <c r="F3215" t="s">
        <v>19</v>
      </c>
      <c r="G3215" t="s">
        <v>20</v>
      </c>
      <c r="H3215" t="s">
        <v>2610</v>
      </c>
      <c r="J3215" t="s">
        <v>17</v>
      </c>
      <c r="K3215" t="str">
        <f>"863214204"</f>
        <v>863214204</v>
      </c>
      <c r="L3215" t="str">
        <f>"863214204"</f>
        <v>863214204</v>
      </c>
      <c r="M3215" t="s">
        <v>84</v>
      </c>
      <c r="N3215" s="1">
        <v>43367.822916666664</v>
      </c>
      <c r="O3215" t="s">
        <v>19</v>
      </c>
    </row>
    <row r="3216" spans="1:15" x14ac:dyDescent="0.25">
      <c r="A3216" t="s">
        <v>2614</v>
      </c>
      <c r="B3216" t="s">
        <v>15</v>
      </c>
      <c r="C3216" t="s">
        <v>2585</v>
      </c>
      <c r="D3216" t="s">
        <v>17</v>
      </c>
      <c r="E3216" t="s">
        <v>18</v>
      </c>
      <c r="F3216" t="s">
        <v>19</v>
      </c>
      <c r="G3216" t="s">
        <v>20</v>
      </c>
      <c r="J3216" t="s">
        <v>17</v>
      </c>
      <c r="K3216" t="str">
        <f>"34291454"</f>
        <v>34291454</v>
      </c>
      <c r="L3216" t="str">
        <f>"34291454"</f>
        <v>34291454</v>
      </c>
      <c r="M3216" t="s">
        <v>75</v>
      </c>
      <c r="N3216" s="1">
        <v>42872.839583333334</v>
      </c>
      <c r="O3216" t="s">
        <v>19</v>
      </c>
    </row>
    <row r="3217" spans="1:15" x14ac:dyDescent="0.25">
      <c r="A3217" t="s">
        <v>2615</v>
      </c>
      <c r="B3217" t="s">
        <v>15</v>
      </c>
      <c r="C3217" t="s">
        <v>2585</v>
      </c>
      <c r="D3217" t="s">
        <v>17</v>
      </c>
      <c r="E3217" t="s">
        <v>18</v>
      </c>
      <c r="F3217" t="s">
        <v>19</v>
      </c>
      <c r="G3217" t="s">
        <v>20</v>
      </c>
      <c r="J3217" t="s">
        <v>17</v>
      </c>
      <c r="K3217" t="str">
        <f>"34290716"</f>
        <v>34290716</v>
      </c>
      <c r="L3217" t="str">
        <f>"34290716"</f>
        <v>34290716</v>
      </c>
      <c r="M3217" t="s">
        <v>75</v>
      </c>
      <c r="N3217" s="1">
        <v>42872.839583333334</v>
      </c>
      <c r="O3217" t="s">
        <v>19</v>
      </c>
    </row>
    <row r="3218" spans="1:15" x14ac:dyDescent="0.25">
      <c r="A3218" t="s">
        <v>2616</v>
      </c>
      <c r="B3218" t="s">
        <v>15</v>
      </c>
      <c r="C3218" t="s">
        <v>2585</v>
      </c>
      <c r="D3218" t="s">
        <v>17</v>
      </c>
      <c r="E3218" t="s">
        <v>18</v>
      </c>
      <c r="F3218" t="s">
        <v>19</v>
      </c>
      <c r="G3218" t="s">
        <v>20</v>
      </c>
      <c r="J3218" t="s">
        <v>17</v>
      </c>
      <c r="K3218" t="str">
        <f>"342907254"</f>
        <v>342907254</v>
      </c>
      <c r="L3218" t="str">
        <f>"342907254"</f>
        <v>342907254</v>
      </c>
      <c r="M3218" t="s">
        <v>75</v>
      </c>
      <c r="N3218" s="1">
        <v>42872.849305555559</v>
      </c>
      <c r="O3218" t="s">
        <v>19</v>
      </c>
    </row>
    <row r="3219" spans="1:15" x14ac:dyDescent="0.25">
      <c r="A3219" t="s">
        <v>2617</v>
      </c>
      <c r="B3219" t="s">
        <v>15</v>
      </c>
      <c r="C3219" t="s">
        <v>2585</v>
      </c>
      <c r="D3219" t="s">
        <v>17</v>
      </c>
      <c r="E3219" t="s">
        <v>18</v>
      </c>
      <c r="F3219" t="s">
        <v>19</v>
      </c>
      <c r="G3219" t="s">
        <v>20</v>
      </c>
      <c r="J3219" t="s">
        <v>17</v>
      </c>
      <c r="K3219" t="str">
        <f>"342907253"</f>
        <v>342907253</v>
      </c>
      <c r="L3219" t="str">
        <f>"342907253"</f>
        <v>342907253</v>
      </c>
      <c r="M3219" t="s">
        <v>75</v>
      </c>
      <c r="N3219" s="1">
        <v>42872.849305555559</v>
      </c>
      <c r="O3219" t="s">
        <v>19</v>
      </c>
    </row>
    <row r="3220" spans="1:15" x14ac:dyDescent="0.25">
      <c r="A3220" t="s">
        <v>2618</v>
      </c>
      <c r="B3220" t="s">
        <v>15</v>
      </c>
      <c r="C3220" t="s">
        <v>2585</v>
      </c>
      <c r="D3220" t="s">
        <v>17</v>
      </c>
      <c r="E3220" t="s">
        <v>18</v>
      </c>
      <c r="F3220" t="s">
        <v>19</v>
      </c>
      <c r="G3220" t="s">
        <v>20</v>
      </c>
      <c r="J3220" t="s">
        <v>17</v>
      </c>
      <c r="K3220" t="str">
        <f>"34291430"</f>
        <v>34291430</v>
      </c>
      <c r="L3220" t="str">
        <f>"34291430"</f>
        <v>34291430</v>
      </c>
      <c r="M3220" t="s">
        <v>75</v>
      </c>
      <c r="N3220" s="1">
        <v>42872.839583333334</v>
      </c>
      <c r="O3220" t="s">
        <v>19</v>
      </c>
    </row>
    <row r="3221" spans="1:15" x14ac:dyDescent="0.25">
      <c r="A3221" t="s">
        <v>2619</v>
      </c>
      <c r="B3221" t="s">
        <v>15</v>
      </c>
      <c r="C3221" t="s">
        <v>2585</v>
      </c>
      <c r="D3221" t="s">
        <v>17</v>
      </c>
      <c r="E3221" t="s">
        <v>18</v>
      </c>
      <c r="F3221" t="s">
        <v>19</v>
      </c>
      <c r="G3221" t="s">
        <v>20</v>
      </c>
      <c r="J3221" t="s">
        <v>17</v>
      </c>
      <c r="K3221" t="str">
        <f>"342914108"</f>
        <v>342914108</v>
      </c>
      <c r="L3221" t="str">
        <f>"342914108"</f>
        <v>342914108</v>
      </c>
      <c r="M3221" t="s">
        <v>75</v>
      </c>
      <c r="N3221" s="1">
        <v>42872.849305555559</v>
      </c>
      <c r="O3221" t="s">
        <v>19</v>
      </c>
    </row>
    <row r="3222" spans="1:15" x14ac:dyDescent="0.25">
      <c r="A3222" t="s">
        <v>2620</v>
      </c>
      <c r="B3222" t="s">
        <v>15</v>
      </c>
      <c r="C3222" t="s">
        <v>2585</v>
      </c>
      <c r="D3222" t="s">
        <v>17</v>
      </c>
      <c r="E3222" t="s">
        <v>18</v>
      </c>
      <c r="F3222" t="s">
        <v>19</v>
      </c>
      <c r="G3222" t="s">
        <v>20</v>
      </c>
      <c r="J3222" t="s">
        <v>17</v>
      </c>
      <c r="K3222" t="str">
        <f>"34291445"</f>
        <v>34291445</v>
      </c>
      <c r="L3222" t="str">
        <f>"34291445"</f>
        <v>34291445</v>
      </c>
      <c r="M3222" t="s">
        <v>75</v>
      </c>
      <c r="N3222" s="1">
        <v>42872.839583333334</v>
      </c>
      <c r="O3222" t="s">
        <v>19</v>
      </c>
    </row>
    <row r="3223" spans="1:15" x14ac:dyDescent="0.25">
      <c r="A3223" t="s">
        <v>2621</v>
      </c>
      <c r="B3223" t="s">
        <v>15</v>
      </c>
      <c r="C3223" t="s">
        <v>2585</v>
      </c>
      <c r="D3223" t="s">
        <v>17</v>
      </c>
      <c r="E3223" t="s">
        <v>18</v>
      </c>
      <c r="F3223" t="s">
        <v>19</v>
      </c>
      <c r="G3223" t="s">
        <v>20</v>
      </c>
      <c r="J3223" t="s">
        <v>17</v>
      </c>
      <c r="K3223" t="str">
        <f>"342914270"</f>
        <v>342914270</v>
      </c>
      <c r="L3223" t="str">
        <f>"342914270"</f>
        <v>342914270</v>
      </c>
      <c r="M3223" t="s">
        <v>75</v>
      </c>
      <c r="N3223" s="1">
        <v>42872.849305555559</v>
      </c>
      <c r="O3223" t="s">
        <v>19</v>
      </c>
    </row>
    <row r="3224" spans="1:15" x14ac:dyDescent="0.25">
      <c r="A3224" t="s">
        <v>2622</v>
      </c>
      <c r="B3224" t="s">
        <v>15</v>
      </c>
      <c r="C3224" t="s">
        <v>2585</v>
      </c>
      <c r="D3224" t="s">
        <v>17</v>
      </c>
      <c r="E3224" t="s">
        <v>18</v>
      </c>
      <c r="F3224" t="s">
        <v>19</v>
      </c>
      <c r="G3224" t="s">
        <v>20</v>
      </c>
      <c r="J3224" t="s">
        <v>17</v>
      </c>
      <c r="K3224" t="str">
        <f>"342914126"</f>
        <v>342914126</v>
      </c>
      <c r="L3224" t="str">
        <f>"342914126"</f>
        <v>342914126</v>
      </c>
      <c r="M3224" t="s">
        <v>75</v>
      </c>
      <c r="N3224" s="1">
        <v>42872.849305555559</v>
      </c>
      <c r="O3224" t="s">
        <v>19</v>
      </c>
    </row>
    <row r="3225" spans="1:15" x14ac:dyDescent="0.25">
      <c r="A3225" t="s">
        <v>2623</v>
      </c>
      <c r="B3225" t="s">
        <v>15</v>
      </c>
      <c r="C3225" t="s">
        <v>2585</v>
      </c>
      <c r="D3225" t="s">
        <v>17</v>
      </c>
      <c r="E3225" t="s">
        <v>18</v>
      </c>
      <c r="F3225" t="s">
        <v>19</v>
      </c>
      <c r="G3225" t="s">
        <v>20</v>
      </c>
      <c r="J3225" t="s">
        <v>17</v>
      </c>
      <c r="K3225" t="str">
        <f>"34291447"</f>
        <v>34291447</v>
      </c>
      <c r="L3225" t="str">
        <f>"34291447"</f>
        <v>34291447</v>
      </c>
      <c r="M3225" t="s">
        <v>75</v>
      </c>
      <c r="N3225" s="1">
        <v>42872.839583333334</v>
      </c>
      <c r="O3225" t="s">
        <v>19</v>
      </c>
    </row>
    <row r="3226" spans="1:15" x14ac:dyDescent="0.25">
      <c r="A3226" t="s">
        <v>2624</v>
      </c>
      <c r="B3226" t="s">
        <v>15</v>
      </c>
      <c r="C3226" t="s">
        <v>2585</v>
      </c>
      <c r="D3226" t="s">
        <v>17</v>
      </c>
      <c r="E3226" t="s">
        <v>18</v>
      </c>
      <c r="F3226" t="s">
        <v>19</v>
      </c>
      <c r="G3226" t="s">
        <v>20</v>
      </c>
      <c r="J3226" t="s">
        <v>17</v>
      </c>
      <c r="K3226" t="str">
        <f>"342914266"</f>
        <v>342914266</v>
      </c>
      <c r="L3226" t="str">
        <f>"342914266"</f>
        <v>342914266</v>
      </c>
      <c r="M3226" t="s">
        <v>75</v>
      </c>
      <c r="N3226" s="1">
        <v>42872.849305555559</v>
      </c>
      <c r="O3226" t="s">
        <v>19</v>
      </c>
    </row>
    <row r="3227" spans="1:15" x14ac:dyDescent="0.25">
      <c r="A3227" t="s">
        <v>2625</v>
      </c>
      <c r="B3227" t="s">
        <v>15</v>
      </c>
      <c r="C3227" t="s">
        <v>2585</v>
      </c>
      <c r="D3227" t="s">
        <v>17</v>
      </c>
      <c r="E3227" t="s">
        <v>18</v>
      </c>
      <c r="F3227" t="s">
        <v>19</v>
      </c>
      <c r="G3227" t="s">
        <v>20</v>
      </c>
      <c r="J3227" t="s">
        <v>17</v>
      </c>
      <c r="K3227" t="str">
        <f>"342914127"</f>
        <v>342914127</v>
      </c>
      <c r="L3227" t="str">
        <f>"342914127"</f>
        <v>342914127</v>
      </c>
      <c r="M3227" t="s">
        <v>75</v>
      </c>
      <c r="N3227" s="1">
        <v>42872.849305555559</v>
      </c>
      <c r="O3227" t="s">
        <v>19</v>
      </c>
    </row>
    <row r="3228" spans="1:15" x14ac:dyDescent="0.25">
      <c r="A3228" t="s">
        <v>2626</v>
      </c>
      <c r="B3228" t="s">
        <v>15</v>
      </c>
      <c r="C3228" t="s">
        <v>2585</v>
      </c>
      <c r="D3228" t="s">
        <v>17</v>
      </c>
      <c r="E3228" t="s">
        <v>18</v>
      </c>
      <c r="F3228" t="s">
        <v>19</v>
      </c>
      <c r="G3228" t="s">
        <v>20</v>
      </c>
      <c r="J3228" t="s">
        <v>17</v>
      </c>
      <c r="K3228" t="str">
        <f>"342914191"</f>
        <v>342914191</v>
      </c>
      <c r="L3228" t="str">
        <f>"342914191"</f>
        <v>342914191</v>
      </c>
      <c r="M3228" t="s">
        <v>75</v>
      </c>
      <c r="N3228" s="1">
        <v>42872.849305555559</v>
      </c>
      <c r="O3228" t="s">
        <v>19</v>
      </c>
    </row>
    <row r="3229" spans="1:15" x14ac:dyDescent="0.25">
      <c r="A3229" t="s">
        <v>2627</v>
      </c>
      <c r="B3229" t="s">
        <v>15</v>
      </c>
      <c r="C3229" t="s">
        <v>37</v>
      </c>
      <c r="D3229" t="s">
        <v>17</v>
      </c>
      <c r="E3229" t="s">
        <v>18</v>
      </c>
      <c r="F3229" t="s">
        <v>19</v>
      </c>
      <c r="G3229" t="s">
        <v>20</v>
      </c>
      <c r="J3229" t="s">
        <v>17</v>
      </c>
      <c r="K3229" t="str">
        <f>"42600100"</f>
        <v>42600100</v>
      </c>
      <c r="L3229" t="str">
        <f>"42600100"</f>
        <v>42600100</v>
      </c>
      <c r="M3229" t="s">
        <v>75</v>
      </c>
      <c r="N3229" s="1">
        <v>42872.839583333334</v>
      </c>
      <c r="O3229" t="s">
        <v>19</v>
      </c>
    </row>
    <row r="3230" spans="1:15" x14ac:dyDescent="0.25">
      <c r="A3230" t="s">
        <v>2628</v>
      </c>
      <c r="B3230" t="s">
        <v>15</v>
      </c>
      <c r="C3230" t="s">
        <v>2472</v>
      </c>
      <c r="D3230" t="s">
        <v>17</v>
      </c>
      <c r="E3230" t="s">
        <v>18</v>
      </c>
      <c r="F3230" t="s">
        <v>19</v>
      </c>
      <c r="G3230" t="s">
        <v>20</v>
      </c>
      <c r="J3230" t="s">
        <v>17</v>
      </c>
      <c r="K3230" t="str">
        <f>"6925871661232"</f>
        <v>6925871661232</v>
      </c>
      <c r="L3230" t="str">
        <f>"22276123"</f>
        <v>22276123</v>
      </c>
      <c r="M3230" t="s">
        <v>75</v>
      </c>
      <c r="N3230" s="1">
        <v>43043.756944444445</v>
      </c>
      <c r="O3230" t="s">
        <v>19</v>
      </c>
    </row>
    <row r="3231" spans="1:15" x14ac:dyDescent="0.25">
      <c r="A3231" t="s">
        <v>2629</v>
      </c>
      <c r="B3231" t="s">
        <v>15</v>
      </c>
      <c r="C3231" t="s">
        <v>2472</v>
      </c>
      <c r="D3231" t="s">
        <v>17</v>
      </c>
      <c r="E3231" t="s">
        <v>18</v>
      </c>
      <c r="F3231" t="s">
        <v>19</v>
      </c>
      <c r="G3231" t="s">
        <v>20</v>
      </c>
      <c r="J3231" t="s">
        <v>17</v>
      </c>
      <c r="K3231" t="str">
        <f>"6925871661270"</f>
        <v>6925871661270</v>
      </c>
      <c r="L3231" t="str">
        <f>"22276127"</f>
        <v>22276127</v>
      </c>
      <c r="M3231" t="s">
        <v>75</v>
      </c>
      <c r="N3231" s="1">
        <v>43043.757638888892</v>
      </c>
      <c r="O3231" t="s">
        <v>19</v>
      </c>
    </row>
    <row r="3232" spans="1:15" x14ac:dyDescent="0.25">
      <c r="A3232" t="s">
        <v>2630</v>
      </c>
      <c r="B3232" t="s">
        <v>15</v>
      </c>
      <c r="C3232" t="s">
        <v>37</v>
      </c>
      <c r="D3232" t="s">
        <v>17</v>
      </c>
      <c r="E3232" t="s">
        <v>18</v>
      </c>
      <c r="F3232" t="s">
        <v>19</v>
      </c>
      <c r="G3232" t="s">
        <v>20</v>
      </c>
      <c r="J3232" t="s">
        <v>17</v>
      </c>
      <c r="K3232" t="str">
        <f>"6942205269551"</f>
        <v>6942205269551</v>
      </c>
      <c r="L3232" t="str">
        <f>"22525852"</f>
        <v>22525852</v>
      </c>
      <c r="M3232" t="s">
        <v>84</v>
      </c>
      <c r="N3232" s="1">
        <v>43269.76458333333</v>
      </c>
      <c r="O3232" t="s">
        <v>19</v>
      </c>
    </row>
    <row r="3233" spans="1:15" x14ac:dyDescent="0.25">
      <c r="A3233" t="s">
        <v>2631</v>
      </c>
      <c r="B3233" t="s">
        <v>15</v>
      </c>
      <c r="C3233" t="s">
        <v>37</v>
      </c>
      <c r="D3233" t="s">
        <v>17</v>
      </c>
      <c r="E3233" t="s">
        <v>18</v>
      </c>
      <c r="F3233" t="s">
        <v>19</v>
      </c>
      <c r="G3233" t="s">
        <v>20</v>
      </c>
      <c r="J3233" t="s">
        <v>17</v>
      </c>
      <c r="K3233" t="str">
        <f>"66000776"</f>
        <v>66000776</v>
      </c>
      <c r="L3233" t="str">
        <f>"66000776"</f>
        <v>66000776</v>
      </c>
      <c r="M3233" t="s">
        <v>75</v>
      </c>
      <c r="N3233" s="1">
        <v>42872.839583333334</v>
      </c>
      <c r="O3233" t="s">
        <v>19</v>
      </c>
    </row>
    <row r="3234" spans="1:15" x14ac:dyDescent="0.25">
      <c r="A3234" t="s">
        <v>2632</v>
      </c>
      <c r="B3234" t="s">
        <v>15</v>
      </c>
      <c r="C3234" t="s">
        <v>64</v>
      </c>
      <c r="D3234" t="s">
        <v>17</v>
      </c>
      <c r="E3234" t="s">
        <v>18</v>
      </c>
      <c r="F3234" t="s">
        <v>19</v>
      </c>
      <c r="G3234" t="s">
        <v>20</v>
      </c>
      <c r="J3234" t="s">
        <v>17</v>
      </c>
      <c r="K3234" t="str">
        <f>"7168297320072"</f>
        <v>7168297320072</v>
      </c>
      <c r="L3234" t="str">
        <f>"29LED24198"</f>
        <v>29LED24198</v>
      </c>
      <c r="M3234" t="s">
        <v>21</v>
      </c>
      <c r="N3234" s="1">
        <v>43994.872916666667</v>
      </c>
      <c r="O3234" t="s">
        <v>19</v>
      </c>
    </row>
    <row r="3235" spans="1:15" x14ac:dyDescent="0.25">
      <c r="A3235" t="s">
        <v>2633</v>
      </c>
      <c r="B3235" t="s">
        <v>15</v>
      </c>
      <c r="C3235" t="s">
        <v>37</v>
      </c>
      <c r="D3235" t="s">
        <v>17</v>
      </c>
      <c r="E3235" t="s">
        <v>18</v>
      </c>
      <c r="F3235" t="s">
        <v>19</v>
      </c>
      <c r="G3235" t="s">
        <v>20</v>
      </c>
      <c r="J3235" t="s">
        <v>17</v>
      </c>
      <c r="K3235" t="str">
        <f>"10003005"</f>
        <v>10003005</v>
      </c>
      <c r="L3235" t="str">
        <f>"10003005"</f>
        <v>10003005</v>
      </c>
      <c r="M3235" t="s">
        <v>84</v>
      </c>
      <c r="N3235" s="1">
        <v>43404.9</v>
      </c>
      <c r="O3235" t="s">
        <v>19</v>
      </c>
    </row>
    <row r="3236" spans="1:15" x14ac:dyDescent="0.25">
      <c r="A3236" t="s">
        <v>2634</v>
      </c>
      <c r="B3236" t="s">
        <v>15</v>
      </c>
      <c r="C3236" t="s">
        <v>2472</v>
      </c>
      <c r="D3236" t="s">
        <v>17</v>
      </c>
      <c r="E3236" t="s">
        <v>18</v>
      </c>
      <c r="F3236" t="s">
        <v>19</v>
      </c>
      <c r="G3236" t="s">
        <v>20</v>
      </c>
      <c r="J3236" t="s">
        <v>17</v>
      </c>
      <c r="K3236" t="str">
        <f>"42600030"</f>
        <v>42600030</v>
      </c>
      <c r="L3236" t="str">
        <f>"42600030"</f>
        <v>42600030</v>
      </c>
      <c r="M3236" t="s">
        <v>75</v>
      </c>
      <c r="N3236" s="1">
        <v>42872.839583333334</v>
      </c>
      <c r="O3236" t="s">
        <v>19</v>
      </c>
    </row>
    <row r="3237" spans="1:15" x14ac:dyDescent="0.25">
      <c r="A3237" t="s">
        <v>2635</v>
      </c>
      <c r="B3237" t="s">
        <v>15</v>
      </c>
      <c r="C3237" t="s">
        <v>37</v>
      </c>
      <c r="D3237" t="s">
        <v>17</v>
      </c>
      <c r="E3237" t="s">
        <v>18</v>
      </c>
      <c r="F3237" t="s">
        <v>19</v>
      </c>
      <c r="G3237" t="s">
        <v>20</v>
      </c>
      <c r="J3237" t="s">
        <v>17</v>
      </c>
      <c r="K3237" t="str">
        <f>"22520907"</f>
        <v>22520907</v>
      </c>
      <c r="L3237" t="str">
        <f>"22520907"</f>
        <v>22520907</v>
      </c>
      <c r="M3237" t="s">
        <v>84</v>
      </c>
      <c r="N3237" s="1">
        <v>43446.675694444442</v>
      </c>
      <c r="O3237" t="s">
        <v>19</v>
      </c>
    </row>
    <row r="3238" spans="1:15" x14ac:dyDescent="0.25">
      <c r="A3238" t="s">
        <v>2636</v>
      </c>
      <c r="B3238" t="s">
        <v>15</v>
      </c>
      <c r="C3238" t="s">
        <v>37</v>
      </c>
      <c r="D3238" t="s">
        <v>17</v>
      </c>
      <c r="E3238" t="s">
        <v>18</v>
      </c>
      <c r="F3238" t="s">
        <v>19</v>
      </c>
      <c r="G3238" t="s">
        <v>20</v>
      </c>
      <c r="J3238" t="s">
        <v>17</v>
      </c>
      <c r="K3238" t="str">
        <f>"7858816086618"</f>
        <v>7858816086618</v>
      </c>
      <c r="L3238" t="str">
        <f>"87528661"</f>
        <v>87528661</v>
      </c>
      <c r="M3238" t="s">
        <v>21</v>
      </c>
      <c r="N3238" s="1">
        <v>44404.713194444441</v>
      </c>
      <c r="O3238" t="s">
        <v>19</v>
      </c>
    </row>
    <row r="3239" spans="1:15" x14ac:dyDescent="0.25">
      <c r="A3239" t="s">
        <v>2637</v>
      </c>
      <c r="B3239" t="s">
        <v>15</v>
      </c>
      <c r="C3239" t="s">
        <v>37</v>
      </c>
      <c r="D3239" t="s">
        <v>17</v>
      </c>
      <c r="E3239" t="s">
        <v>18</v>
      </c>
      <c r="F3239" t="s">
        <v>19</v>
      </c>
      <c r="G3239" t="s">
        <v>20</v>
      </c>
      <c r="J3239" t="s">
        <v>17</v>
      </c>
      <c r="K3239" t="str">
        <f>"7858816088704"</f>
        <v>7858816088704</v>
      </c>
      <c r="L3239" t="str">
        <f>"87528870"</f>
        <v>87528870</v>
      </c>
      <c r="M3239" t="s">
        <v>21</v>
      </c>
      <c r="N3239" s="1">
        <v>44404.714583333334</v>
      </c>
      <c r="O3239" t="s">
        <v>19</v>
      </c>
    </row>
    <row r="3240" spans="1:15" x14ac:dyDescent="0.25">
      <c r="A3240" t="s">
        <v>2638</v>
      </c>
      <c r="B3240" t="s">
        <v>15</v>
      </c>
      <c r="C3240" t="s">
        <v>37</v>
      </c>
      <c r="D3240" t="s">
        <v>17</v>
      </c>
      <c r="E3240" t="s">
        <v>18</v>
      </c>
      <c r="F3240" t="s">
        <v>19</v>
      </c>
      <c r="G3240" t="s">
        <v>20</v>
      </c>
      <c r="J3240" t="s">
        <v>17</v>
      </c>
      <c r="K3240" t="str">
        <f>"6956116796600"</f>
        <v>6956116796600</v>
      </c>
      <c r="L3240" t="str">
        <f>"40520560"</f>
        <v>40520560</v>
      </c>
      <c r="M3240" t="s">
        <v>21</v>
      </c>
      <c r="N3240" s="1">
        <v>44435.624305555553</v>
      </c>
      <c r="O3240" t="s">
        <v>19</v>
      </c>
    </row>
    <row r="3241" spans="1:15" x14ac:dyDescent="0.25">
      <c r="A3241" t="s">
        <v>2639</v>
      </c>
      <c r="B3241" t="s">
        <v>15</v>
      </c>
      <c r="C3241" t="s">
        <v>37</v>
      </c>
      <c r="D3241" t="s">
        <v>17</v>
      </c>
      <c r="E3241" t="s">
        <v>18</v>
      </c>
      <c r="F3241" t="s">
        <v>19</v>
      </c>
      <c r="G3241" t="s">
        <v>20</v>
      </c>
      <c r="J3241" t="s">
        <v>17</v>
      </c>
      <c r="K3241" t="str">
        <f>"34520111"</f>
        <v>34520111</v>
      </c>
      <c r="L3241" t="str">
        <f>"34520111"</f>
        <v>34520111</v>
      </c>
      <c r="M3241" t="s">
        <v>21</v>
      </c>
      <c r="N3241" s="1">
        <v>43799.581944444442</v>
      </c>
      <c r="O3241" t="s">
        <v>19</v>
      </c>
    </row>
    <row r="3242" spans="1:15" x14ac:dyDescent="0.25">
      <c r="A3242" t="s">
        <v>2640</v>
      </c>
      <c r="B3242" t="s">
        <v>15</v>
      </c>
      <c r="C3242" t="s">
        <v>217</v>
      </c>
      <c r="D3242" t="s">
        <v>17</v>
      </c>
      <c r="E3242" t="s">
        <v>18</v>
      </c>
      <c r="F3242" t="s">
        <v>19</v>
      </c>
      <c r="G3242" t="s">
        <v>20</v>
      </c>
      <c r="J3242" t="s">
        <v>17</v>
      </c>
      <c r="K3242" t="str">
        <f>"8017040428406"</f>
        <v>8017040428406</v>
      </c>
      <c r="L3242" t="str">
        <f>"305242840"</f>
        <v>305242840</v>
      </c>
      <c r="M3242" t="s">
        <v>84</v>
      </c>
      <c r="N3242" s="1">
        <v>43501.947916666664</v>
      </c>
      <c r="O3242" t="s">
        <v>19</v>
      </c>
    </row>
    <row r="3243" spans="1:15" x14ac:dyDescent="0.25">
      <c r="A3243" t="s">
        <v>2641</v>
      </c>
      <c r="B3243" t="s">
        <v>15</v>
      </c>
      <c r="C3243" t="s">
        <v>217</v>
      </c>
      <c r="D3243" t="s">
        <v>17</v>
      </c>
      <c r="E3243" t="s">
        <v>18</v>
      </c>
      <c r="F3243" t="s">
        <v>19</v>
      </c>
      <c r="G3243" t="s">
        <v>20</v>
      </c>
      <c r="J3243" t="s">
        <v>17</v>
      </c>
      <c r="K3243" t="str">
        <f>"28524755"</f>
        <v>28524755</v>
      </c>
      <c r="L3243" t="str">
        <f>"28524755"</f>
        <v>28524755</v>
      </c>
      <c r="M3243" t="s">
        <v>84</v>
      </c>
      <c r="N3243" s="1">
        <v>43266.954861111109</v>
      </c>
      <c r="O3243" t="s">
        <v>19</v>
      </c>
    </row>
    <row r="3244" spans="1:15" x14ac:dyDescent="0.25">
      <c r="A3244" t="s">
        <v>2642</v>
      </c>
      <c r="B3244" t="s">
        <v>15</v>
      </c>
      <c r="C3244" t="s">
        <v>37</v>
      </c>
      <c r="D3244" t="s">
        <v>17</v>
      </c>
      <c r="E3244" t="s">
        <v>18</v>
      </c>
      <c r="F3244" t="s">
        <v>19</v>
      </c>
      <c r="G3244" t="s">
        <v>20</v>
      </c>
      <c r="J3244" t="s">
        <v>17</v>
      </c>
      <c r="K3244" t="str">
        <f>"10106369"</f>
        <v>10106369</v>
      </c>
      <c r="L3244" t="str">
        <f>"10106369"</f>
        <v>10106369</v>
      </c>
      <c r="M3244" t="s">
        <v>75</v>
      </c>
      <c r="N3244" s="1">
        <v>42872.839583333334</v>
      </c>
      <c r="O3244" t="s">
        <v>19</v>
      </c>
    </row>
    <row r="3245" spans="1:15" x14ac:dyDescent="0.25">
      <c r="A3245" t="s">
        <v>2643</v>
      </c>
      <c r="B3245" t="s">
        <v>15</v>
      </c>
      <c r="C3245" t="s">
        <v>37</v>
      </c>
      <c r="D3245" t="s">
        <v>17</v>
      </c>
      <c r="E3245" t="s">
        <v>18</v>
      </c>
      <c r="F3245" t="s">
        <v>19</v>
      </c>
      <c r="G3245" t="s">
        <v>20</v>
      </c>
      <c r="J3245" t="s">
        <v>17</v>
      </c>
      <c r="K3245" t="str">
        <f>"10002198"</f>
        <v>10002198</v>
      </c>
      <c r="L3245" t="str">
        <f>"10002198"</f>
        <v>10002198</v>
      </c>
      <c r="M3245" t="s">
        <v>84</v>
      </c>
      <c r="N3245" s="1">
        <v>43532.904166666667</v>
      </c>
      <c r="O3245" t="s">
        <v>19</v>
      </c>
    </row>
    <row r="3246" spans="1:15" x14ac:dyDescent="0.25">
      <c r="A3246" t="s">
        <v>2644</v>
      </c>
      <c r="B3246" t="s">
        <v>15</v>
      </c>
      <c r="C3246" t="s">
        <v>37</v>
      </c>
      <c r="D3246" t="s">
        <v>17</v>
      </c>
      <c r="E3246" t="s">
        <v>18</v>
      </c>
      <c r="F3246" t="s">
        <v>19</v>
      </c>
      <c r="G3246" t="s">
        <v>20</v>
      </c>
      <c r="J3246" t="s">
        <v>17</v>
      </c>
      <c r="K3246" t="str">
        <f>"10002478"</f>
        <v>10002478</v>
      </c>
      <c r="L3246" t="str">
        <f>"10002478"</f>
        <v>10002478</v>
      </c>
      <c r="M3246" t="s">
        <v>84</v>
      </c>
      <c r="N3246" s="1">
        <v>43546.637499999997</v>
      </c>
      <c r="O3246" t="s">
        <v>19</v>
      </c>
    </row>
    <row r="3247" spans="1:15" x14ac:dyDescent="0.25">
      <c r="A3247" t="s">
        <v>2645</v>
      </c>
      <c r="B3247" t="s">
        <v>15</v>
      </c>
      <c r="C3247" t="s">
        <v>35</v>
      </c>
      <c r="D3247" t="s">
        <v>17</v>
      </c>
      <c r="E3247" t="s">
        <v>18</v>
      </c>
      <c r="F3247" t="s">
        <v>19</v>
      </c>
      <c r="G3247" t="s">
        <v>20</v>
      </c>
      <c r="J3247" t="s">
        <v>17</v>
      </c>
      <c r="K3247" t="str">
        <f>"7858816043963"</f>
        <v>7858816043963</v>
      </c>
      <c r="L3247" t="str">
        <f>"87024396"</f>
        <v>87024396</v>
      </c>
      <c r="M3247" t="s">
        <v>84</v>
      </c>
      <c r="N3247" s="1">
        <v>43281.679166666669</v>
      </c>
      <c r="O3247" t="s">
        <v>19</v>
      </c>
    </row>
    <row r="3248" spans="1:15" x14ac:dyDescent="0.25">
      <c r="A3248" t="s">
        <v>2646</v>
      </c>
      <c r="B3248" t="s">
        <v>15</v>
      </c>
      <c r="C3248" t="s">
        <v>55</v>
      </c>
      <c r="D3248" t="s">
        <v>17</v>
      </c>
      <c r="E3248" t="s">
        <v>18</v>
      </c>
      <c r="F3248" t="s">
        <v>19</v>
      </c>
      <c r="G3248" t="s">
        <v>20</v>
      </c>
      <c r="J3248" t="s">
        <v>17</v>
      </c>
      <c r="K3248" t="str">
        <f>"7858816053771"</f>
        <v>7858816053771</v>
      </c>
      <c r="L3248" t="str">
        <f>"87025377"</f>
        <v>87025377</v>
      </c>
      <c r="M3248" t="s">
        <v>21</v>
      </c>
      <c r="N3248" s="1">
        <v>43572.802083333336</v>
      </c>
      <c r="O3248" t="s">
        <v>19</v>
      </c>
    </row>
    <row r="3249" spans="1:15" x14ac:dyDescent="0.25">
      <c r="A3249" t="s">
        <v>2647</v>
      </c>
      <c r="B3249" t="s">
        <v>15</v>
      </c>
      <c r="C3249" t="s">
        <v>37</v>
      </c>
      <c r="D3249" t="s">
        <v>17</v>
      </c>
      <c r="E3249" t="s">
        <v>18</v>
      </c>
      <c r="F3249" t="s">
        <v>19</v>
      </c>
      <c r="G3249" t="s">
        <v>20</v>
      </c>
      <c r="J3249" t="s">
        <v>17</v>
      </c>
      <c r="K3249" t="str">
        <f>"87000010"</f>
        <v>87000010</v>
      </c>
      <c r="L3249" t="str">
        <f>"87000010"</f>
        <v>87000010</v>
      </c>
      <c r="M3249" t="s">
        <v>75</v>
      </c>
      <c r="N3249" s="1">
        <v>42872.847222222219</v>
      </c>
      <c r="O3249" t="s">
        <v>19</v>
      </c>
    </row>
    <row r="3250" spans="1:15" x14ac:dyDescent="0.25">
      <c r="A3250" t="s">
        <v>2648</v>
      </c>
      <c r="B3250" t="s">
        <v>15</v>
      </c>
      <c r="C3250" t="s">
        <v>35</v>
      </c>
      <c r="D3250" t="s">
        <v>17</v>
      </c>
      <c r="E3250" t="s">
        <v>18</v>
      </c>
      <c r="F3250" t="s">
        <v>19</v>
      </c>
      <c r="G3250" t="s">
        <v>20</v>
      </c>
      <c r="J3250" t="s">
        <v>17</v>
      </c>
      <c r="K3250" t="str">
        <f>"4712366966581"</f>
        <v>4712366966581</v>
      </c>
      <c r="L3250" t="str">
        <f>"98020910"</f>
        <v>98020910</v>
      </c>
      <c r="M3250" t="s">
        <v>84</v>
      </c>
      <c r="N3250" s="1">
        <v>43313.931944444441</v>
      </c>
      <c r="O3250" t="s">
        <v>19</v>
      </c>
    </row>
    <row r="3251" spans="1:15" x14ac:dyDescent="0.25">
      <c r="A3251" t="s">
        <v>2649</v>
      </c>
      <c r="B3251" t="s">
        <v>15</v>
      </c>
      <c r="C3251" t="s">
        <v>35</v>
      </c>
      <c r="D3251" t="s">
        <v>17</v>
      </c>
      <c r="E3251" t="s">
        <v>18</v>
      </c>
      <c r="F3251" t="s">
        <v>19</v>
      </c>
      <c r="G3251" t="s">
        <v>20</v>
      </c>
      <c r="J3251" t="s">
        <v>17</v>
      </c>
      <c r="K3251" t="str">
        <f>"10015871"</f>
        <v>10015871</v>
      </c>
      <c r="L3251" t="str">
        <f>"10015871"</f>
        <v>10015871</v>
      </c>
      <c r="M3251" t="s">
        <v>84</v>
      </c>
      <c r="N3251" s="1">
        <v>43307.868055555555</v>
      </c>
      <c r="O3251" t="s">
        <v>19</v>
      </c>
    </row>
    <row r="3252" spans="1:15" x14ac:dyDescent="0.25">
      <c r="A3252" t="s">
        <v>2650</v>
      </c>
      <c r="B3252" t="s">
        <v>15</v>
      </c>
      <c r="C3252" t="s">
        <v>64</v>
      </c>
      <c r="D3252" t="s">
        <v>17</v>
      </c>
      <c r="E3252" t="s">
        <v>18</v>
      </c>
      <c r="F3252" t="s">
        <v>19</v>
      </c>
      <c r="G3252" t="s">
        <v>20</v>
      </c>
      <c r="J3252" t="s">
        <v>17</v>
      </c>
      <c r="K3252" t="str">
        <f>"6981307247609"</f>
        <v>6981307247609</v>
      </c>
      <c r="L3252" t="str">
        <f>"40527609"</f>
        <v>40527609</v>
      </c>
      <c r="M3252" t="s">
        <v>21</v>
      </c>
      <c r="N3252" s="1">
        <v>43417.906944444447</v>
      </c>
      <c r="O3252" t="s">
        <v>19</v>
      </c>
    </row>
    <row r="3253" spans="1:15" x14ac:dyDescent="0.25">
      <c r="A3253" t="s">
        <v>2651</v>
      </c>
      <c r="B3253" t="s">
        <v>15</v>
      </c>
      <c r="C3253" t="s">
        <v>37</v>
      </c>
      <c r="D3253" t="s">
        <v>17</v>
      </c>
      <c r="E3253" t="s">
        <v>18</v>
      </c>
      <c r="F3253" t="s">
        <v>19</v>
      </c>
      <c r="G3253" t="s">
        <v>20</v>
      </c>
      <c r="J3253" t="s">
        <v>17</v>
      </c>
      <c r="K3253" t="str">
        <f>"10000900"</f>
        <v>10000900</v>
      </c>
      <c r="L3253" t="str">
        <f>"10000900"</f>
        <v>10000900</v>
      </c>
      <c r="M3253" t="s">
        <v>84</v>
      </c>
      <c r="N3253" s="1">
        <v>43404.943749999999</v>
      </c>
      <c r="O3253" t="s">
        <v>19</v>
      </c>
    </row>
    <row r="3254" spans="1:15" x14ac:dyDescent="0.25">
      <c r="A3254" t="s">
        <v>2652</v>
      </c>
      <c r="B3254" t="s">
        <v>15</v>
      </c>
      <c r="C3254" t="s">
        <v>37</v>
      </c>
      <c r="D3254" t="s">
        <v>17</v>
      </c>
      <c r="E3254" t="s">
        <v>18</v>
      </c>
      <c r="F3254" t="s">
        <v>19</v>
      </c>
      <c r="G3254" t="s">
        <v>20</v>
      </c>
      <c r="J3254" t="s">
        <v>18</v>
      </c>
      <c r="K3254" t="str">
        <f>"10000903"</f>
        <v>10000903</v>
      </c>
      <c r="L3254" t="str">
        <f>"10000903"</f>
        <v>10000903</v>
      </c>
      <c r="M3254" t="s">
        <v>84</v>
      </c>
      <c r="N3254" s="1">
        <v>43404.943749999999</v>
      </c>
      <c r="O3254" t="s">
        <v>19</v>
      </c>
    </row>
    <row r="3255" spans="1:15" x14ac:dyDescent="0.25">
      <c r="A3255" t="s">
        <v>2653</v>
      </c>
      <c r="B3255" t="s">
        <v>15</v>
      </c>
      <c r="C3255" t="s">
        <v>37</v>
      </c>
      <c r="D3255" t="s">
        <v>17</v>
      </c>
      <c r="E3255" t="s">
        <v>18</v>
      </c>
      <c r="F3255" t="s">
        <v>19</v>
      </c>
      <c r="G3255" t="s">
        <v>20</v>
      </c>
      <c r="J3255" t="s">
        <v>18</v>
      </c>
      <c r="K3255" t="str">
        <f>"10000902"</f>
        <v>10000902</v>
      </c>
      <c r="L3255" t="str">
        <f>"10000902"</f>
        <v>10000902</v>
      </c>
      <c r="M3255" t="s">
        <v>84</v>
      </c>
      <c r="N3255" s="1">
        <v>43404.943055555559</v>
      </c>
      <c r="O3255" t="s">
        <v>19</v>
      </c>
    </row>
    <row r="3256" spans="1:15" x14ac:dyDescent="0.25">
      <c r="A3256" t="s">
        <v>2654</v>
      </c>
      <c r="B3256" t="s">
        <v>15</v>
      </c>
      <c r="C3256" t="s">
        <v>217</v>
      </c>
      <c r="D3256" t="s">
        <v>17</v>
      </c>
      <c r="E3256" t="s">
        <v>18</v>
      </c>
      <c r="F3256" t="s">
        <v>19</v>
      </c>
      <c r="G3256" t="s">
        <v>20</v>
      </c>
      <c r="J3256" t="s">
        <v>17</v>
      </c>
      <c r="K3256" t="str">
        <f>"10523384"</f>
        <v>10523384</v>
      </c>
      <c r="L3256" t="str">
        <f>"10523384"</f>
        <v>10523384</v>
      </c>
      <c r="M3256" t="s">
        <v>75</v>
      </c>
      <c r="N3256" s="1">
        <v>43175.945833333331</v>
      </c>
      <c r="O3256" t="s">
        <v>19</v>
      </c>
    </row>
    <row r="3257" spans="1:15" x14ac:dyDescent="0.25">
      <c r="A3257" t="s">
        <v>2655</v>
      </c>
      <c r="B3257" t="s">
        <v>15</v>
      </c>
      <c r="C3257" t="s">
        <v>217</v>
      </c>
      <c r="D3257" t="s">
        <v>17</v>
      </c>
      <c r="E3257" t="s">
        <v>18</v>
      </c>
      <c r="F3257" t="s">
        <v>19</v>
      </c>
      <c r="G3257" t="s">
        <v>20</v>
      </c>
      <c r="J3257" t="s">
        <v>17</v>
      </c>
      <c r="K3257" t="str">
        <f>"10003384"</f>
        <v>10003384</v>
      </c>
      <c r="L3257" t="str">
        <f>"10003384"</f>
        <v>10003384</v>
      </c>
      <c r="M3257" t="s">
        <v>75</v>
      </c>
      <c r="N3257" s="1">
        <v>42872.839583333334</v>
      </c>
      <c r="O3257" t="s">
        <v>19</v>
      </c>
    </row>
    <row r="3258" spans="1:15" x14ac:dyDescent="0.25">
      <c r="A3258" t="s">
        <v>2656</v>
      </c>
      <c r="B3258" t="s">
        <v>15</v>
      </c>
      <c r="C3258" t="s">
        <v>217</v>
      </c>
      <c r="D3258" t="s">
        <v>17</v>
      </c>
      <c r="E3258" t="s">
        <v>18</v>
      </c>
      <c r="F3258" t="s">
        <v>19</v>
      </c>
      <c r="G3258" t="s">
        <v>20</v>
      </c>
      <c r="J3258" t="s">
        <v>17</v>
      </c>
      <c r="K3258" t="str">
        <f>"10000346"</f>
        <v>10000346</v>
      </c>
      <c r="L3258" t="str">
        <f>"10000346"</f>
        <v>10000346</v>
      </c>
      <c r="M3258" t="s">
        <v>75</v>
      </c>
      <c r="N3258" s="1">
        <v>42872.839583333334</v>
      </c>
      <c r="O3258" t="s">
        <v>19</v>
      </c>
    </row>
    <row r="3259" spans="1:15" x14ac:dyDescent="0.25">
      <c r="A3259" t="s">
        <v>2657</v>
      </c>
      <c r="B3259" t="s">
        <v>15</v>
      </c>
      <c r="C3259" t="s">
        <v>217</v>
      </c>
      <c r="D3259" t="s">
        <v>17</v>
      </c>
      <c r="E3259" t="s">
        <v>18</v>
      </c>
      <c r="F3259" t="s">
        <v>19</v>
      </c>
      <c r="G3259" t="s">
        <v>20</v>
      </c>
      <c r="J3259" t="s">
        <v>17</v>
      </c>
      <c r="K3259" t="str">
        <f>"10529700"</f>
        <v>10529700</v>
      </c>
      <c r="L3259" t="str">
        <f>"10529700"</f>
        <v>10529700</v>
      </c>
      <c r="M3259" t="s">
        <v>75</v>
      </c>
      <c r="N3259" s="1">
        <v>43175.947222222225</v>
      </c>
      <c r="O3259" t="s">
        <v>19</v>
      </c>
    </row>
    <row r="3260" spans="1:15" x14ac:dyDescent="0.25">
      <c r="A3260" t="s">
        <v>2658</v>
      </c>
      <c r="B3260" t="s">
        <v>15</v>
      </c>
      <c r="C3260" t="s">
        <v>217</v>
      </c>
      <c r="D3260" t="s">
        <v>17</v>
      </c>
      <c r="E3260" t="s">
        <v>18</v>
      </c>
      <c r="F3260" t="s">
        <v>19</v>
      </c>
      <c r="G3260" t="s">
        <v>20</v>
      </c>
      <c r="J3260" t="s">
        <v>17</v>
      </c>
      <c r="K3260" t="str">
        <f>"7858816019579"</f>
        <v>7858816019579</v>
      </c>
      <c r="L3260" t="str">
        <f>"87521957"</f>
        <v>87521957</v>
      </c>
      <c r="M3260" t="s">
        <v>21</v>
      </c>
      <c r="N3260" s="1">
        <v>43281.680555555555</v>
      </c>
      <c r="O3260" t="s">
        <v>19</v>
      </c>
    </row>
    <row r="3261" spans="1:15" x14ac:dyDescent="0.25">
      <c r="A3261" t="s">
        <v>2659</v>
      </c>
      <c r="B3261" t="s">
        <v>15</v>
      </c>
      <c r="C3261" t="s">
        <v>217</v>
      </c>
      <c r="D3261" t="s">
        <v>17</v>
      </c>
      <c r="E3261" t="s">
        <v>18</v>
      </c>
      <c r="F3261" t="s">
        <v>19</v>
      </c>
      <c r="G3261" t="s">
        <v>20</v>
      </c>
      <c r="J3261" t="s">
        <v>17</v>
      </c>
      <c r="K3261" t="str">
        <f>"105210129"</f>
        <v>105210129</v>
      </c>
      <c r="L3261" t="str">
        <f>"105210129"</f>
        <v>105210129</v>
      </c>
      <c r="M3261" t="s">
        <v>75</v>
      </c>
      <c r="N3261" s="1">
        <v>43175.948611111111</v>
      </c>
      <c r="O3261" t="s">
        <v>19</v>
      </c>
    </row>
    <row r="3262" spans="1:15" x14ac:dyDescent="0.25">
      <c r="A3262" t="s">
        <v>2660</v>
      </c>
      <c r="B3262" t="s">
        <v>15</v>
      </c>
      <c r="C3262" t="s">
        <v>217</v>
      </c>
      <c r="D3262" t="s">
        <v>17</v>
      </c>
      <c r="E3262" t="s">
        <v>18</v>
      </c>
      <c r="F3262" t="s">
        <v>19</v>
      </c>
      <c r="G3262" t="s">
        <v>20</v>
      </c>
      <c r="J3262" t="s">
        <v>17</v>
      </c>
      <c r="K3262" t="str">
        <f>"67200003"</f>
        <v>67200003</v>
      </c>
      <c r="L3262" t="str">
        <f>"67200003"</f>
        <v>67200003</v>
      </c>
      <c r="M3262" t="s">
        <v>75</v>
      </c>
      <c r="N3262" s="1">
        <v>42872.847222222219</v>
      </c>
      <c r="O3262" t="s">
        <v>19</v>
      </c>
    </row>
    <row r="3263" spans="1:15" x14ac:dyDescent="0.25">
      <c r="A3263" t="s">
        <v>2661</v>
      </c>
      <c r="B3263" t="s">
        <v>15</v>
      </c>
      <c r="C3263" t="s">
        <v>37</v>
      </c>
      <c r="D3263" t="s">
        <v>17</v>
      </c>
      <c r="E3263" t="s">
        <v>18</v>
      </c>
      <c r="F3263" t="s">
        <v>19</v>
      </c>
      <c r="G3263" t="s">
        <v>20</v>
      </c>
      <c r="J3263" t="s">
        <v>17</v>
      </c>
      <c r="K3263" t="str">
        <f>"34520001"</f>
        <v>34520001</v>
      </c>
      <c r="L3263" t="str">
        <f>"34520001"</f>
        <v>34520001</v>
      </c>
      <c r="M3263" t="s">
        <v>75</v>
      </c>
      <c r="N3263" s="1">
        <v>42872.839583333334</v>
      </c>
      <c r="O3263" t="s">
        <v>19</v>
      </c>
    </row>
    <row r="3264" spans="1:15" x14ac:dyDescent="0.25">
      <c r="A3264" t="s">
        <v>2662</v>
      </c>
      <c r="B3264" t="s">
        <v>15</v>
      </c>
      <c r="C3264" t="s">
        <v>37</v>
      </c>
      <c r="D3264" t="s">
        <v>17</v>
      </c>
      <c r="E3264" t="s">
        <v>18</v>
      </c>
      <c r="F3264" t="s">
        <v>19</v>
      </c>
      <c r="G3264" t="s">
        <v>20</v>
      </c>
      <c r="J3264" t="s">
        <v>17</v>
      </c>
      <c r="K3264" t="str">
        <f>"10013198"</f>
        <v>10013198</v>
      </c>
      <c r="L3264" t="str">
        <f>"10013198"</f>
        <v>10013198</v>
      </c>
      <c r="M3264" t="s">
        <v>75</v>
      </c>
      <c r="N3264" s="1">
        <v>42924.704861111109</v>
      </c>
      <c r="O3264" t="s">
        <v>19</v>
      </c>
    </row>
    <row r="3265" spans="1:15" x14ac:dyDescent="0.25">
      <c r="A3265" t="s">
        <v>2663</v>
      </c>
      <c r="B3265" t="s">
        <v>15</v>
      </c>
      <c r="C3265" t="s">
        <v>37</v>
      </c>
      <c r="D3265" t="s">
        <v>17</v>
      </c>
      <c r="E3265" t="s">
        <v>18</v>
      </c>
      <c r="F3265" t="s">
        <v>19</v>
      </c>
      <c r="G3265" t="s">
        <v>20</v>
      </c>
      <c r="J3265" t="s">
        <v>17</v>
      </c>
      <c r="K3265" t="str">
        <f>"10104257"</f>
        <v>10104257</v>
      </c>
      <c r="L3265" t="str">
        <f>"10104257"</f>
        <v>10104257</v>
      </c>
      <c r="M3265" t="s">
        <v>75</v>
      </c>
      <c r="N3265" s="1">
        <v>42965.896527777775</v>
      </c>
      <c r="O3265" t="s">
        <v>19</v>
      </c>
    </row>
    <row r="3266" spans="1:15" x14ac:dyDescent="0.25">
      <c r="A3266" t="s">
        <v>2664</v>
      </c>
      <c r="B3266" t="s">
        <v>15</v>
      </c>
      <c r="C3266" t="s">
        <v>164</v>
      </c>
      <c r="D3266" t="s">
        <v>17</v>
      </c>
      <c r="E3266" t="s">
        <v>18</v>
      </c>
      <c r="F3266" t="s">
        <v>19</v>
      </c>
      <c r="G3266" t="s">
        <v>20</v>
      </c>
      <c r="J3266" t="s">
        <v>17</v>
      </c>
      <c r="K3266" t="str">
        <f>"7793253002893"</f>
        <v>7793253002893</v>
      </c>
      <c r="L3266" t="str">
        <f>"47882893"</f>
        <v>47882893</v>
      </c>
      <c r="M3266" t="s">
        <v>21</v>
      </c>
      <c r="N3266" s="1">
        <v>44285.738194444442</v>
      </c>
      <c r="O3266" t="s">
        <v>19</v>
      </c>
    </row>
    <row r="3267" spans="1:15" x14ac:dyDescent="0.25">
      <c r="A3267" t="s">
        <v>2665</v>
      </c>
      <c r="B3267" t="s">
        <v>15</v>
      </c>
      <c r="C3267" t="s">
        <v>164</v>
      </c>
      <c r="D3267" t="s">
        <v>17</v>
      </c>
      <c r="E3267" t="s">
        <v>18</v>
      </c>
      <c r="F3267" t="s">
        <v>19</v>
      </c>
      <c r="G3267" t="s">
        <v>20</v>
      </c>
      <c r="J3267" t="s">
        <v>17</v>
      </c>
      <c r="K3267" t="str">
        <f>"7806810016568"</f>
        <v>7806810016568</v>
      </c>
      <c r="L3267" t="str">
        <f>"47886568"</f>
        <v>47886568</v>
      </c>
      <c r="M3267" t="s">
        <v>21</v>
      </c>
      <c r="N3267" s="1">
        <v>42872.839583333334</v>
      </c>
      <c r="O3267" t="s">
        <v>19</v>
      </c>
    </row>
    <row r="3268" spans="1:15" x14ac:dyDescent="0.25">
      <c r="A3268" t="s">
        <v>2666</v>
      </c>
      <c r="B3268" t="s">
        <v>15</v>
      </c>
      <c r="C3268" t="s">
        <v>164</v>
      </c>
      <c r="D3268" t="s">
        <v>17</v>
      </c>
      <c r="E3268" t="s">
        <v>18</v>
      </c>
      <c r="F3268" t="s">
        <v>19</v>
      </c>
      <c r="G3268" t="s">
        <v>20</v>
      </c>
      <c r="J3268" t="s">
        <v>18</v>
      </c>
      <c r="K3268" t="str">
        <f>"7806810016544"</f>
        <v>7806810016544</v>
      </c>
      <c r="L3268" t="str">
        <f>"47880002"</f>
        <v>47880002</v>
      </c>
      <c r="M3268" t="s">
        <v>21</v>
      </c>
      <c r="N3268" s="1">
        <v>44042.652083333334</v>
      </c>
      <c r="O3268" t="s">
        <v>19</v>
      </c>
    </row>
    <row r="3269" spans="1:15" x14ac:dyDescent="0.25">
      <c r="A3269" t="s">
        <v>2667</v>
      </c>
      <c r="B3269" t="s">
        <v>15</v>
      </c>
      <c r="C3269" t="s">
        <v>37</v>
      </c>
      <c r="D3269" t="s">
        <v>17</v>
      </c>
      <c r="E3269" t="s">
        <v>18</v>
      </c>
      <c r="F3269" t="s">
        <v>19</v>
      </c>
      <c r="G3269" t="s">
        <v>20</v>
      </c>
      <c r="J3269" t="s">
        <v>17</v>
      </c>
      <c r="K3269" t="str">
        <f>"11002350"</f>
        <v>11002350</v>
      </c>
      <c r="L3269" t="str">
        <f>"11002350"</f>
        <v>11002350</v>
      </c>
      <c r="M3269" t="s">
        <v>75</v>
      </c>
      <c r="N3269" s="1">
        <v>42872.839583333334</v>
      </c>
      <c r="O3269" t="s">
        <v>19</v>
      </c>
    </row>
    <row r="3270" spans="1:15" x14ac:dyDescent="0.25">
      <c r="A3270" t="s">
        <v>2668</v>
      </c>
      <c r="B3270" t="s">
        <v>15</v>
      </c>
      <c r="C3270" t="s">
        <v>2472</v>
      </c>
      <c r="D3270" t="s">
        <v>17</v>
      </c>
      <c r="E3270" t="s">
        <v>18</v>
      </c>
      <c r="F3270" t="s">
        <v>19</v>
      </c>
      <c r="G3270" t="s">
        <v>20</v>
      </c>
      <c r="J3270" t="s">
        <v>17</v>
      </c>
      <c r="K3270" t="str">
        <f>"10273861"</f>
        <v>10273861</v>
      </c>
      <c r="L3270" t="str">
        <f>"10273861"</f>
        <v>10273861</v>
      </c>
      <c r="M3270" t="s">
        <v>75</v>
      </c>
      <c r="N3270" s="1">
        <v>42872.839583333334</v>
      </c>
      <c r="O3270" t="s">
        <v>19</v>
      </c>
    </row>
    <row r="3271" spans="1:15" x14ac:dyDescent="0.25">
      <c r="A3271" t="s">
        <v>2669</v>
      </c>
      <c r="B3271" t="s">
        <v>15</v>
      </c>
      <c r="C3271" t="s">
        <v>2472</v>
      </c>
      <c r="D3271" t="s">
        <v>17</v>
      </c>
      <c r="E3271" t="s">
        <v>18</v>
      </c>
      <c r="F3271" t="s">
        <v>19</v>
      </c>
      <c r="G3271" t="s">
        <v>20</v>
      </c>
      <c r="J3271" t="s">
        <v>17</v>
      </c>
      <c r="K3271" t="str">
        <f>"22270896"</f>
        <v>22270896</v>
      </c>
      <c r="L3271" t="str">
        <f>"22270896"</f>
        <v>22270896</v>
      </c>
      <c r="M3271" t="s">
        <v>21</v>
      </c>
      <c r="N3271" s="1">
        <v>43644.730555555558</v>
      </c>
      <c r="O3271" t="s">
        <v>19</v>
      </c>
    </row>
    <row r="3272" spans="1:15" x14ac:dyDescent="0.25">
      <c r="A3272" t="s">
        <v>2670</v>
      </c>
      <c r="B3272" t="s">
        <v>15</v>
      </c>
      <c r="C3272" t="s">
        <v>2472</v>
      </c>
      <c r="D3272" t="s">
        <v>17</v>
      </c>
      <c r="E3272" t="s">
        <v>18</v>
      </c>
      <c r="F3272" t="s">
        <v>19</v>
      </c>
      <c r="G3272" t="s">
        <v>20</v>
      </c>
      <c r="J3272" t="s">
        <v>17</v>
      </c>
      <c r="K3272" t="str">
        <f>"6925871650342"</f>
        <v>6925871650342</v>
      </c>
      <c r="L3272" t="str">
        <f>"22275034"</f>
        <v>22275034</v>
      </c>
      <c r="M3272" t="s">
        <v>75</v>
      </c>
      <c r="N3272" s="1">
        <v>42881.875694444447</v>
      </c>
      <c r="O3272" t="s">
        <v>19</v>
      </c>
    </row>
    <row r="3273" spans="1:15" x14ac:dyDescent="0.25">
      <c r="A3273" t="s">
        <v>2671</v>
      </c>
      <c r="B3273" t="s">
        <v>15</v>
      </c>
      <c r="C3273" t="s">
        <v>2472</v>
      </c>
      <c r="D3273" t="s">
        <v>17</v>
      </c>
      <c r="E3273" t="s">
        <v>18</v>
      </c>
      <c r="F3273" t="s">
        <v>19</v>
      </c>
      <c r="G3273" t="s">
        <v>20</v>
      </c>
      <c r="J3273" t="s">
        <v>17</v>
      </c>
      <c r="K3273" t="str">
        <f>"6925871653916"</f>
        <v>6925871653916</v>
      </c>
      <c r="L3273" t="str">
        <f>"22275391"</f>
        <v>22275391</v>
      </c>
      <c r="M3273" t="s">
        <v>75</v>
      </c>
      <c r="N3273" s="1">
        <v>42872.839583333334</v>
      </c>
      <c r="O3273" t="s">
        <v>19</v>
      </c>
    </row>
    <row r="3274" spans="1:15" x14ac:dyDescent="0.25">
      <c r="A3274" t="s">
        <v>2672</v>
      </c>
      <c r="B3274" t="s">
        <v>15</v>
      </c>
      <c r="C3274" t="s">
        <v>2472</v>
      </c>
      <c r="D3274" t="s">
        <v>17</v>
      </c>
      <c r="E3274" t="s">
        <v>18</v>
      </c>
      <c r="F3274" t="s">
        <v>19</v>
      </c>
      <c r="G3274" t="s">
        <v>20</v>
      </c>
      <c r="J3274" t="s">
        <v>17</v>
      </c>
      <c r="K3274" t="str">
        <f>"6925871657808"</f>
        <v>6925871657808</v>
      </c>
      <c r="L3274" t="str">
        <f>"22275780"</f>
        <v>22275780</v>
      </c>
      <c r="M3274" t="s">
        <v>75</v>
      </c>
      <c r="N3274" s="1">
        <v>43195.646527777775</v>
      </c>
      <c r="O3274" t="s">
        <v>19</v>
      </c>
    </row>
    <row r="3275" spans="1:15" x14ac:dyDescent="0.25">
      <c r="A3275" t="s">
        <v>2673</v>
      </c>
      <c r="B3275" t="s">
        <v>15</v>
      </c>
      <c r="C3275" t="s">
        <v>2472</v>
      </c>
      <c r="D3275" t="s">
        <v>17</v>
      </c>
      <c r="E3275" t="s">
        <v>18</v>
      </c>
      <c r="F3275" t="s">
        <v>19</v>
      </c>
      <c r="G3275" t="s">
        <v>20</v>
      </c>
      <c r="J3275" t="s">
        <v>17</v>
      </c>
      <c r="K3275" t="str">
        <f>"6925871659512"</f>
        <v>6925871659512</v>
      </c>
      <c r="L3275" t="str">
        <f>"22275951"</f>
        <v>22275951</v>
      </c>
      <c r="M3275" t="s">
        <v>75</v>
      </c>
      <c r="N3275" s="1">
        <v>42872.839583333334</v>
      </c>
      <c r="O3275" t="s">
        <v>19</v>
      </c>
    </row>
    <row r="3276" spans="1:15" x14ac:dyDescent="0.25">
      <c r="A3276" t="s">
        <v>2674</v>
      </c>
      <c r="B3276" t="s">
        <v>15</v>
      </c>
      <c r="C3276" t="s">
        <v>2472</v>
      </c>
      <c r="D3276" t="s">
        <v>17</v>
      </c>
      <c r="E3276" t="s">
        <v>18</v>
      </c>
      <c r="F3276" t="s">
        <v>19</v>
      </c>
      <c r="G3276" t="s">
        <v>20</v>
      </c>
      <c r="J3276" t="s">
        <v>17</v>
      </c>
      <c r="K3276" t="str">
        <f>"6925871663519"</f>
        <v>6925871663519</v>
      </c>
      <c r="L3276" t="str">
        <f>"22276351"</f>
        <v>22276351</v>
      </c>
      <c r="M3276" t="s">
        <v>75</v>
      </c>
      <c r="N3276" s="1">
        <v>42872.839583333334</v>
      </c>
      <c r="O3276" t="s">
        <v>19</v>
      </c>
    </row>
    <row r="3277" spans="1:15" x14ac:dyDescent="0.25">
      <c r="A3277" t="s">
        <v>2675</v>
      </c>
      <c r="B3277" t="s">
        <v>15</v>
      </c>
      <c r="C3277" t="s">
        <v>2472</v>
      </c>
      <c r="D3277" t="s">
        <v>17</v>
      </c>
      <c r="E3277" t="s">
        <v>18</v>
      </c>
      <c r="F3277" t="s">
        <v>19</v>
      </c>
      <c r="G3277" t="s">
        <v>20</v>
      </c>
      <c r="J3277" t="s">
        <v>17</v>
      </c>
      <c r="K3277" t="str">
        <f>"6925871684118"</f>
        <v>6925871684118</v>
      </c>
      <c r="L3277" t="str">
        <f>"22278411"</f>
        <v>22278411</v>
      </c>
      <c r="M3277" t="s">
        <v>75</v>
      </c>
      <c r="N3277" s="1">
        <v>42881.880555555559</v>
      </c>
      <c r="O3277" t="s">
        <v>19</v>
      </c>
    </row>
    <row r="3278" spans="1:15" x14ac:dyDescent="0.25">
      <c r="A3278" t="s">
        <v>2676</v>
      </c>
      <c r="B3278" t="s">
        <v>15</v>
      </c>
      <c r="C3278" t="s">
        <v>2472</v>
      </c>
      <c r="D3278" t="s">
        <v>17</v>
      </c>
      <c r="E3278" t="s">
        <v>18</v>
      </c>
      <c r="F3278" t="s">
        <v>19</v>
      </c>
      <c r="G3278" t="s">
        <v>20</v>
      </c>
      <c r="J3278" t="s">
        <v>17</v>
      </c>
      <c r="K3278" t="str">
        <f>"10014760"</f>
        <v>10014760</v>
      </c>
      <c r="L3278" t="str">
        <f>"10014760"</f>
        <v>10014760</v>
      </c>
      <c r="M3278" t="s">
        <v>75</v>
      </c>
      <c r="N3278" s="1">
        <v>43195.704861111109</v>
      </c>
      <c r="O3278" t="s">
        <v>19</v>
      </c>
    </row>
    <row r="3279" spans="1:15" x14ac:dyDescent="0.25">
      <c r="A3279" t="s">
        <v>2677</v>
      </c>
      <c r="B3279" t="s">
        <v>15</v>
      </c>
      <c r="C3279" t="s">
        <v>2472</v>
      </c>
      <c r="D3279" t="s">
        <v>17</v>
      </c>
      <c r="E3279" t="s">
        <v>18</v>
      </c>
      <c r="F3279" t="s">
        <v>19</v>
      </c>
      <c r="G3279" t="s">
        <v>20</v>
      </c>
      <c r="J3279" t="s">
        <v>17</v>
      </c>
      <c r="K3279" t="str">
        <f>"7898357937000"</f>
        <v>7898357937000</v>
      </c>
      <c r="L3279" t="str">
        <f>"402793700"</f>
        <v>402793700</v>
      </c>
      <c r="M3279" t="s">
        <v>21</v>
      </c>
      <c r="N3279" s="1">
        <v>44349.703472222223</v>
      </c>
      <c r="O3279" t="s">
        <v>19</v>
      </c>
    </row>
    <row r="3280" spans="1:15" x14ac:dyDescent="0.25">
      <c r="A3280" t="s">
        <v>2678</v>
      </c>
      <c r="B3280" t="s">
        <v>15</v>
      </c>
      <c r="C3280" t="s">
        <v>2472</v>
      </c>
      <c r="D3280" t="s">
        <v>17</v>
      </c>
      <c r="E3280" t="s">
        <v>18</v>
      </c>
      <c r="F3280" t="s">
        <v>19</v>
      </c>
      <c r="G3280" t="s">
        <v>20</v>
      </c>
      <c r="J3280" t="s">
        <v>17</v>
      </c>
      <c r="K3280" t="str">
        <f>"7882375154327"</f>
        <v>7882375154327</v>
      </c>
      <c r="L3280" t="str">
        <f>"10014683"</f>
        <v>10014683</v>
      </c>
      <c r="M3280" t="s">
        <v>21</v>
      </c>
      <c r="N3280" s="1">
        <v>43596.636805555558</v>
      </c>
      <c r="O3280" t="s">
        <v>19</v>
      </c>
    </row>
    <row r="3281" spans="1:15" x14ac:dyDescent="0.25">
      <c r="A3281" t="s">
        <v>2679</v>
      </c>
      <c r="B3281" t="s">
        <v>15</v>
      </c>
      <c r="C3281" t="s">
        <v>2472</v>
      </c>
      <c r="D3281" t="s">
        <v>17</v>
      </c>
      <c r="E3281" t="s">
        <v>18</v>
      </c>
      <c r="F3281" t="s">
        <v>19</v>
      </c>
      <c r="G3281" t="s">
        <v>20</v>
      </c>
      <c r="J3281" t="s">
        <v>17</v>
      </c>
      <c r="K3281" t="str">
        <f>"10000314"</f>
        <v>10000314</v>
      </c>
      <c r="L3281" t="str">
        <f>"10000314"</f>
        <v>10000314</v>
      </c>
      <c r="M3281" t="s">
        <v>21</v>
      </c>
      <c r="N3281" s="1">
        <v>43596.637499999997</v>
      </c>
      <c r="O3281" t="s">
        <v>19</v>
      </c>
    </row>
    <row r="3282" spans="1:15" x14ac:dyDescent="0.25">
      <c r="A3282" t="s">
        <v>2680</v>
      </c>
      <c r="B3282" t="s">
        <v>15</v>
      </c>
      <c r="C3282" t="s">
        <v>37</v>
      </c>
      <c r="D3282" t="s">
        <v>17</v>
      </c>
      <c r="E3282" t="s">
        <v>18</v>
      </c>
      <c r="F3282" t="s">
        <v>19</v>
      </c>
      <c r="G3282" t="s">
        <v>20</v>
      </c>
      <c r="J3282" t="s">
        <v>17</v>
      </c>
      <c r="K3282" t="str">
        <f>"7300166201352"</f>
        <v>7300166201352</v>
      </c>
      <c r="L3282" t="str">
        <f>"11002349"</f>
        <v>11002349</v>
      </c>
      <c r="M3282" t="s">
        <v>75</v>
      </c>
      <c r="N3282" s="1">
        <v>42872.839583333334</v>
      </c>
      <c r="O3282" t="s">
        <v>19</v>
      </c>
    </row>
    <row r="3283" spans="1:15" x14ac:dyDescent="0.25">
      <c r="A3283" t="s">
        <v>2681</v>
      </c>
      <c r="B3283" t="s">
        <v>15</v>
      </c>
      <c r="C3283" t="s">
        <v>2472</v>
      </c>
      <c r="D3283" t="s">
        <v>17</v>
      </c>
      <c r="E3283" t="s">
        <v>18</v>
      </c>
      <c r="F3283" t="s">
        <v>19</v>
      </c>
      <c r="G3283" t="s">
        <v>20</v>
      </c>
      <c r="J3283" t="s">
        <v>17</v>
      </c>
      <c r="K3283" t="str">
        <f>"6925871682336"</f>
        <v>6925871682336</v>
      </c>
      <c r="L3283" t="str">
        <f>"22278233"</f>
        <v>22278233</v>
      </c>
      <c r="M3283" t="s">
        <v>21</v>
      </c>
      <c r="N3283" s="1">
        <v>43818.697222222225</v>
      </c>
      <c r="O3283" t="s">
        <v>19</v>
      </c>
    </row>
    <row r="3284" spans="1:15" x14ac:dyDescent="0.25">
      <c r="A3284" t="s">
        <v>2682</v>
      </c>
      <c r="B3284" t="s">
        <v>15</v>
      </c>
      <c r="C3284" t="s">
        <v>2472</v>
      </c>
      <c r="D3284" t="s">
        <v>17</v>
      </c>
      <c r="E3284" t="s">
        <v>18</v>
      </c>
      <c r="F3284" t="s">
        <v>19</v>
      </c>
      <c r="G3284" t="s">
        <v>20</v>
      </c>
      <c r="J3284" t="s">
        <v>17</v>
      </c>
      <c r="K3284" t="str">
        <f>"22278240"</f>
        <v>22278240</v>
      </c>
      <c r="L3284" t="str">
        <f>"22278240"</f>
        <v>22278240</v>
      </c>
      <c r="M3284" t="s">
        <v>21</v>
      </c>
      <c r="N3284" s="1">
        <v>43644.731249999997</v>
      </c>
      <c r="O3284" t="s">
        <v>19</v>
      </c>
    </row>
    <row r="3285" spans="1:15" x14ac:dyDescent="0.25">
      <c r="A3285" t="s">
        <v>2683</v>
      </c>
      <c r="B3285" t="s">
        <v>15</v>
      </c>
      <c r="C3285" t="s">
        <v>2472</v>
      </c>
      <c r="D3285" t="s">
        <v>17</v>
      </c>
      <c r="E3285" t="s">
        <v>18</v>
      </c>
      <c r="F3285" t="s">
        <v>19</v>
      </c>
      <c r="G3285" t="s">
        <v>20</v>
      </c>
      <c r="J3285" t="s">
        <v>17</v>
      </c>
      <c r="K3285" t="str">
        <f>"8669885005375"</f>
        <v>8669885005375</v>
      </c>
      <c r="L3285" t="str">
        <f>"66270537"</f>
        <v>66270537</v>
      </c>
      <c r="M3285" t="s">
        <v>75</v>
      </c>
      <c r="N3285" s="1">
        <v>42881.90902777778</v>
      </c>
      <c r="O3285" t="s">
        <v>19</v>
      </c>
    </row>
    <row r="3286" spans="1:15" x14ac:dyDescent="0.25">
      <c r="A3286" t="s">
        <v>2684</v>
      </c>
      <c r="B3286" t="s">
        <v>15</v>
      </c>
      <c r="C3286" t="s">
        <v>2472</v>
      </c>
      <c r="D3286" t="s">
        <v>17</v>
      </c>
      <c r="E3286" t="s">
        <v>18</v>
      </c>
      <c r="F3286" t="s">
        <v>19</v>
      </c>
      <c r="G3286" t="s">
        <v>20</v>
      </c>
      <c r="J3286" t="s">
        <v>17</v>
      </c>
      <c r="K3286" t="str">
        <f>"6925871656207"</f>
        <v>6925871656207</v>
      </c>
      <c r="L3286" t="str">
        <f>"22275620"</f>
        <v>22275620</v>
      </c>
      <c r="M3286" t="s">
        <v>75</v>
      </c>
      <c r="N3286" s="1">
        <v>43125.838194444441</v>
      </c>
      <c r="O3286" t="s">
        <v>19</v>
      </c>
    </row>
    <row r="3287" spans="1:15" x14ac:dyDescent="0.25">
      <c r="A3287" t="s">
        <v>2685</v>
      </c>
      <c r="B3287" t="s">
        <v>15</v>
      </c>
      <c r="C3287" t="s">
        <v>2472</v>
      </c>
      <c r="D3287" t="s">
        <v>17</v>
      </c>
      <c r="E3287" t="s">
        <v>18</v>
      </c>
      <c r="F3287" t="s">
        <v>19</v>
      </c>
      <c r="G3287" t="s">
        <v>20</v>
      </c>
      <c r="J3287" t="s">
        <v>17</v>
      </c>
      <c r="K3287" t="str">
        <f>"6925871688895"</f>
        <v>6925871688895</v>
      </c>
      <c r="L3287" t="str">
        <f>"22278889"</f>
        <v>22278889</v>
      </c>
      <c r="M3287" t="s">
        <v>21</v>
      </c>
      <c r="N3287" s="1">
        <v>43867.892361111109</v>
      </c>
      <c r="O3287" t="s">
        <v>19</v>
      </c>
    </row>
    <row r="3288" spans="1:15" x14ac:dyDescent="0.25">
      <c r="A3288" t="s">
        <v>2686</v>
      </c>
      <c r="B3288" t="s">
        <v>15</v>
      </c>
      <c r="C3288" t="s">
        <v>2472</v>
      </c>
      <c r="D3288" t="s">
        <v>17</v>
      </c>
      <c r="E3288" t="s">
        <v>18</v>
      </c>
      <c r="F3288" t="s">
        <v>19</v>
      </c>
      <c r="G3288" t="s">
        <v>20</v>
      </c>
      <c r="J3288" t="s">
        <v>17</v>
      </c>
      <c r="K3288" t="str">
        <f>"6925871661614"</f>
        <v>6925871661614</v>
      </c>
      <c r="L3288" t="str">
        <f>"22276161"</f>
        <v>22276161</v>
      </c>
      <c r="M3288" t="s">
        <v>75</v>
      </c>
      <c r="N3288" s="1">
        <v>42872.839583333334</v>
      </c>
      <c r="O3288" t="s">
        <v>19</v>
      </c>
    </row>
    <row r="3289" spans="1:15" x14ac:dyDescent="0.25">
      <c r="A3289" t="s">
        <v>2687</v>
      </c>
      <c r="B3289" t="s">
        <v>15</v>
      </c>
      <c r="C3289" t="s">
        <v>37</v>
      </c>
      <c r="D3289" t="s">
        <v>17</v>
      </c>
      <c r="E3289" t="s">
        <v>18</v>
      </c>
      <c r="F3289" t="s">
        <v>19</v>
      </c>
      <c r="G3289" t="s">
        <v>20</v>
      </c>
      <c r="J3289" t="s">
        <v>17</v>
      </c>
      <c r="K3289" t="str">
        <f>"975548698869"</f>
        <v>975548698869</v>
      </c>
      <c r="L3289" t="str">
        <f>"10522038"</f>
        <v>10522038</v>
      </c>
      <c r="M3289" t="s">
        <v>75</v>
      </c>
      <c r="N3289" s="1">
        <v>43045.649305555555</v>
      </c>
      <c r="O3289" t="s">
        <v>19</v>
      </c>
    </row>
    <row r="3290" spans="1:15" x14ac:dyDescent="0.25">
      <c r="A3290" t="s">
        <v>2688</v>
      </c>
      <c r="B3290" t="s">
        <v>15</v>
      </c>
      <c r="C3290" t="s">
        <v>37</v>
      </c>
      <c r="D3290" t="s">
        <v>17</v>
      </c>
      <c r="E3290" t="s">
        <v>18</v>
      </c>
      <c r="F3290" t="s">
        <v>19</v>
      </c>
      <c r="G3290" t="s">
        <v>20</v>
      </c>
      <c r="J3290" t="s">
        <v>17</v>
      </c>
      <c r="K3290" t="str">
        <f>"76521010"</f>
        <v>76521010</v>
      </c>
      <c r="L3290" t="str">
        <f>"76521010"</f>
        <v>76521010</v>
      </c>
      <c r="M3290" t="s">
        <v>21</v>
      </c>
      <c r="N3290" s="1">
        <v>43668.781944444447</v>
      </c>
      <c r="O3290" t="s">
        <v>19</v>
      </c>
    </row>
    <row r="3291" spans="1:15" x14ac:dyDescent="0.25">
      <c r="A3291" t="s">
        <v>2689</v>
      </c>
      <c r="B3291" t="s">
        <v>15</v>
      </c>
      <c r="C3291" t="s">
        <v>37</v>
      </c>
      <c r="D3291" t="s">
        <v>17</v>
      </c>
      <c r="E3291" t="s">
        <v>18</v>
      </c>
      <c r="F3291" t="s">
        <v>19</v>
      </c>
      <c r="G3291" t="s">
        <v>20</v>
      </c>
      <c r="J3291" t="s">
        <v>17</v>
      </c>
      <c r="K3291" t="str">
        <f>"1606174937587"</f>
        <v>1606174937587</v>
      </c>
      <c r="L3291" t="str">
        <f>"40527587"</f>
        <v>40527587</v>
      </c>
      <c r="M3291" t="s">
        <v>21</v>
      </c>
      <c r="N3291" s="1">
        <v>44434.843055555553</v>
      </c>
      <c r="O3291" t="s">
        <v>19</v>
      </c>
    </row>
    <row r="3292" spans="1:15" x14ac:dyDescent="0.25">
      <c r="A3292" t="s">
        <v>2690</v>
      </c>
      <c r="B3292" t="s">
        <v>15</v>
      </c>
      <c r="C3292" t="s">
        <v>37</v>
      </c>
      <c r="D3292" t="s">
        <v>17</v>
      </c>
      <c r="E3292" t="s">
        <v>18</v>
      </c>
      <c r="F3292" t="s">
        <v>19</v>
      </c>
      <c r="G3292" t="s">
        <v>20</v>
      </c>
      <c r="J3292" t="s">
        <v>17</v>
      </c>
      <c r="K3292" t="str">
        <f>"76520005"</f>
        <v>76520005</v>
      </c>
      <c r="L3292" t="str">
        <f>"76520005"</f>
        <v>76520005</v>
      </c>
      <c r="M3292" t="s">
        <v>21</v>
      </c>
      <c r="N3292" s="1">
        <v>42872.839583333334</v>
      </c>
      <c r="O3292" t="s">
        <v>19</v>
      </c>
    </row>
    <row r="3293" spans="1:15" x14ac:dyDescent="0.25">
      <c r="A3293" t="s">
        <v>2691</v>
      </c>
      <c r="B3293" t="s">
        <v>15</v>
      </c>
      <c r="C3293" t="s">
        <v>37</v>
      </c>
      <c r="D3293" t="s">
        <v>17</v>
      </c>
      <c r="E3293" t="s">
        <v>18</v>
      </c>
      <c r="F3293" t="s">
        <v>19</v>
      </c>
      <c r="G3293" t="s">
        <v>20</v>
      </c>
      <c r="J3293" t="s">
        <v>17</v>
      </c>
      <c r="K3293" t="str">
        <f>"10106666"</f>
        <v>10106666</v>
      </c>
      <c r="L3293" t="str">
        <f>"10106666"</f>
        <v>10106666</v>
      </c>
      <c r="M3293" t="s">
        <v>21</v>
      </c>
      <c r="N3293" s="1">
        <v>43806.626388888886</v>
      </c>
      <c r="O3293" t="s">
        <v>19</v>
      </c>
    </row>
    <row r="3294" spans="1:15" x14ac:dyDescent="0.25">
      <c r="A3294" t="s">
        <v>2692</v>
      </c>
      <c r="B3294" t="s">
        <v>15</v>
      </c>
      <c r="C3294" t="s">
        <v>37</v>
      </c>
      <c r="D3294" t="s">
        <v>17</v>
      </c>
      <c r="E3294" t="s">
        <v>18</v>
      </c>
      <c r="F3294" t="s">
        <v>19</v>
      </c>
      <c r="G3294" t="s">
        <v>20</v>
      </c>
      <c r="J3294" t="s">
        <v>17</v>
      </c>
      <c r="K3294" t="str">
        <f>"10002503"</f>
        <v>10002503</v>
      </c>
      <c r="L3294" t="str">
        <f>"10002503"</f>
        <v>10002503</v>
      </c>
      <c r="M3294" t="s">
        <v>21</v>
      </c>
      <c r="N3294" s="1">
        <v>44371.804861111108</v>
      </c>
      <c r="O3294" t="s">
        <v>19</v>
      </c>
    </row>
    <row r="3295" spans="1:15" x14ac:dyDescent="0.25">
      <c r="A3295" t="s">
        <v>2693</v>
      </c>
      <c r="B3295" t="s">
        <v>15</v>
      </c>
      <c r="C3295" t="s">
        <v>37</v>
      </c>
      <c r="D3295" t="s">
        <v>17</v>
      </c>
      <c r="E3295" t="s">
        <v>18</v>
      </c>
      <c r="F3295" t="s">
        <v>19</v>
      </c>
      <c r="G3295" t="s">
        <v>20</v>
      </c>
      <c r="J3295" t="s">
        <v>17</v>
      </c>
      <c r="K3295" t="str">
        <f>"6925871670500"</f>
        <v>6925871670500</v>
      </c>
      <c r="L3295" t="str">
        <f>"22527050"</f>
        <v>22527050</v>
      </c>
      <c r="M3295" t="s">
        <v>21</v>
      </c>
      <c r="N3295" s="1">
        <v>44370.693055555559</v>
      </c>
      <c r="O3295" t="s">
        <v>19</v>
      </c>
    </row>
    <row r="3296" spans="1:15" x14ac:dyDescent="0.25">
      <c r="A3296" t="s">
        <v>2694</v>
      </c>
      <c r="B3296" t="s">
        <v>15</v>
      </c>
      <c r="C3296" t="s">
        <v>37</v>
      </c>
      <c r="D3296" t="s">
        <v>17</v>
      </c>
      <c r="E3296" t="s">
        <v>18</v>
      </c>
      <c r="F3296" t="s">
        <v>19</v>
      </c>
      <c r="G3296" t="s">
        <v>20</v>
      </c>
      <c r="J3296" t="s">
        <v>17</v>
      </c>
      <c r="K3296" t="str">
        <f>"6925871676359"</f>
        <v>6925871676359</v>
      </c>
      <c r="L3296" t="str">
        <f>"22527635"</f>
        <v>22527635</v>
      </c>
      <c r="M3296" t="s">
        <v>21</v>
      </c>
      <c r="N3296" s="1">
        <v>44370.69027777778</v>
      </c>
      <c r="O3296" t="s">
        <v>19</v>
      </c>
    </row>
    <row r="3297" spans="1:15" x14ac:dyDescent="0.25">
      <c r="A3297" t="s">
        <v>2695</v>
      </c>
      <c r="B3297" t="s">
        <v>15</v>
      </c>
      <c r="C3297" t="s">
        <v>37</v>
      </c>
      <c r="D3297" t="s">
        <v>17</v>
      </c>
      <c r="E3297" t="s">
        <v>18</v>
      </c>
      <c r="F3297" t="s">
        <v>19</v>
      </c>
      <c r="G3297" t="s">
        <v>20</v>
      </c>
      <c r="J3297" t="s">
        <v>17</v>
      </c>
      <c r="K3297" t="str">
        <f>"10003028"</f>
        <v>10003028</v>
      </c>
      <c r="L3297" t="str">
        <f>"10003028"</f>
        <v>10003028</v>
      </c>
      <c r="M3297" t="s">
        <v>21</v>
      </c>
      <c r="N3297" s="1">
        <v>43788.885416666664</v>
      </c>
      <c r="O3297" t="s">
        <v>19</v>
      </c>
    </row>
    <row r="3298" spans="1:15" x14ac:dyDescent="0.25">
      <c r="A3298" t="s">
        <v>2696</v>
      </c>
      <c r="B3298" t="s">
        <v>15</v>
      </c>
      <c r="C3298" t="s">
        <v>2472</v>
      </c>
      <c r="D3298" t="s">
        <v>17</v>
      </c>
      <c r="E3298" t="s">
        <v>18</v>
      </c>
      <c r="F3298" t="s">
        <v>19</v>
      </c>
      <c r="G3298" t="s">
        <v>20</v>
      </c>
      <c r="J3298" t="s">
        <v>17</v>
      </c>
      <c r="K3298" t="str">
        <f>"10003372"</f>
        <v>10003372</v>
      </c>
      <c r="L3298" t="str">
        <f>"10003372"</f>
        <v>10003372</v>
      </c>
      <c r="M3298" t="s">
        <v>84</v>
      </c>
      <c r="N3298" s="1">
        <v>43377.72152777778</v>
      </c>
      <c r="O3298" t="s">
        <v>19</v>
      </c>
    </row>
    <row r="3299" spans="1:15" x14ac:dyDescent="0.25">
      <c r="A3299" t="s">
        <v>2697</v>
      </c>
      <c r="B3299" t="s">
        <v>15</v>
      </c>
      <c r="C3299" t="s">
        <v>2472</v>
      </c>
      <c r="D3299" t="s">
        <v>17</v>
      </c>
      <c r="E3299" t="s">
        <v>18</v>
      </c>
      <c r="F3299" t="s">
        <v>19</v>
      </c>
      <c r="G3299" t="s">
        <v>20</v>
      </c>
      <c r="J3299" t="s">
        <v>17</v>
      </c>
      <c r="K3299" t="str">
        <f>"10001411"</f>
        <v>10001411</v>
      </c>
      <c r="L3299" t="str">
        <f>"10001411"</f>
        <v>10001411</v>
      </c>
      <c r="M3299" t="s">
        <v>84</v>
      </c>
      <c r="N3299" s="1">
        <v>43377.720833333333</v>
      </c>
      <c r="O3299" t="s">
        <v>19</v>
      </c>
    </row>
    <row r="3300" spans="1:15" x14ac:dyDescent="0.25">
      <c r="A3300" t="s">
        <v>2698</v>
      </c>
      <c r="B3300" t="s">
        <v>15</v>
      </c>
      <c r="C3300" t="s">
        <v>2472</v>
      </c>
      <c r="D3300" t="s">
        <v>17</v>
      </c>
      <c r="E3300" t="s">
        <v>18</v>
      </c>
      <c r="F3300" t="s">
        <v>19</v>
      </c>
      <c r="G3300" t="s">
        <v>20</v>
      </c>
      <c r="J3300" t="s">
        <v>17</v>
      </c>
      <c r="K3300" t="str">
        <f>"10001503"</f>
        <v>10001503</v>
      </c>
      <c r="L3300" t="str">
        <f>"10001503"</f>
        <v>10001503</v>
      </c>
      <c r="M3300" t="s">
        <v>84</v>
      </c>
      <c r="N3300" s="1">
        <v>43377.722222222219</v>
      </c>
      <c r="O3300" t="s">
        <v>19</v>
      </c>
    </row>
    <row r="3301" spans="1:15" x14ac:dyDescent="0.25">
      <c r="A3301" t="s">
        <v>2699</v>
      </c>
      <c r="B3301" t="s">
        <v>15</v>
      </c>
      <c r="C3301" t="s">
        <v>37</v>
      </c>
      <c r="D3301" t="s">
        <v>17</v>
      </c>
      <c r="E3301" t="s">
        <v>18</v>
      </c>
      <c r="F3301" t="s">
        <v>19</v>
      </c>
      <c r="G3301" t="s">
        <v>20</v>
      </c>
      <c r="J3301" t="s">
        <v>17</v>
      </c>
      <c r="K3301" t="str">
        <f>"7858816053658"</f>
        <v>7858816053658</v>
      </c>
      <c r="L3301" t="str">
        <f>"87525365"</f>
        <v>87525365</v>
      </c>
      <c r="M3301" t="s">
        <v>84</v>
      </c>
      <c r="N3301" s="1">
        <v>43495.65</v>
      </c>
      <c r="O3301" t="s">
        <v>19</v>
      </c>
    </row>
    <row r="3302" spans="1:15" x14ac:dyDescent="0.25">
      <c r="A3302" t="s">
        <v>2700</v>
      </c>
      <c r="B3302" t="s">
        <v>15</v>
      </c>
      <c r="C3302" t="s">
        <v>221</v>
      </c>
      <c r="D3302" t="s">
        <v>17</v>
      </c>
      <c r="E3302" t="s">
        <v>18</v>
      </c>
      <c r="F3302" t="s">
        <v>19</v>
      </c>
      <c r="G3302" t="s">
        <v>20</v>
      </c>
      <c r="J3302" t="s">
        <v>17</v>
      </c>
      <c r="K3302" t="str">
        <f>"41130009"</f>
        <v>41130009</v>
      </c>
      <c r="L3302" t="str">
        <f>"41130009"</f>
        <v>41130009</v>
      </c>
      <c r="M3302" t="s">
        <v>75</v>
      </c>
      <c r="N3302" s="1">
        <v>42872.839583333334</v>
      </c>
      <c r="O3302" t="s">
        <v>19</v>
      </c>
    </row>
    <row r="3303" spans="1:15" x14ac:dyDescent="0.25">
      <c r="A3303" t="s">
        <v>2701</v>
      </c>
      <c r="B3303" t="s">
        <v>15</v>
      </c>
      <c r="C3303" t="s">
        <v>221</v>
      </c>
      <c r="D3303" t="s">
        <v>17</v>
      </c>
      <c r="E3303" t="s">
        <v>18</v>
      </c>
      <c r="F3303" t="s">
        <v>19</v>
      </c>
      <c r="G3303" t="s">
        <v>20</v>
      </c>
      <c r="J3303" t="s">
        <v>17</v>
      </c>
      <c r="K3303" t="str">
        <f>"303009611"</f>
        <v>303009611</v>
      </c>
      <c r="L3303" t="str">
        <f>"303009611"</f>
        <v>303009611</v>
      </c>
      <c r="M3303" t="s">
        <v>75</v>
      </c>
      <c r="N3303" s="1">
        <v>42872.849305555559</v>
      </c>
      <c r="O3303" t="s">
        <v>19</v>
      </c>
    </row>
    <row r="3304" spans="1:15" x14ac:dyDescent="0.25">
      <c r="A3304" t="s">
        <v>2702</v>
      </c>
      <c r="B3304" t="s">
        <v>15</v>
      </c>
      <c r="C3304" t="s">
        <v>2481</v>
      </c>
      <c r="D3304" t="s">
        <v>17</v>
      </c>
      <c r="E3304" t="s">
        <v>18</v>
      </c>
      <c r="F3304" t="s">
        <v>19</v>
      </c>
      <c r="G3304" t="s">
        <v>20</v>
      </c>
      <c r="J3304" t="s">
        <v>17</v>
      </c>
      <c r="K3304" t="str">
        <f>"10389425"</f>
        <v>10389425</v>
      </c>
      <c r="L3304" t="str">
        <f>"10389425"</f>
        <v>10389425</v>
      </c>
      <c r="M3304" t="s">
        <v>75</v>
      </c>
      <c r="N3304" s="1">
        <v>42924.663888888892</v>
      </c>
      <c r="O3304" t="s">
        <v>19</v>
      </c>
    </row>
    <row r="3305" spans="1:15" x14ac:dyDescent="0.25">
      <c r="A3305" t="s">
        <v>2703</v>
      </c>
      <c r="B3305" t="s">
        <v>15</v>
      </c>
      <c r="C3305" t="s">
        <v>221</v>
      </c>
      <c r="D3305" t="s">
        <v>17</v>
      </c>
      <c r="E3305" t="s">
        <v>18</v>
      </c>
      <c r="F3305" t="s">
        <v>19</v>
      </c>
      <c r="G3305" t="s">
        <v>20</v>
      </c>
      <c r="J3305" t="s">
        <v>17</v>
      </c>
      <c r="K3305" t="str">
        <f>"17350714"</f>
        <v>17350714</v>
      </c>
      <c r="L3305" t="str">
        <f>"17350714"</f>
        <v>17350714</v>
      </c>
      <c r="M3305" t="s">
        <v>75</v>
      </c>
      <c r="N3305" s="1">
        <v>42872.839583333334</v>
      </c>
      <c r="O3305" t="s">
        <v>19</v>
      </c>
    </row>
    <row r="3306" spans="1:15" x14ac:dyDescent="0.25">
      <c r="A3306" t="s">
        <v>2704</v>
      </c>
      <c r="B3306" t="s">
        <v>15</v>
      </c>
      <c r="C3306" t="s">
        <v>221</v>
      </c>
      <c r="D3306" t="s">
        <v>17</v>
      </c>
      <c r="E3306" t="s">
        <v>18</v>
      </c>
      <c r="F3306" t="s">
        <v>19</v>
      </c>
      <c r="G3306" t="s">
        <v>20</v>
      </c>
      <c r="J3306" t="s">
        <v>17</v>
      </c>
      <c r="K3306" t="str">
        <f>"25033525"</f>
        <v>25033525</v>
      </c>
      <c r="L3306" t="str">
        <f>"25033525"</f>
        <v>25033525</v>
      </c>
      <c r="M3306" t="s">
        <v>75</v>
      </c>
      <c r="N3306" s="1">
        <v>42872.839583333334</v>
      </c>
      <c r="O3306" t="s">
        <v>19</v>
      </c>
    </row>
    <row r="3307" spans="1:15" x14ac:dyDescent="0.25">
      <c r="A3307" t="s">
        <v>2705</v>
      </c>
      <c r="B3307" t="s">
        <v>15</v>
      </c>
      <c r="C3307" t="s">
        <v>221</v>
      </c>
      <c r="D3307" t="s">
        <v>17</v>
      </c>
      <c r="E3307" t="s">
        <v>18</v>
      </c>
      <c r="F3307" t="s">
        <v>19</v>
      </c>
      <c r="G3307" t="s">
        <v>20</v>
      </c>
      <c r="J3307" t="s">
        <v>17</v>
      </c>
      <c r="K3307" t="str">
        <f>"25033425"</f>
        <v>25033425</v>
      </c>
      <c r="L3307" t="str">
        <f>"25033425"</f>
        <v>25033425</v>
      </c>
      <c r="M3307" t="s">
        <v>75</v>
      </c>
      <c r="N3307" s="1">
        <v>42872.839583333334</v>
      </c>
      <c r="O3307" t="s">
        <v>19</v>
      </c>
    </row>
    <row r="3308" spans="1:15" x14ac:dyDescent="0.25">
      <c r="A3308" t="s">
        <v>2706</v>
      </c>
      <c r="B3308" t="s">
        <v>15</v>
      </c>
      <c r="C3308" t="s">
        <v>221</v>
      </c>
      <c r="D3308" t="s">
        <v>17</v>
      </c>
      <c r="E3308" t="s">
        <v>18</v>
      </c>
      <c r="F3308" t="s">
        <v>19</v>
      </c>
      <c r="G3308" t="s">
        <v>20</v>
      </c>
      <c r="J3308" t="s">
        <v>17</v>
      </c>
      <c r="K3308" t="str">
        <f>"86351445"</f>
        <v>86351445</v>
      </c>
      <c r="L3308" t="str">
        <f>"86351445"</f>
        <v>86351445</v>
      </c>
      <c r="M3308" t="s">
        <v>75</v>
      </c>
      <c r="N3308" s="1">
        <v>42872.847222222219</v>
      </c>
      <c r="O3308" t="s">
        <v>19</v>
      </c>
    </row>
    <row r="3309" spans="1:15" x14ac:dyDescent="0.25">
      <c r="A3309" t="s">
        <v>2707</v>
      </c>
      <c r="B3309" t="s">
        <v>15</v>
      </c>
      <c r="C3309" t="s">
        <v>221</v>
      </c>
      <c r="D3309" t="s">
        <v>17</v>
      </c>
      <c r="E3309" t="s">
        <v>18</v>
      </c>
      <c r="F3309" t="s">
        <v>19</v>
      </c>
      <c r="G3309" t="s">
        <v>20</v>
      </c>
      <c r="J3309" t="s">
        <v>17</v>
      </c>
      <c r="K3309" t="str">
        <f>"86351400"</f>
        <v>86351400</v>
      </c>
      <c r="L3309" t="str">
        <f>"86351400"</f>
        <v>86351400</v>
      </c>
      <c r="M3309" t="s">
        <v>75</v>
      </c>
      <c r="N3309" s="1">
        <v>42872.847222222219</v>
      </c>
      <c r="O3309" t="s">
        <v>19</v>
      </c>
    </row>
    <row r="3310" spans="1:15" x14ac:dyDescent="0.25">
      <c r="A3310" t="s">
        <v>2708</v>
      </c>
      <c r="B3310" t="s">
        <v>15</v>
      </c>
      <c r="C3310" t="s">
        <v>221</v>
      </c>
      <c r="D3310" t="s">
        <v>17</v>
      </c>
      <c r="E3310" t="s">
        <v>18</v>
      </c>
      <c r="F3310" t="s">
        <v>19</v>
      </c>
      <c r="G3310" t="s">
        <v>20</v>
      </c>
      <c r="J3310" t="s">
        <v>17</v>
      </c>
      <c r="K3310" t="str">
        <f>"6922309819906"</f>
        <v>6922309819906</v>
      </c>
      <c r="L3310" t="str">
        <f>"76351408"</f>
        <v>76351408</v>
      </c>
      <c r="M3310" t="s">
        <v>75</v>
      </c>
      <c r="N3310" s="1">
        <v>42872.847222222219</v>
      </c>
      <c r="O3310" t="s">
        <v>19</v>
      </c>
    </row>
    <row r="3311" spans="1:15" x14ac:dyDescent="0.25">
      <c r="A3311" t="s">
        <v>2709</v>
      </c>
      <c r="B3311" t="s">
        <v>15</v>
      </c>
      <c r="C3311" t="s">
        <v>221</v>
      </c>
      <c r="D3311" t="s">
        <v>17</v>
      </c>
      <c r="E3311" t="s">
        <v>18</v>
      </c>
      <c r="F3311" t="s">
        <v>19</v>
      </c>
      <c r="G3311" t="s">
        <v>20</v>
      </c>
      <c r="J3311" t="s">
        <v>17</v>
      </c>
      <c r="K3311" t="str">
        <f>"46351400"</f>
        <v>46351400</v>
      </c>
      <c r="L3311" t="str">
        <f>"46351400"</f>
        <v>46351400</v>
      </c>
      <c r="M3311" t="s">
        <v>75</v>
      </c>
      <c r="N3311" s="1">
        <v>42872.839583333334</v>
      </c>
      <c r="O3311" t="s">
        <v>19</v>
      </c>
    </row>
    <row r="3312" spans="1:15" x14ac:dyDescent="0.25">
      <c r="A3312" t="s">
        <v>2710</v>
      </c>
      <c r="B3312" t="s">
        <v>15</v>
      </c>
      <c r="C3312" t="s">
        <v>221</v>
      </c>
      <c r="D3312" t="s">
        <v>17</v>
      </c>
      <c r="E3312" t="s">
        <v>18</v>
      </c>
      <c r="F3312" t="s">
        <v>19</v>
      </c>
      <c r="G3312" t="s">
        <v>20</v>
      </c>
      <c r="J3312" t="s">
        <v>17</v>
      </c>
      <c r="K3312" t="str">
        <f>"34351408"</f>
        <v>34351408</v>
      </c>
      <c r="L3312" t="str">
        <f>"34351408"</f>
        <v>34351408</v>
      </c>
      <c r="M3312" t="s">
        <v>75</v>
      </c>
      <c r="N3312" s="1">
        <v>42872.839583333334</v>
      </c>
      <c r="O3312" t="s">
        <v>19</v>
      </c>
    </row>
    <row r="3313" spans="1:15" x14ac:dyDescent="0.25">
      <c r="A3313" t="s">
        <v>2711</v>
      </c>
      <c r="B3313" t="s">
        <v>15</v>
      </c>
      <c r="C3313" t="s">
        <v>221</v>
      </c>
      <c r="D3313" t="s">
        <v>17</v>
      </c>
      <c r="E3313" t="s">
        <v>18</v>
      </c>
      <c r="F3313" t="s">
        <v>19</v>
      </c>
      <c r="G3313" t="s">
        <v>20</v>
      </c>
      <c r="J3313" t="s">
        <v>17</v>
      </c>
      <c r="K3313" t="str">
        <f>"6930481583553"</f>
        <v>6930481583553</v>
      </c>
      <c r="L3313" t="str">
        <f>"110346011"</f>
        <v>110346011</v>
      </c>
      <c r="M3313" t="s">
        <v>75</v>
      </c>
      <c r="N3313" s="1">
        <v>42872.847222222219</v>
      </c>
      <c r="O3313" t="s">
        <v>19</v>
      </c>
    </row>
    <row r="3314" spans="1:15" x14ac:dyDescent="0.25">
      <c r="A3314" t="s">
        <v>2712</v>
      </c>
      <c r="B3314" t="s">
        <v>15</v>
      </c>
      <c r="C3314" t="s">
        <v>221</v>
      </c>
      <c r="D3314" t="s">
        <v>17</v>
      </c>
      <c r="E3314" t="s">
        <v>18</v>
      </c>
      <c r="F3314" t="s">
        <v>19</v>
      </c>
      <c r="G3314" t="s">
        <v>20</v>
      </c>
      <c r="J3314" t="s">
        <v>17</v>
      </c>
      <c r="K3314" t="str">
        <f>"6952120100068"</f>
        <v>6952120100068</v>
      </c>
      <c r="L3314" t="str">
        <f>"10352009"</f>
        <v>10352009</v>
      </c>
      <c r="M3314" t="s">
        <v>75</v>
      </c>
      <c r="N3314" s="1">
        <v>42908.692361111112</v>
      </c>
      <c r="O3314" t="s">
        <v>19</v>
      </c>
    </row>
    <row r="3315" spans="1:15" x14ac:dyDescent="0.25">
      <c r="A3315" t="s">
        <v>2713</v>
      </c>
      <c r="B3315" t="s">
        <v>15</v>
      </c>
      <c r="C3315" t="s">
        <v>30</v>
      </c>
      <c r="D3315" t="s">
        <v>17</v>
      </c>
      <c r="E3315" t="s">
        <v>18</v>
      </c>
      <c r="F3315" t="s">
        <v>19</v>
      </c>
      <c r="G3315" t="s">
        <v>20</v>
      </c>
      <c r="J3315" t="s">
        <v>17</v>
      </c>
      <c r="K3315" t="str">
        <f>"4121840635248"</f>
        <v>4121840635248</v>
      </c>
      <c r="L3315" t="str">
        <f>"10742192"</f>
        <v>10742192</v>
      </c>
      <c r="M3315" t="s">
        <v>75</v>
      </c>
      <c r="N3315" s="1">
        <v>43084.856249999997</v>
      </c>
      <c r="O3315" t="s">
        <v>19</v>
      </c>
    </row>
    <row r="3316" spans="1:15" x14ac:dyDescent="0.25">
      <c r="A3316" t="s">
        <v>2714</v>
      </c>
      <c r="B3316" t="s">
        <v>15</v>
      </c>
      <c r="C3316" t="s">
        <v>30</v>
      </c>
      <c r="D3316" t="s">
        <v>17</v>
      </c>
      <c r="E3316" t="s">
        <v>18</v>
      </c>
      <c r="F3316" t="s">
        <v>19</v>
      </c>
      <c r="G3316" t="s">
        <v>20</v>
      </c>
      <c r="J3316" t="s">
        <v>17</v>
      </c>
      <c r="K3316" t="str">
        <f>"7804625561167"</f>
        <v>7804625561167</v>
      </c>
      <c r="L3316" t="str">
        <f>"42060100"</f>
        <v>42060100</v>
      </c>
      <c r="M3316" t="s">
        <v>75</v>
      </c>
      <c r="N3316" s="1">
        <v>43011.865277777775</v>
      </c>
      <c r="O3316" t="s">
        <v>19</v>
      </c>
    </row>
    <row r="3317" spans="1:15" x14ac:dyDescent="0.25">
      <c r="A3317" t="s">
        <v>2715</v>
      </c>
      <c r="B3317" t="s">
        <v>15</v>
      </c>
      <c r="C3317" t="s">
        <v>30</v>
      </c>
      <c r="D3317" t="s">
        <v>17</v>
      </c>
      <c r="E3317" t="s">
        <v>18</v>
      </c>
      <c r="F3317" t="s">
        <v>19</v>
      </c>
      <c r="G3317" t="s">
        <v>20</v>
      </c>
      <c r="J3317" t="s">
        <v>17</v>
      </c>
      <c r="K3317" t="str">
        <f>"7804625561174"</f>
        <v>7804625561174</v>
      </c>
      <c r="L3317" t="str">
        <f>"42060090"</f>
        <v>42060090</v>
      </c>
      <c r="M3317" t="s">
        <v>75</v>
      </c>
      <c r="N3317" s="1">
        <v>43011.865972222222</v>
      </c>
      <c r="O3317" t="s">
        <v>19</v>
      </c>
    </row>
    <row r="3318" spans="1:15" x14ac:dyDescent="0.25">
      <c r="A3318" t="s">
        <v>2716</v>
      </c>
      <c r="B3318" t="s">
        <v>15</v>
      </c>
      <c r="C3318" t="s">
        <v>30</v>
      </c>
      <c r="D3318" t="s">
        <v>17</v>
      </c>
      <c r="E3318" t="s">
        <v>18</v>
      </c>
      <c r="F3318" t="s">
        <v>19</v>
      </c>
      <c r="G3318" t="s">
        <v>20</v>
      </c>
      <c r="J3318" t="s">
        <v>17</v>
      </c>
      <c r="K3318" t="str">
        <f>"816479013591"</f>
        <v>816479013591</v>
      </c>
      <c r="L3318" t="str">
        <f>"98060115"</f>
        <v>98060115</v>
      </c>
      <c r="M3318" t="s">
        <v>75</v>
      </c>
      <c r="N3318" s="1">
        <v>43236.679166666669</v>
      </c>
      <c r="O3318" t="s">
        <v>19</v>
      </c>
    </row>
    <row r="3319" spans="1:15" x14ac:dyDescent="0.25">
      <c r="A3319" t="s">
        <v>2717</v>
      </c>
      <c r="B3319" t="s">
        <v>15</v>
      </c>
      <c r="C3319" t="s">
        <v>221</v>
      </c>
      <c r="D3319" t="s">
        <v>17</v>
      </c>
      <c r="E3319" t="s">
        <v>18</v>
      </c>
      <c r="F3319" t="s">
        <v>19</v>
      </c>
      <c r="G3319" t="s">
        <v>20</v>
      </c>
      <c r="J3319" t="s">
        <v>17</v>
      </c>
      <c r="K3319" t="str">
        <f>"609585244696"</f>
        <v>609585244696</v>
      </c>
      <c r="L3319" t="str">
        <f>"25351200"</f>
        <v>25351200</v>
      </c>
      <c r="M3319" t="s">
        <v>75</v>
      </c>
      <c r="N3319" s="1">
        <v>42872.839583333334</v>
      </c>
      <c r="O3319" t="s">
        <v>19</v>
      </c>
    </row>
    <row r="3320" spans="1:15" x14ac:dyDescent="0.25">
      <c r="A3320" t="s">
        <v>2718</v>
      </c>
      <c r="B3320" t="s">
        <v>15</v>
      </c>
      <c r="C3320" t="s">
        <v>30</v>
      </c>
      <c r="D3320" t="s">
        <v>17</v>
      </c>
      <c r="E3320" t="s">
        <v>18</v>
      </c>
      <c r="F3320" t="s">
        <v>19</v>
      </c>
      <c r="G3320" t="s">
        <v>20</v>
      </c>
      <c r="J3320" t="s">
        <v>17</v>
      </c>
      <c r="K3320" t="str">
        <f>"7858816038150"</f>
        <v>7858816038150</v>
      </c>
      <c r="L3320" t="str">
        <f>"87063815"</f>
        <v>87063815</v>
      </c>
      <c r="M3320" t="s">
        <v>75</v>
      </c>
      <c r="N3320" s="1">
        <v>43146.84097222222</v>
      </c>
      <c r="O3320" t="s">
        <v>19</v>
      </c>
    </row>
    <row r="3321" spans="1:15" x14ac:dyDescent="0.25">
      <c r="A3321" t="s">
        <v>2719</v>
      </c>
      <c r="B3321" t="s">
        <v>15</v>
      </c>
      <c r="C3321" t="s">
        <v>30</v>
      </c>
      <c r="D3321" t="s">
        <v>17</v>
      </c>
      <c r="E3321" t="s">
        <v>18</v>
      </c>
      <c r="F3321" t="s">
        <v>19</v>
      </c>
      <c r="G3321" t="s">
        <v>20</v>
      </c>
      <c r="J3321" t="s">
        <v>17</v>
      </c>
      <c r="K3321" t="str">
        <f>"7858816019135"</f>
        <v>7858816019135</v>
      </c>
      <c r="L3321" t="str">
        <f>"87061913"</f>
        <v>87061913</v>
      </c>
      <c r="M3321" t="s">
        <v>75</v>
      </c>
      <c r="N3321" s="1">
        <v>43146.843055555553</v>
      </c>
      <c r="O3321" t="s">
        <v>19</v>
      </c>
    </row>
    <row r="3322" spans="1:15" x14ac:dyDescent="0.25">
      <c r="A3322" t="s">
        <v>2720</v>
      </c>
      <c r="B3322" t="s">
        <v>15</v>
      </c>
      <c r="C3322" t="s">
        <v>221</v>
      </c>
      <c r="D3322" t="s">
        <v>17</v>
      </c>
      <c r="E3322" t="s">
        <v>18</v>
      </c>
      <c r="F3322" t="s">
        <v>19</v>
      </c>
      <c r="G3322" t="s">
        <v>20</v>
      </c>
      <c r="J3322" t="s">
        <v>17</v>
      </c>
      <c r="K3322" t="str">
        <f>"34030000"</f>
        <v>34030000</v>
      </c>
      <c r="L3322" t="str">
        <f>"34030000"</f>
        <v>34030000</v>
      </c>
      <c r="M3322" t="s">
        <v>75</v>
      </c>
      <c r="N3322" s="1">
        <v>42872.839583333334</v>
      </c>
      <c r="O3322" t="s">
        <v>19</v>
      </c>
    </row>
    <row r="3323" spans="1:15" x14ac:dyDescent="0.25">
      <c r="A3323" t="s">
        <v>2721</v>
      </c>
      <c r="B3323" t="s">
        <v>15</v>
      </c>
      <c r="C3323" t="s">
        <v>221</v>
      </c>
      <c r="D3323" t="s">
        <v>17</v>
      </c>
      <c r="E3323" t="s">
        <v>18</v>
      </c>
      <c r="F3323" t="s">
        <v>19</v>
      </c>
      <c r="G3323" t="s">
        <v>20</v>
      </c>
      <c r="J3323" t="s">
        <v>17</v>
      </c>
      <c r="K3323" t="str">
        <f>"6925871615563"</f>
        <v>6925871615563</v>
      </c>
      <c r="L3323" t="str">
        <f>"22351556"</f>
        <v>22351556</v>
      </c>
      <c r="M3323" t="s">
        <v>75</v>
      </c>
      <c r="N3323" s="1">
        <v>43146.636111111111</v>
      </c>
      <c r="O3323" t="s">
        <v>19</v>
      </c>
    </row>
    <row r="3324" spans="1:15" x14ac:dyDescent="0.25">
      <c r="A3324" t="s">
        <v>2722</v>
      </c>
      <c r="B3324" t="s">
        <v>15</v>
      </c>
      <c r="C3324" t="s">
        <v>221</v>
      </c>
      <c r="D3324" t="s">
        <v>17</v>
      </c>
      <c r="E3324" t="s">
        <v>18</v>
      </c>
      <c r="F3324" t="s">
        <v>19</v>
      </c>
      <c r="G3324" t="s">
        <v>20</v>
      </c>
      <c r="J3324" t="s">
        <v>17</v>
      </c>
      <c r="K3324" t="str">
        <f>"8469201311018"</f>
        <v>8469201311018</v>
      </c>
      <c r="L3324" t="str">
        <f>"86350700"</f>
        <v>86350700</v>
      </c>
      <c r="M3324" t="s">
        <v>84</v>
      </c>
      <c r="N3324" s="1">
        <v>43260.675000000003</v>
      </c>
      <c r="O3324" t="s">
        <v>19</v>
      </c>
    </row>
    <row r="3325" spans="1:15" x14ac:dyDescent="0.25">
      <c r="A3325" t="s">
        <v>2723</v>
      </c>
      <c r="B3325" t="s">
        <v>15</v>
      </c>
      <c r="C3325" t="s">
        <v>221</v>
      </c>
      <c r="D3325" t="s">
        <v>17</v>
      </c>
      <c r="E3325" t="s">
        <v>18</v>
      </c>
      <c r="F3325" t="s">
        <v>19</v>
      </c>
      <c r="G3325" t="s">
        <v>20</v>
      </c>
      <c r="J3325" t="s">
        <v>17</v>
      </c>
      <c r="K3325" t="str">
        <f>"34350716"</f>
        <v>34350716</v>
      </c>
      <c r="L3325" t="str">
        <f>"34350716"</f>
        <v>34350716</v>
      </c>
      <c r="M3325" t="s">
        <v>75</v>
      </c>
      <c r="N3325" s="1">
        <v>43237.881249999999</v>
      </c>
      <c r="O3325" t="s">
        <v>19</v>
      </c>
    </row>
    <row r="3326" spans="1:15" x14ac:dyDescent="0.25">
      <c r="A3326" t="s">
        <v>2724</v>
      </c>
      <c r="B3326" t="s">
        <v>15</v>
      </c>
      <c r="C3326" t="s">
        <v>225</v>
      </c>
      <c r="D3326" t="s">
        <v>17</v>
      </c>
      <c r="E3326" t="s">
        <v>18</v>
      </c>
      <c r="F3326" t="s">
        <v>19</v>
      </c>
      <c r="G3326" t="s">
        <v>20</v>
      </c>
      <c r="J3326" t="s">
        <v>17</v>
      </c>
      <c r="K3326" t="str">
        <f>"25353500"</f>
        <v>25353500</v>
      </c>
      <c r="L3326" t="str">
        <f>"25353500"</f>
        <v>25353500</v>
      </c>
      <c r="M3326" t="s">
        <v>75</v>
      </c>
      <c r="N3326" s="1">
        <v>42985.847916666666</v>
      </c>
      <c r="O3326" t="s">
        <v>19</v>
      </c>
    </row>
    <row r="3327" spans="1:15" x14ac:dyDescent="0.25">
      <c r="A3327" t="s">
        <v>2725</v>
      </c>
      <c r="B3327" t="s">
        <v>15</v>
      </c>
      <c r="C3327" t="s">
        <v>221</v>
      </c>
      <c r="D3327" t="s">
        <v>17</v>
      </c>
      <c r="E3327" t="s">
        <v>18</v>
      </c>
      <c r="F3327" t="s">
        <v>19</v>
      </c>
      <c r="G3327" t="s">
        <v>20</v>
      </c>
      <c r="J3327" t="s">
        <v>17</v>
      </c>
      <c r="K3327" t="str">
        <f>"8669885018832"</f>
        <v>8669885018832</v>
      </c>
      <c r="L3327" t="str">
        <f>"66350750"</f>
        <v>66350750</v>
      </c>
      <c r="M3327" t="s">
        <v>75</v>
      </c>
      <c r="N3327" s="1">
        <v>43033.727777777778</v>
      </c>
      <c r="O3327" t="s">
        <v>19</v>
      </c>
    </row>
    <row r="3328" spans="1:15" x14ac:dyDescent="0.25">
      <c r="A3328" t="s">
        <v>2726</v>
      </c>
      <c r="B3328" t="s">
        <v>15</v>
      </c>
      <c r="C3328" t="s">
        <v>221</v>
      </c>
      <c r="D3328" t="s">
        <v>17</v>
      </c>
      <c r="E3328" t="s">
        <v>18</v>
      </c>
      <c r="F3328" t="s">
        <v>19</v>
      </c>
      <c r="G3328" t="s">
        <v>20</v>
      </c>
      <c r="J3328" t="s">
        <v>17</v>
      </c>
      <c r="K3328" t="str">
        <f>"11003194"</f>
        <v>11003194</v>
      </c>
      <c r="L3328" t="str">
        <f>"11003194"</f>
        <v>11003194</v>
      </c>
      <c r="M3328" t="s">
        <v>75</v>
      </c>
      <c r="N3328" s="1">
        <v>42872.839583333334</v>
      </c>
      <c r="O3328" t="s">
        <v>19</v>
      </c>
    </row>
    <row r="3329" spans="1:15" x14ac:dyDescent="0.25">
      <c r="A3329" t="s">
        <v>2727</v>
      </c>
      <c r="B3329" t="s">
        <v>15</v>
      </c>
      <c r="C3329" t="s">
        <v>221</v>
      </c>
      <c r="D3329" t="s">
        <v>17</v>
      </c>
      <c r="E3329" t="s">
        <v>18</v>
      </c>
      <c r="F3329" t="s">
        <v>19</v>
      </c>
      <c r="G3329" t="s">
        <v>20</v>
      </c>
      <c r="J3329" t="s">
        <v>17</v>
      </c>
      <c r="K3329" t="str">
        <f>"33355142"</f>
        <v>33355142</v>
      </c>
      <c r="L3329" t="str">
        <f>"33355142"</f>
        <v>33355142</v>
      </c>
      <c r="M3329" t="s">
        <v>75</v>
      </c>
      <c r="N3329" s="1">
        <v>43131.676388888889</v>
      </c>
      <c r="O3329" t="s">
        <v>19</v>
      </c>
    </row>
    <row r="3330" spans="1:15" x14ac:dyDescent="0.25">
      <c r="A3330" t="s">
        <v>2728</v>
      </c>
      <c r="B3330" t="s">
        <v>15</v>
      </c>
      <c r="C3330" t="s">
        <v>221</v>
      </c>
      <c r="D3330" t="s">
        <v>17</v>
      </c>
      <c r="E3330" t="s">
        <v>18</v>
      </c>
      <c r="F3330" t="s">
        <v>19</v>
      </c>
      <c r="G3330" t="s">
        <v>20</v>
      </c>
      <c r="J3330" t="s">
        <v>17</v>
      </c>
      <c r="K3330" t="str">
        <f>"303508138"</f>
        <v>303508138</v>
      </c>
      <c r="L3330" t="str">
        <f>"303508138"</f>
        <v>303508138</v>
      </c>
      <c r="M3330" t="s">
        <v>75</v>
      </c>
      <c r="N3330" s="1">
        <v>42872.849305555559</v>
      </c>
      <c r="O3330" t="s">
        <v>19</v>
      </c>
    </row>
    <row r="3331" spans="1:15" x14ac:dyDescent="0.25">
      <c r="A3331" t="s">
        <v>2729</v>
      </c>
      <c r="B3331" t="s">
        <v>15</v>
      </c>
      <c r="C3331" t="s">
        <v>221</v>
      </c>
      <c r="D3331" t="s">
        <v>17</v>
      </c>
      <c r="E3331" t="s">
        <v>18</v>
      </c>
      <c r="F3331" t="s">
        <v>19</v>
      </c>
      <c r="G3331" t="s">
        <v>20</v>
      </c>
      <c r="J3331" t="s">
        <v>17</v>
      </c>
      <c r="K3331" t="str">
        <f>"50351445"</f>
        <v>50351445</v>
      </c>
      <c r="L3331" t="str">
        <f>"50351445"</f>
        <v>50351445</v>
      </c>
      <c r="M3331" t="s">
        <v>75</v>
      </c>
      <c r="N3331" s="1">
        <v>42872.839583333334</v>
      </c>
      <c r="O3331" t="s">
        <v>19</v>
      </c>
    </row>
    <row r="3332" spans="1:15" x14ac:dyDescent="0.25">
      <c r="A3332" t="s">
        <v>2730</v>
      </c>
      <c r="B3332" t="s">
        <v>15</v>
      </c>
      <c r="C3332" t="s">
        <v>221</v>
      </c>
      <c r="D3332" t="s">
        <v>17</v>
      </c>
      <c r="E3332" t="s">
        <v>18</v>
      </c>
      <c r="F3332" t="s">
        <v>19</v>
      </c>
      <c r="G3332" t="s">
        <v>20</v>
      </c>
      <c r="J3332" t="s">
        <v>17</v>
      </c>
      <c r="K3332" t="str">
        <f>"303007784"</f>
        <v>303007784</v>
      </c>
      <c r="L3332" t="str">
        <f>"303007784"</f>
        <v>303007784</v>
      </c>
      <c r="M3332" t="s">
        <v>75</v>
      </c>
      <c r="N3332" s="1">
        <v>42872.849305555559</v>
      </c>
      <c r="O3332" t="s">
        <v>19</v>
      </c>
    </row>
    <row r="3333" spans="1:15" x14ac:dyDescent="0.25">
      <c r="A3333" t="s">
        <v>2731</v>
      </c>
      <c r="B3333" t="s">
        <v>15</v>
      </c>
      <c r="C3333" t="s">
        <v>221</v>
      </c>
      <c r="D3333" t="s">
        <v>17</v>
      </c>
      <c r="E3333" t="s">
        <v>18</v>
      </c>
      <c r="F3333" t="s">
        <v>19</v>
      </c>
      <c r="G3333" t="s">
        <v>20</v>
      </c>
      <c r="J3333" t="s">
        <v>17</v>
      </c>
      <c r="K3333" t="str">
        <f>"66079130"</f>
        <v>66079130</v>
      </c>
      <c r="L3333" t="str">
        <f>"66079130"</f>
        <v>66079130</v>
      </c>
      <c r="M3333" t="s">
        <v>75</v>
      </c>
      <c r="N3333" s="1">
        <v>42872.847222222219</v>
      </c>
      <c r="O3333" t="s">
        <v>19</v>
      </c>
    </row>
    <row r="3334" spans="1:15" x14ac:dyDescent="0.25">
      <c r="A3334" t="s">
        <v>2732</v>
      </c>
      <c r="B3334" t="s">
        <v>15</v>
      </c>
      <c r="C3334" t="s">
        <v>221</v>
      </c>
      <c r="D3334" t="s">
        <v>17</v>
      </c>
      <c r="E3334" t="s">
        <v>18</v>
      </c>
      <c r="F3334" t="s">
        <v>19</v>
      </c>
      <c r="G3334" t="s">
        <v>20</v>
      </c>
      <c r="J3334" t="s">
        <v>17</v>
      </c>
      <c r="K3334" t="str">
        <f>"86353350"</f>
        <v>86353350</v>
      </c>
      <c r="L3334" t="str">
        <f>"86353350"</f>
        <v>86353350</v>
      </c>
      <c r="M3334" t="s">
        <v>84</v>
      </c>
      <c r="N3334" s="1">
        <v>43314.894444444442</v>
      </c>
      <c r="O3334" t="s">
        <v>19</v>
      </c>
    </row>
    <row r="3335" spans="1:15" x14ac:dyDescent="0.25">
      <c r="A3335" t="s">
        <v>2733</v>
      </c>
      <c r="B3335" t="s">
        <v>15</v>
      </c>
      <c r="C3335" t="s">
        <v>221</v>
      </c>
      <c r="D3335" t="s">
        <v>17</v>
      </c>
      <c r="E3335" t="s">
        <v>18</v>
      </c>
      <c r="F3335" t="s">
        <v>19</v>
      </c>
      <c r="G3335" t="s">
        <v>20</v>
      </c>
      <c r="J3335" t="s">
        <v>17</v>
      </c>
      <c r="K3335" t="str">
        <f>"8806088353388"</f>
        <v>8806088353388</v>
      </c>
      <c r="L3335" t="str">
        <f>"30351401"</f>
        <v>30351401</v>
      </c>
      <c r="M3335" t="s">
        <v>75</v>
      </c>
      <c r="N3335" s="1">
        <v>43064.775000000001</v>
      </c>
      <c r="O3335" t="s">
        <v>19</v>
      </c>
    </row>
    <row r="3336" spans="1:15" x14ac:dyDescent="0.25">
      <c r="A3336" t="s">
        <v>2734</v>
      </c>
      <c r="B3336" t="s">
        <v>15</v>
      </c>
      <c r="C3336" t="s">
        <v>221</v>
      </c>
      <c r="D3336" t="s">
        <v>17</v>
      </c>
      <c r="E3336" t="s">
        <v>18</v>
      </c>
      <c r="F3336" t="s">
        <v>19</v>
      </c>
      <c r="G3336" t="s">
        <v>20</v>
      </c>
      <c r="J3336" t="s">
        <v>17</v>
      </c>
      <c r="K3336" t="str">
        <f>"8806088353395"</f>
        <v>8806088353395</v>
      </c>
      <c r="L3336" t="str">
        <f>"30351400"</f>
        <v>30351400</v>
      </c>
      <c r="M3336" t="s">
        <v>75</v>
      </c>
      <c r="N3336" s="1">
        <v>43064.773611111108</v>
      </c>
      <c r="O3336" t="s">
        <v>19</v>
      </c>
    </row>
    <row r="3337" spans="1:15" x14ac:dyDescent="0.25">
      <c r="A3337" t="s">
        <v>2735</v>
      </c>
      <c r="B3337" t="s">
        <v>15</v>
      </c>
      <c r="C3337" t="s">
        <v>221</v>
      </c>
      <c r="D3337" t="s">
        <v>17</v>
      </c>
      <c r="E3337" t="s">
        <v>18</v>
      </c>
      <c r="F3337" t="s">
        <v>19</v>
      </c>
      <c r="G3337" t="s">
        <v>20</v>
      </c>
      <c r="J3337" t="s">
        <v>17</v>
      </c>
      <c r="K3337" t="str">
        <f>"1000001075686"</f>
        <v>1000001075686</v>
      </c>
      <c r="L3337" t="str">
        <f>"76350018"</f>
        <v>76350018</v>
      </c>
      <c r="M3337" t="s">
        <v>75</v>
      </c>
      <c r="N3337" s="1">
        <v>43083.730555555558</v>
      </c>
      <c r="O3337" t="s">
        <v>19</v>
      </c>
    </row>
    <row r="3338" spans="1:15" x14ac:dyDescent="0.25">
      <c r="A3338" t="s">
        <v>2736</v>
      </c>
      <c r="B3338" t="s">
        <v>15</v>
      </c>
      <c r="C3338" t="s">
        <v>221</v>
      </c>
      <c r="D3338" t="s">
        <v>17</v>
      </c>
      <c r="E3338" t="s">
        <v>18</v>
      </c>
      <c r="F3338" t="s">
        <v>19</v>
      </c>
      <c r="G3338" t="s">
        <v>20</v>
      </c>
      <c r="J3338" t="s">
        <v>17</v>
      </c>
      <c r="K3338" t="str">
        <f>"1000001075679"</f>
        <v>1000001075679</v>
      </c>
      <c r="L3338" t="str">
        <f>"76350019"</f>
        <v>76350019</v>
      </c>
      <c r="M3338" t="s">
        <v>75</v>
      </c>
      <c r="N3338" s="1">
        <v>43132.886111111111</v>
      </c>
      <c r="O3338" t="s">
        <v>19</v>
      </c>
    </row>
    <row r="3339" spans="1:15" x14ac:dyDescent="0.25">
      <c r="A3339" t="s">
        <v>2737</v>
      </c>
      <c r="B3339" t="s">
        <v>15</v>
      </c>
      <c r="C3339" t="s">
        <v>221</v>
      </c>
      <c r="D3339" t="s">
        <v>17</v>
      </c>
      <c r="E3339" t="s">
        <v>18</v>
      </c>
      <c r="F3339" t="s">
        <v>19</v>
      </c>
      <c r="G3339" t="s">
        <v>20</v>
      </c>
      <c r="J3339" t="s">
        <v>17</v>
      </c>
      <c r="K3339" t="str">
        <f>"7858816043802"</f>
        <v>7858816043802</v>
      </c>
      <c r="L3339" t="str">
        <f>"87064380"</f>
        <v>87064380</v>
      </c>
      <c r="M3339" t="s">
        <v>75</v>
      </c>
      <c r="N3339" s="1">
        <v>43244.677083333336</v>
      </c>
      <c r="O3339" t="s">
        <v>19</v>
      </c>
    </row>
    <row r="3340" spans="1:15" x14ac:dyDescent="0.25">
      <c r="A3340" t="s">
        <v>2738</v>
      </c>
      <c r="B3340" t="s">
        <v>15</v>
      </c>
      <c r="C3340" t="s">
        <v>164</v>
      </c>
      <c r="D3340" t="s">
        <v>17</v>
      </c>
      <c r="E3340" t="s">
        <v>18</v>
      </c>
      <c r="F3340" t="s">
        <v>19</v>
      </c>
      <c r="G3340" t="s">
        <v>20</v>
      </c>
      <c r="J3340" t="s">
        <v>17</v>
      </c>
      <c r="K3340" t="str">
        <f>"10002020"</f>
        <v>10002020</v>
      </c>
      <c r="L3340" t="str">
        <f>"10002020"</f>
        <v>10002020</v>
      </c>
      <c r="M3340" t="s">
        <v>21</v>
      </c>
      <c r="N3340" s="1">
        <v>43986.635416666664</v>
      </c>
      <c r="O3340" t="s">
        <v>19</v>
      </c>
    </row>
    <row r="3341" spans="1:15" x14ac:dyDescent="0.25">
      <c r="A3341" t="s">
        <v>2739</v>
      </c>
      <c r="B3341" t="s">
        <v>15</v>
      </c>
      <c r="C3341" t="s">
        <v>164</v>
      </c>
      <c r="D3341" t="s">
        <v>17</v>
      </c>
      <c r="E3341" t="s">
        <v>18</v>
      </c>
      <c r="F3341" t="s">
        <v>19</v>
      </c>
      <c r="G3341" t="s">
        <v>20</v>
      </c>
      <c r="J3341" t="s">
        <v>17</v>
      </c>
      <c r="K3341" t="str">
        <f>"6947662229247"</f>
        <v>6947662229247</v>
      </c>
      <c r="L3341" t="str">
        <f>"10002021"</f>
        <v>10002021</v>
      </c>
      <c r="M3341" t="s">
        <v>21</v>
      </c>
      <c r="N3341" s="1">
        <v>43986.634027777778</v>
      </c>
      <c r="O3341" t="s">
        <v>19</v>
      </c>
    </row>
    <row r="3342" spans="1:15" x14ac:dyDescent="0.25">
      <c r="A3342" t="s">
        <v>2740</v>
      </c>
      <c r="B3342" t="s">
        <v>15</v>
      </c>
      <c r="C3342" t="s">
        <v>164</v>
      </c>
      <c r="D3342" t="s">
        <v>17</v>
      </c>
      <c r="E3342" t="s">
        <v>18</v>
      </c>
      <c r="F3342" t="s">
        <v>19</v>
      </c>
      <c r="G3342" t="s">
        <v>20</v>
      </c>
      <c r="J3342" t="s">
        <v>17</v>
      </c>
      <c r="K3342" t="str">
        <f>"8995192042131"</f>
        <v>8995192042131</v>
      </c>
      <c r="L3342" t="str">
        <f>"40880095"</f>
        <v>40880095</v>
      </c>
      <c r="M3342" t="s">
        <v>21</v>
      </c>
      <c r="N3342" s="1">
        <v>43141.62777777778</v>
      </c>
      <c r="O3342" t="s">
        <v>19</v>
      </c>
    </row>
    <row r="3343" spans="1:15" x14ac:dyDescent="0.25">
      <c r="A3343" t="s">
        <v>2741</v>
      </c>
      <c r="B3343" t="s">
        <v>15</v>
      </c>
      <c r="C3343" t="s">
        <v>164</v>
      </c>
      <c r="D3343" t="s">
        <v>17</v>
      </c>
      <c r="E3343" t="s">
        <v>18</v>
      </c>
      <c r="F3343" t="s">
        <v>19</v>
      </c>
      <c r="G3343" t="s">
        <v>20</v>
      </c>
      <c r="J3343" t="s">
        <v>17</v>
      </c>
      <c r="K3343" t="str">
        <f>"7512441721008"</f>
        <v>7512441721008</v>
      </c>
      <c r="L3343" t="str">
        <f>"40881008"</f>
        <v>40881008</v>
      </c>
      <c r="M3343" t="s">
        <v>21</v>
      </c>
      <c r="N3343" s="1">
        <v>43125.631944444445</v>
      </c>
      <c r="O3343" t="s">
        <v>19</v>
      </c>
    </row>
    <row r="3344" spans="1:15" x14ac:dyDescent="0.25">
      <c r="A3344" t="s">
        <v>2742</v>
      </c>
      <c r="B3344" t="s">
        <v>15</v>
      </c>
      <c r="C3344" t="s">
        <v>37</v>
      </c>
      <c r="D3344" t="s">
        <v>17</v>
      </c>
      <c r="E3344" t="s">
        <v>18</v>
      </c>
      <c r="F3344" t="s">
        <v>19</v>
      </c>
      <c r="G3344" t="s">
        <v>20</v>
      </c>
      <c r="J3344" t="s">
        <v>17</v>
      </c>
      <c r="K3344" t="str">
        <f>"7858816080562"</f>
        <v>7858816080562</v>
      </c>
      <c r="L3344" t="str">
        <f>"87528056"</f>
        <v>87528056</v>
      </c>
      <c r="M3344" t="s">
        <v>21</v>
      </c>
      <c r="N3344" s="1">
        <v>44211.917361111111</v>
      </c>
      <c r="O3344" t="s">
        <v>19</v>
      </c>
    </row>
    <row r="3345" spans="1:15" x14ac:dyDescent="0.25">
      <c r="A3345" t="s">
        <v>2743</v>
      </c>
      <c r="B3345" t="s">
        <v>15</v>
      </c>
      <c r="C3345" t="s">
        <v>164</v>
      </c>
      <c r="D3345" t="s">
        <v>17</v>
      </c>
      <c r="E3345" t="s">
        <v>18</v>
      </c>
      <c r="F3345" t="s">
        <v>19</v>
      </c>
      <c r="G3345" t="s">
        <v>20</v>
      </c>
      <c r="J3345" t="s">
        <v>17</v>
      </c>
      <c r="K3345" t="str">
        <f>"6973227960003"</f>
        <v>6973227960003</v>
      </c>
      <c r="L3345" t="str">
        <f>"76880003"</f>
        <v>76880003</v>
      </c>
      <c r="M3345" t="s">
        <v>21</v>
      </c>
      <c r="N3345" s="1">
        <v>42872.847222222219</v>
      </c>
      <c r="O3345" t="s">
        <v>19</v>
      </c>
    </row>
    <row r="3346" spans="1:15" x14ac:dyDescent="0.25">
      <c r="A3346" t="s">
        <v>2744</v>
      </c>
      <c r="B3346" t="s">
        <v>15</v>
      </c>
      <c r="C3346" t="s">
        <v>2609</v>
      </c>
      <c r="D3346" t="s">
        <v>17</v>
      </c>
      <c r="E3346" t="s">
        <v>18</v>
      </c>
      <c r="F3346" t="s">
        <v>19</v>
      </c>
      <c r="G3346" t="s">
        <v>20</v>
      </c>
      <c r="J3346" t="s">
        <v>17</v>
      </c>
      <c r="K3346" t="str">
        <f>"34320717"</f>
        <v>34320717</v>
      </c>
      <c r="L3346" t="str">
        <f>"34320717"</f>
        <v>34320717</v>
      </c>
      <c r="M3346" t="s">
        <v>75</v>
      </c>
      <c r="N3346" s="1">
        <v>42872.839583333334</v>
      </c>
      <c r="O3346" t="s">
        <v>19</v>
      </c>
    </row>
    <row r="3347" spans="1:15" x14ac:dyDescent="0.25">
      <c r="A3347" t="s">
        <v>2745</v>
      </c>
      <c r="B3347" t="s">
        <v>15</v>
      </c>
      <c r="C3347" t="s">
        <v>2609</v>
      </c>
      <c r="D3347" t="s">
        <v>17</v>
      </c>
      <c r="E3347" t="s">
        <v>18</v>
      </c>
      <c r="F3347" t="s">
        <v>19</v>
      </c>
      <c r="G3347" t="s">
        <v>20</v>
      </c>
      <c r="J3347" t="s">
        <v>17</v>
      </c>
      <c r="K3347" t="str">
        <f>"34320716"</f>
        <v>34320716</v>
      </c>
      <c r="L3347" t="str">
        <f>"34320716"</f>
        <v>34320716</v>
      </c>
      <c r="M3347" t="s">
        <v>75</v>
      </c>
      <c r="N3347" s="1">
        <v>42872.839583333334</v>
      </c>
      <c r="O3347" t="s">
        <v>19</v>
      </c>
    </row>
    <row r="3348" spans="1:15" x14ac:dyDescent="0.25">
      <c r="A3348" t="s">
        <v>2746</v>
      </c>
      <c r="B3348" t="s">
        <v>15</v>
      </c>
      <c r="C3348" t="s">
        <v>2609</v>
      </c>
      <c r="D3348" t="s">
        <v>17</v>
      </c>
      <c r="E3348" t="s">
        <v>18</v>
      </c>
      <c r="F3348" t="s">
        <v>19</v>
      </c>
      <c r="G3348" t="s">
        <v>20</v>
      </c>
      <c r="J3348" t="s">
        <v>17</v>
      </c>
      <c r="K3348" t="str">
        <f>"343209221"</f>
        <v>343209221</v>
      </c>
      <c r="L3348" t="str">
        <f>"343209221"</f>
        <v>343209221</v>
      </c>
      <c r="M3348" t="s">
        <v>75</v>
      </c>
      <c r="N3348" s="1">
        <v>42872.849305555559</v>
      </c>
      <c r="O3348" t="s">
        <v>19</v>
      </c>
    </row>
    <row r="3349" spans="1:15" x14ac:dyDescent="0.25">
      <c r="A3349" t="s">
        <v>2747</v>
      </c>
      <c r="B3349" t="s">
        <v>15</v>
      </c>
      <c r="C3349" t="s">
        <v>2609</v>
      </c>
      <c r="D3349" t="s">
        <v>17</v>
      </c>
      <c r="E3349" t="s">
        <v>18</v>
      </c>
      <c r="F3349" t="s">
        <v>19</v>
      </c>
      <c r="G3349" t="s">
        <v>20</v>
      </c>
      <c r="J3349" t="s">
        <v>17</v>
      </c>
      <c r="K3349" t="str">
        <f>"34321430"</f>
        <v>34321430</v>
      </c>
      <c r="L3349" t="str">
        <f>"34321430"</f>
        <v>34321430</v>
      </c>
      <c r="M3349" t="s">
        <v>75</v>
      </c>
      <c r="N3349" s="1">
        <v>42872.839583333334</v>
      </c>
      <c r="O3349" t="s">
        <v>19</v>
      </c>
    </row>
    <row r="3350" spans="1:15" x14ac:dyDescent="0.25">
      <c r="A3350" t="s">
        <v>2748</v>
      </c>
      <c r="B3350" t="s">
        <v>15</v>
      </c>
      <c r="C3350" t="s">
        <v>2609</v>
      </c>
      <c r="D3350" t="s">
        <v>17</v>
      </c>
      <c r="E3350" t="s">
        <v>18</v>
      </c>
      <c r="F3350" t="s">
        <v>19</v>
      </c>
      <c r="G3350" t="s">
        <v>20</v>
      </c>
      <c r="J3350" t="s">
        <v>17</v>
      </c>
      <c r="K3350" t="str">
        <f>"34321445"</f>
        <v>34321445</v>
      </c>
      <c r="L3350" t="str">
        <f>"34321445"</f>
        <v>34321445</v>
      </c>
      <c r="M3350" t="s">
        <v>75</v>
      </c>
      <c r="N3350" s="1">
        <v>42872.839583333334</v>
      </c>
      <c r="O3350" t="s">
        <v>19</v>
      </c>
    </row>
    <row r="3351" spans="1:15" x14ac:dyDescent="0.25">
      <c r="A3351" t="s">
        <v>2749</v>
      </c>
      <c r="B3351" t="s">
        <v>15</v>
      </c>
      <c r="C3351" t="s">
        <v>2609</v>
      </c>
      <c r="D3351" t="s">
        <v>17</v>
      </c>
      <c r="E3351" t="s">
        <v>18</v>
      </c>
      <c r="F3351" t="s">
        <v>19</v>
      </c>
      <c r="G3351" t="s">
        <v>20</v>
      </c>
      <c r="J3351" t="s">
        <v>17</v>
      </c>
      <c r="K3351" t="str">
        <f>"34321486"</f>
        <v>34321486</v>
      </c>
      <c r="L3351" t="str">
        <f>"34321486"</f>
        <v>34321486</v>
      </c>
      <c r="M3351" t="s">
        <v>75</v>
      </c>
      <c r="N3351" s="1">
        <v>42872.839583333334</v>
      </c>
      <c r="O3351" t="s">
        <v>19</v>
      </c>
    </row>
    <row r="3352" spans="1:15" x14ac:dyDescent="0.25">
      <c r="A3352" t="s">
        <v>2750</v>
      </c>
      <c r="B3352" t="s">
        <v>15</v>
      </c>
      <c r="C3352" t="s">
        <v>2751</v>
      </c>
      <c r="D3352" t="s">
        <v>17</v>
      </c>
      <c r="E3352" t="s">
        <v>18</v>
      </c>
      <c r="F3352" t="s">
        <v>19</v>
      </c>
      <c r="G3352" t="s">
        <v>20</v>
      </c>
      <c r="J3352" t="s">
        <v>17</v>
      </c>
      <c r="K3352" t="str">
        <f>"619659185107"</f>
        <v>619659185107</v>
      </c>
      <c r="L3352" t="str">
        <f>"92360128"</f>
        <v>92360128</v>
      </c>
      <c r="M3352" t="s">
        <v>21</v>
      </c>
      <c r="N3352" s="1">
        <v>43746.90625</v>
      </c>
      <c r="O3352" t="s">
        <v>19</v>
      </c>
    </row>
    <row r="3353" spans="1:15" x14ac:dyDescent="0.25">
      <c r="A3353" t="s">
        <v>2752</v>
      </c>
      <c r="B3353" t="s">
        <v>15</v>
      </c>
      <c r="C3353" t="s">
        <v>2751</v>
      </c>
      <c r="D3353" t="s">
        <v>17</v>
      </c>
      <c r="E3353" t="s">
        <v>18</v>
      </c>
      <c r="F3353" t="s">
        <v>19</v>
      </c>
      <c r="G3353" t="s">
        <v>20</v>
      </c>
      <c r="J3353" t="s">
        <v>17</v>
      </c>
      <c r="K3353" t="str">
        <f>"17361716"</f>
        <v>17361716</v>
      </c>
      <c r="L3353" t="str">
        <f>"17361716"</f>
        <v>17361716</v>
      </c>
      <c r="M3353" t="s">
        <v>75</v>
      </c>
      <c r="N3353" s="1">
        <v>42872.839583333334</v>
      </c>
      <c r="O3353" t="s">
        <v>19</v>
      </c>
    </row>
    <row r="3354" spans="1:15" x14ac:dyDescent="0.25">
      <c r="A3354" t="s">
        <v>2752</v>
      </c>
      <c r="B3354" t="s">
        <v>15</v>
      </c>
      <c r="C3354" t="s">
        <v>2751</v>
      </c>
      <c r="D3354" t="s">
        <v>17</v>
      </c>
      <c r="E3354" t="s">
        <v>18</v>
      </c>
      <c r="F3354" t="s">
        <v>19</v>
      </c>
      <c r="G3354" t="s">
        <v>20</v>
      </c>
      <c r="J3354" t="s">
        <v>17</v>
      </c>
      <c r="K3354" t="str">
        <f>"32361716"</f>
        <v>32361716</v>
      </c>
      <c r="L3354" t="str">
        <f>"32361716"</f>
        <v>32361716</v>
      </c>
      <c r="M3354" t="s">
        <v>75</v>
      </c>
      <c r="N3354" s="1">
        <v>42872.839583333334</v>
      </c>
      <c r="O3354" t="s">
        <v>19</v>
      </c>
    </row>
    <row r="3355" spans="1:15" x14ac:dyDescent="0.25">
      <c r="A3355" t="s">
        <v>2752</v>
      </c>
      <c r="B3355" t="s">
        <v>15</v>
      </c>
      <c r="C3355" t="s">
        <v>2751</v>
      </c>
      <c r="D3355" t="s">
        <v>17</v>
      </c>
      <c r="E3355" t="s">
        <v>18</v>
      </c>
      <c r="F3355" t="s">
        <v>19</v>
      </c>
      <c r="G3355" t="s">
        <v>20</v>
      </c>
      <c r="J3355" t="s">
        <v>17</v>
      </c>
      <c r="K3355" t="str">
        <f>"66360016"</f>
        <v>66360016</v>
      </c>
      <c r="L3355" t="str">
        <f>"66360016"</f>
        <v>66360016</v>
      </c>
      <c r="M3355" t="s">
        <v>75</v>
      </c>
      <c r="N3355" s="1">
        <v>42872.847222222219</v>
      </c>
      <c r="O3355" t="s">
        <v>19</v>
      </c>
    </row>
    <row r="3356" spans="1:15" x14ac:dyDescent="0.25">
      <c r="A3356" t="s">
        <v>2752</v>
      </c>
      <c r="B3356" t="s">
        <v>15</v>
      </c>
      <c r="C3356" t="s">
        <v>2751</v>
      </c>
      <c r="D3356" t="s">
        <v>17</v>
      </c>
      <c r="E3356" t="s">
        <v>18</v>
      </c>
      <c r="F3356" t="s">
        <v>19</v>
      </c>
      <c r="G3356" t="s">
        <v>20</v>
      </c>
      <c r="J3356" t="s">
        <v>17</v>
      </c>
      <c r="K3356" t="str">
        <f>"95363516"</f>
        <v>95363516</v>
      </c>
      <c r="L3356" t="str">
        <f>"95363516"</f>
        <v>95363516</v>
      </c>
      <c r="M3356" t="s">
        <v>75</v>
      </c>
      <c r="N3356" s="1">
        <v>42872.847222222219</v>
      </c>
      <c r="O3356" t="s">
        <v>19</v>
      </c>
    </row>
    <row r="3357" spans="1:15" x14ac:dyDescent="0.25">
      <c r="A3357" t="s">
        <v>2753</v>
      </c>
      <c r="B3357" t="s">
        <v>15</v>
      </c>
      <c r="C3357" t="s">
        <v>2751</v>
      </c>
      <c r="D3357" t="s">
        <v>17</v>
      </c>
      <c r="E3357" t="s">
        <v>18</v>
      </c>
      <c r="F3357" t="s">
        <v>19</v>
      </c>
      <c r="G3357" t="s">
        <v>20</v>
      </c>
      <c r="J3357" t="s">
        <v>17</v>
      </c>
      <c r="K3357" t="str">
        <f>"98361016"</f>
        <v>98361016</v>
      </c>
      <c r="L3357" t="str">
        <f>"98361016"</f>
        <v>98361016</v>
      </c>
      <c r="M3357" t="s">
        <v>21</v>
      </c>
      <c r="N3357" s="1">
        <v>43033.899305555555</v>
      </c>
      <c r="O3357" t="s">
        <v>19</v>
      </c>
    </row>
    <row r="3358" spans="1:15" x14ac:dyDescent="0.25">
      <c r="A3358" t="s">
        <v>2753</v>
      </c>
      <c r="B3358" t="s">
        <v>15</v>
      </c>
      <c r="C3358" t="s">
        <v>2751</v>
      </c>
      <c r="D3358" t="s">
        <v>17</v>
      </c>
      <c r="E3358" t="s">
        <v>18</v>
      </c>
      <c r="F3358" t="s">
        <v>19</v>
      </c>
      <c r="G3358" t="s">
        <v>20</v>
      </c>
      <c r="J3358" t="s">
        <v>17</v>
      </c>
      <c r="K3358" t="str">
        <f>"4713435794043"</f>
        <v>4713435794043</v>
      </c>
      <c r="L3358" t="str">
        <f>"63360160"</f>
        <v>63360160</v>
      </c>
      <c r="M3358" t="s">
        <v>21</v>
      </c>
      <c r="N3358" s="1">
        <v>43742.677777777775</v>
      </c>
      <c r="O3358" t="s">
        <v>19</v>
      </c>
    </row>
    <row r="3359" spans="1:15" x14ac:dyDescent="0.25">
      <c r="A3359" t="s">
        <v>2754</v>
      </c>
      <c r="B3359" t="s">
        <v>15</v>
      </c>
      <c r="C3359" t="s">
        <v>2751</v>
      </c>
      <c r="D3359" t="s">
        <v>17</v>
      </c>
      <c r="E3359" t="s">
        <v>18</v>
      </c>
      <c r="F3359" t="s">
        <v>19</v>
      </c>
      <c r="G3359" t="s">
        <v>20</v>
      </c>
      <c r="J3359" t="s">
        <v>17</v>
      </c>
      <c r="K3359" t="str">
        <f>"18360016"</f>
        <v>18360016</v>
      </c>
      <c r="L3359" t="str">
        <f>"18360016"</f>
        <v>18360016</v>
      </c>
      <c r="M3359" t="s">
        <v>75</v>
      </c>
      <c r="N3359" s="1">
        <v>42907.910416666666</v>
      </c>
      <c r="O3359" t="s">
        <v>19</v>
      </c>
    </row>
    <row r="3360" spans="1:15" x14ac:dyDescent="0.25">
      <c r="A3360" t="s">
        <v>2755</v>
      </c>
      <c r="B3360" t="s">
        <v>15</v>
      </c>
      <c r="C3360" t="s">
        <v>2751</v>
      </c>
      <c r="D3360" t="s">
        <v>17</v>
      </c>
      <c r="E3360" t="s">
        <v>18</v>
      </c>
      <c r="F3360" t="s">
        <v>19</v>
      </c>
      <c r="G3360" t="s">
        <v>20</v>
      </c>
      <c r="J3360" t="s">
        <v>17</v>
      </c>
      <c r="K3360" t="str">
        <f>"740617183009"</f>
        <v>740617183009</v>
      </c>
      <c r="L3360" t="str">
        <f>"97367116"</f>
        <v>97367116</v>
      </c>
      <c r="M3360" t="s">
        <v>75</v>
      </c>
      <c r="N3360" s="1">
        <v>43143.607638888891</v>
      </c>
      <c r="O3360" t="s">
        <v>19</v>
      </c>
    </row>
    <row r="3361" spans="1:15" x14ac:dyDescent="0.25">
      <c r="A3361" t="s">
        <v>2756</v>
      </c>
      <c r="B3361" t="s">
        <v>15</v>
      </c>
      <c r="C3361" t="s">
        <v>2751</v>
      </c>
      <c r="D3361" t="s">
        <v>17</v>
      </c>
      <c r="E3361" t="s">
        <v>18</v>
      </c>
      <c r="F3361" t="s">
        <v>19</v>
      </c>
      <c r="G3361" t="s">
        <v>20</v>
      </c>
      <c r="J3361" t="s">
        <v>17</v>
      </c>
      <c r="K3361" t="str">
        <f>"740617274646"</f>
        <v>740617274646</v>
      </c>
      <c r="L3361" t="str">
        <f>"10109218"</f>
        <v>10109218</v>
      </c>
      <c r="M3361" t="s">
        <v>84</v>
      </c>
      <c r="N3361" s="1">
        <v>43419.70208333333</v>
      </c>
      <c r="O3361" t="s">
        <v>19</v>
      </c>
    </row>
    <row r="3362" spans="1:15" x14ac:dyDescent="0.25">
      <c r="A3362" t="s">
        <v>2757</v>
      </c>
      <c r="B3362" t="s">
        <v>15</v>
      </c>
      <c r="C3362" t="s">
        <v>2751</v>
      </c>
      <c r="D3362" t="s">
        <v>17</v>
      </c>
      <c r="E3362" t="s">
        <v>18</v>
      </c>
      <c r="F3362" t="s">
        <v>19</v>
      </c>
      <c r="G3362" t="s">
        <v>20</v>
      </c>
      <c r="J3362" t="s">
        <v>17</v>
      </c>
      <c r="K3362" t="str">
        <f>"740617289145"</f>
        <v>740617289145</v>
      </c>
      <c r="L3362" t="str">
        <f>"92362373"</f>
        <v>92362373</v>
      </c>
      <c r="M3362" t="s">
        <v>21</v>
      </c>
      <c r="N3362" s="1">
        <v>43888.855555555558</v>
      </c>
      <c r="O3362" t="s">
        <v>19</v>
      </c>
    </row>
    <row r="3363" spans="1:15" x14ac:dyDescent="0.25">
      <c r="A3363" t="s">
        <v>2758</v>
      </c>
      <c r="B3363" t="s">
        <v>15</v>
      </c>
      <c r="C3363" t="s">
        <v>2751</v>
      </c>
      <c r="D3363" t="s">
        <v>17</v>
      </c>
      <c r="E3363" t="s">
        <v>18</v>
      </c>
      <c r="F3363" t="s">
        <v>19</v>
      </c>
      <c r="G3363" t="s">
        <v>20</v>
      </c>
      <c r="J3363" t="s">
        <v>17</v>
      </c>
      <c r="K3363" t="str">
        <f>"025215492563"</f>
        <v>025215492563</v>
      </c>
      <c r="L3363" t="str">
        <f>"60360016"</f>
        <v>60360016</v>
      </c>
      <c r="M3363" t="s">
        <v>84</v>
      </c>
      <c r="N3363" s="1">
        <v>43539.749305555553</v>
      </c>
      <c r="O3363" t="s">
        <v>19</v>
      </c>
    </row>
    <row r="3364" spans="1:15" x14ac:dyDescent="0.25">
      <c r="A3364" t="s">
        <v>2759</v>
      </c>
      <c r="B3364" t="s">
        <v>15</v>
      </c>
      <c r="C3364" t="s">
        <v>2751</v>
      </c>
      <c r="D3364" t="s">
        <v>17</v>
      </c>
      <c r="E3364" t="s">
        <v>18</v>
      </c>
      <c r="F3364" t="s">
        <v>19</v>
      </c>
      <c r="G3364" t="s">
        <v>20</v>
      </c>
      <c r="J3364" t="s">
        <v>17</v>
      </c>
      <c r="K3364" t="str">
        <f>"66362616"</f>
        <v>66362616</v>
      </c>
      <c r="L3364" t="str">
        <f>"66362616"</f>
        <v>66362616</v>
      </c>
      <c r="M3364" t="s">
        <v>75</v>
      </c>
      <c r="N3364" s="1">
        <v>42872.847222222219</v>
      </c>
      <c r="O3364" t="s">
        <v>19</v>
      </c>
    </row>
    <row r="3365" spans="1:15" x14ac:dyDescent="0.25">
      <c r="A3365" t="s">
        <v>2759</v>
      </c>
      <c r="B3365" t="s">
        <v>15</v>
      </c>
      <c r="C3365" t="s">
        <v>2751</v>
      </c>
      <c r="D3365" t="s">
        <v>17</v>
      </c>
      <c r="E3365" t="s">
        <v>18</v>
      </c>
      <c r="F3365" t="s">
        <v>19</v>
      </c>
      <c r="G3365" t="s">
        <v>20</v>
      </c>
      <c r="J3365" t="s">
        <v>17</v>
      </c>
      <c r="K3365" t="str">
        <f>"740617173741"</f>
        <v>740617173741</v>
      </c>
      <c r="L3365" t="str">
        <f>"97367878"</f>
        <v>97367878</v>
      </c>
      <c r="M3365" t="s">
        <v>75</v>
      </c>
      <c r="N3365" s="1">
        <v>43012.834027777775</v>
      </c>
      <c r="O3365" t="s">
        <v>19</v>
      </c>
    </row>
    <row r="3366" spans="1:15" x14ac:dyDescent="0.25">
      <c r="A3366" t="s">
        <v>2759</v>
      </c>
      <c r="B3366" t="s">
        <v>15</v>
      </c>
      <c r="C3366" t="s">
        <v>2751</v>
      </c>
      <c r="D3366" t="s">
        <v>17</v>
      </c>
      <c r="E3366" t="s">
        <v>18</v>
      </c>
      <c r="F3366" t="s">
        <v>19</v>
      </c>
      <c r="G3366" t="s">
        <v>20</v>
      </c>
      <c r="J3366" t="s">
        <v>17</v>
      </c>
      <c r="K3366" t="str">
        <f>"98360016"</f>
        <v>98360016</v>
      </c>
      <c r="L3366" t="str">
        <f>"98360016"</f>
        <v>98360016</v>
      </c>
      <c r="M3366" t="s">
        <v>84</v>
      </c>
      <c r="N3366" s="1">
        <v>43110.751388888886</v>
      </c>
      <c r="O3366" t="s">
        <v>19</v>
      </c>
    </row>
    <row r="3367" spans="1:15" x14ac:dyDescent="0.25">
      <c r="A3367" t="s">
        <v>2759</v>
      </c>
      <c r="B3367" t="s">
        <v>15</v>
      </c>
      <c r="C3367" t="s">
        <v>2751</v>
      </c>
      <c r="D3367" t="s">
        <v>17</v>
      </c>
      <c r="E3367" t="s">
        <v>18</v>
      </c>
      <c r="F3367" t="s">
        <v>19</v>
      </c>
      <c r="G3367" t="s">
        <v>20</v>
      </c>
      <c r="J3367" t="s">
        <v>17</v>
      </c>
      <c r="K3367" t="str">
        <f>"63360016"</f>
        <v>63360016</v>
      </c>
      <c r="L3367" t="str">
        <f>"63360016"</f>
        <v>63360016</v>
      </c>
      <c r="M3367" t="s">
        <v>21</v>
      </c>
      <c r="N3367" s="1">
        <v>43550.794444444444</v>
      </c>
      <c r="O3367" t="s">
        <v>19</v>
      </c>
    </row>
    <row r="3368" spans="1:15" x14ac:dyDescent="0.25">
      <c r="A3368" t="s">
        <v>2759</v>
      </c>
      <c r="B3368" t="s">
        <v>15</v>
      </c>
      <c r="C3368" t="s">
        <v>2751</v>
      </c>
      <c r="D3368" t="s">
        <v>17</v>
      </c>
      <c r="E3368" t="s">
        <v>18</v>
      </c>
      <c r="F3368" t="s">
        <v>19</v>
      </c>
      <c r="G3368" t="s">
        <v>20</v>
      </c>
      <c r="J3368" t="s">
        <v>17</v>
      </c>
      <c r="K3368" t="str">
        <f>"619659161590"</f>
        <v>619659161590</v>
      </c>
      <c r="L3368" t="str">
        <f>"92360016"</f>
        <v>92360016</v>
      </c>
      <c r="M3368" t="s">
        <v>21</v>
      </c>
      <c r="N3368" s="1">
        <v>43649.866666666669</v>
      </c>
      <c r="O3368" t="s">
        <v>19</v>
      </c>
    </row>
    <row r="3369" spans="1:15" x14ac:dyDescent="0.25">
      <c r="A3369" t="s">
        <v>2759</v>
      </c>
      <c r="B3369" t="s">
        <v>15</v>
      </c>
      <c r="C3369" t="s">
        <v>2751</v>
      </c>
      <c r="D3369" t="s">
        <v>17</v>
      </c>
      <c r="E3369" t="s">
        <v>18</v>
      </c>
      <c r="F3369" t="s">
        <v>19</v>
      </c>
      <c r="G3369" t="s">
        <v>20</v>
      </c>
      <c r="J3369" t="s">
        <v>17</v>
      </c>
      <c r="K3369" t="str">
        <f>"92360533"</f>
        <v>92360533</v>
      </c>
      <c r="L3369" t="str">
        <f>"92360533"</f>
        <v>92360533</v>
      </c>
      <c r="M3369" t="s">
        <v>21</v>
      </c>
      <c r="N3369" s="1">
        <v>43754.875</v>
      </c>
      <c r="O3369" t="s">
        <v>19</v>
      </c>
    </row>
    <row r="3370" spans="1:15" x14ac:dyDescent="0.25">
      <c r="A3370" t="s">
        <v>2759</v>
      </c>
      <c r="B3370" t="s">
        <v>15</v>
      </c>
      <c r="C3370" t="s">
        <v>2751</v>
      </c>
      <c r="D3370" t="s">
        <v>17</v>
      </c>
      <c r="E3370" t="s">
        <v>18</v>
      </c>
      <c r="F3370" t="s">
        <v>19</v>
      </c>
      <c r="G3370" t="s">
        <v>20</v>
      </c>
      <c r="J3370" t="s">
        <v>17</v>
      </c>
      <c r="K3370" t="str">
        <f>"3048"</f>
        <v>3048</v>
      </c>
      <c r="L3370" t="str">
        <f>"63363048"</f>
        <v>63363048</v>
      </c>
      <c r="M3370" t="s">
        <v>21</v>
      </c>
      <c r="N3370" s="1">
        <v>43840.668055555558</v>
      </c>
      <c r="O3370" t="s">
        <v>19</v>
      </c>
    </row>
    <row r="3371" spans="1:15" x14ac:dyDescent="0.25">
      <c r="A3371" t="s">
        <v>2759</v>
      </c>
      <c r="B3371" t="s">
        <v>15</v>
      </c>
      <c r="C3371" t="s">
        <v>2751</v>
      </c>
      <c r="D3371" t="s">
        <v>17</v>
      </c>
      <c r="E3371" t="s">
        <v>18</v>
      </c>
      <c r="F3371" t="s">
        <v>19</v>
      </c>
      <c r="G3371" t="s">
        <v>20</v>
      </c>
      <c r="J3371" t="s">
        <v>17</v>
      </c>
      <c r="K3371" t="str">
        <f>"57360016"</f>
        <v>57360016</v>
      </c>
      <c r="L3371" t="str">
        <f>"57360016"</f>
        <v>57360016</v>
      </c>
      <c r="M3371" t="s">
        <v>21</v>
      </c>
      <c r="N3371" s="1">
        <v>43983.844444444447</v>
      </c>
      <c r="O3371" t="s">
        <v>19</v>
      </c>
    </row>
    <row r="3372" spans="1:15" x14ac:dyDescent="0.25">
      <c r="A3372" t="s">
        <v>2759</v>
      </c>
      <c r="B3372" t="s">
        <v>15</v>
      </c>
      <c r="C3372" t="s">
        <v>2751</v>
      </c>
      <c r="D3372" t="s">
        <v>17</v>
      </c>
      <c r="E3372" t="s">
        <v>18</v>
      </c>
      <c r="F3372" t="s">
        <v>19</v>
      </c>
      <c r="G3372" t="s">
        <v>20</v>
      </c>
      <c r="J3372" t="s">
        <v>17</v>
      </c>
      <c r="K3372" t="str">
        <f>"04SDK16C10"</f>
        <v>04SDK16C10</v>
      </c>
      <c r="L3372" t="str">
        <f>"04SDK16C10"</f>
        <v>04SDK16C10</v>
      </c>
      <c r="M3372" t="s">
        <v>21</v>
      </c>
      <c r="N3372" s="1">
        <v>44266.636805555558</v>
      </c>
      <c r="O3372" t="s">
        <v>19</v>
      </c>
    </row>
    <row r="3373" spans="1:15" x14ac:dyDescent="0.25">
      <c r="A3373" t="s">
        <v>2760</v>
      </c>
      <c r="B3373" t="s">
        <v>15</v>
      </c>
      <c r="C3373" t="s">
        <v>2751</v>
      </c>
      <c r="D3373" t="s">
        <v>17</v>
      </c>
      <c r="E3373" t="s">
        <v>18</v>
      </c>
      <c r="F3373" t="s">
        <v>19</v>
      </c>
      <c r="G3373" t="s">
        <v>20</v>
      </c>
      <c r="J3373" t="s">
        <v>17</v>
      </c>
      <c r="K3373" t="str">
        <f>"32362916"</f>
        <v>32362916</v>
      </c>
      <c r="L3373" t="str">
        <f>"32362916"</f>
        <v>32362916</v>
      </c>
      <c r="M3373" t="s">
        <v>75</v>
      </c>
      <c r="N3373" s="1">
        <v>42872.839583333334</v>
      </c>
      <c r="O3373" t="s">
        <v>19</v>
      </c>
    </row>
    <row r="3374" spans="1:15" x14ac:dyDescent="0.25">
      <c r="A3374" t="s">
        <v>2761</v>
      </c>
      <c r="B3374" t="s">
        <v>15</v>
      </c>
      <c r="C3374" t="s">
        <v>2751</v>
      </c>
      <c r="D3374" t="s">
        <v>17</v>
      </c>
      <c r="E3374" t="s">
        <v>18</v>
      </c>
      <c r="F3374" t="s">
        <v>19</v>
      </c>
      <c r="G3374" t="s">
        <v>20</v>
      </c>
      <c r="J3374" t="s">
        <v>17</v>
      </c>
      <c r="K3374" t="str">
        <f>"10111066"</f>
        <v>10111066</v>
      </c>
      <c r="L3374" t="str">
        <f>"10111066"</f>
        <v>10111066</v>
      </c>
      <c r="M3374" t="s">
        <v>21</v>
      </c>
      <c r="N3374" s="1">
        <v>43454.671527777777</v>
      </c>
      <c r="O3374" t="s">
        <v>19</v>
      </c>
    </row>
    <row r="3375" spans="1:15" x14ac:dyDescent="0.25">
      <c r="A3375" t="s">
        <v>2762</v>
      </c>
      <c r="B3375" t="s">
        <v>15</v>
      </c>
      <c r="C3375" t="s">
        <v>2751</v>
      </c>
      <c r="D3375" t="s">
        <v>17</v>
      </c>
      <c r="E3375" t="s">
        <v>18</v>
      </c>
      <c r="F3375" t="s">
        <v>19</v>
      </c>
      <c r="G3375" t="s">
        <v>20</v>
      </c>
      <c r="J3375" t="s">
        <v>17</v>
      </c>
      <c r="K3375" t="str">
        <f>"17361732"</f>
        <v>17361732</v>
      </c>
      <c r="L3375" t="str">
        <f>"17361732"</f>
        <v>17361732</v>
      </c>
      <c r="M3375" t="s">
        <v>75</v>
      </c>
      <c r="N3375" s="1">
        <v>42872.839583333334</v>
      </c>
      <c r="O3375" t="s">
        <v>19</v>
      </c>
    </row>
    <row r="3376" spans="1:15" x14ac:dyDescent="0.25">
      <c r="A3376" t="s">
        <v>2762</v>
      </c>
      <c r="B3376" t="s">
        <v>15</v>
      </c>
      <c r="C3376" t="s">
        <v>2751</v>
      </c>
      <c r="D3376" t="s">
        <v>17</v>
      </c>
      <c r="E3376" t="s">
        <v>18</v>
      </c>
      <c r="F3376" t="s">
        <v>19</v>
      </c>
      <c r="G3376" t="s">
        <v>20</v>
      </c>
      <c r="J3376" t="s">
        <v>17</v>
      </c>
      <c r="K3376" t="str">
        <f>"66360032"</f>
        <v>66360032</v>
      </c>
      <c r="L3376" t="str">
        <f>"66360032"</f>
        <v>66360032</v>
      </c>
      <c r="M3376" t="s">
        <v>75</v>
      </c>
      <c r="N3376" s="1">
        <v>42872.847222222219</v>
      </c>
      <c r="O3376" t="s">
        <v>19</v>
      </c>
    </row>
    <row r="3377" spans="1:15" x14ac:dyDescent="0.25">
      <c r="A3377" t="s">
        <v>2762</v>
      </c>
      <c r="B3377" t="s">
        <v>15</v>
      </c>
      <c r="C3377" t="s">
        <v>2751</v>
      </c>
      <c r="D3377" t="s">
        <v>17</v>
      </c>
      <c r="E3377" t="s">
        <v>18</v>
      </c>
      <c r="F3377" t="s">
        <v>19</v>
      </c>
      <c r="G3377" t="s">
        <v>20</v>
      </c>
      <c r="J3377" t="s">
        <v>17</v>
      </c>
      <c r="K3377" t="str">
        <f>"95363532"</f>
        <v>95363532</v>
      </c>
      <c r="L3377" t="str">
        <f>"95363532"</f>
        <v>95363532</v>
      </c>
      <c r="M3377" t="s">
        <v>75</v>
      </c>
      <c r="N3377" s="1">
        <v>42872.847222222219</v>
      </c>
      <c r="O3377" t="s">
        <v>19</v>
      </c>
    </row>
    <row r="3378" spans="1:15" x14ac:dyDescent="0.25">
      <c r="A3378" t="s">
        <v>2762</v>
      </c>
      <c r="B3378" t="s">
        <v>15</v>
      </c>
      <c r="C3378" t="s">
        <v>2751</v>
      </c>
      <c r="D3378" t="s">
        <v>17</v>
      </c>
      <c r="E3378" t="s">
        <v>18</v>
      </c>
      <c r="F3378" t="s">
        <v>19</v>
      </c>
      <c r="G3378" t="s">
        <v>20</v>
      </c>
      <c r="J3378" t="s">
        <v>17</v>
      </c>
      <c r="K3378" t="str">
        <f>"18360032"</f>
        <v>18360032</v>
      </c>
      <c r="L3378" t="str">
        <f>"18360032"</f>
        <v>18360032</v>
      </c>
      <c r="M3378" t="s">
        <v>75</v>
      </c>
      <c r="N3378" s="1">
        <v>42907.909722222219</v>
      </c>
      <c r="O3378" t="s">
        <v>19</v>
      </c>
    </row>
    <row r="3379" spans="1:15" x14ac:dyDescent="0.25">
      <c r="A3379" t="s">
        <v>2763</v>
      </c>
      <c r="B3379" t="s">
        <v>15</v>
      </c>
      <c r="C3379" t="s">
        <v>2751</v>
      </c>
      <c r="D3379" t="s">
        <v>17</v>
      </c>
      <c r="E3379" t="s">
        <v>18</v>
      </c>
      <c r="F3379" t="s">
        <v>19</v>
      </c>
      <c r="G3379" t="s">
        <v>20</v>
      </c>
      <c r="J3379" t="s">
        <v>17</v>
      </c>
      <c r="K3379" t="str">
        <f>"4713435793947"</f>
        <v>4713435793947</v>
      </c>
      <c r="L3379" t="str">
        <f>"98360032"</f>
        <v>98360032</v>
      </c>
      <c r="M3379" t="s">
        <v>75</v>
      </c>
      <c r="N3379" s="1">
        <v>43236.677083333336</v>
      </c>
      <c r="O3379" t="s">
        <v>19</v>
      </c>
    </row>
    <row r="3380" spans="1:15" x14ac:dyDescent="0.25">
      <c r="A3380" t="s">
        <v>2764</v>
      </c>
      <c r="B3380" t="s">
        <v>15</v>
      </c>
      <c r="C3380" t="s">
        <v>2751</v>
      </c>
      <c r="D3380" t="s">
        <v>17</v>
      </c>
      <c r="E3380" t="s">
        <v>18</v>
      </c>
      <c r="F3380" t="s">
        <v>19</v>
      </c>
      <c r="G3380" t="s">
        <v>20</v>
      </c>
      <c r="J3380" t="s">
        <v>17</v>
      </c>
      <c r="K3380" t="str">
        <f>"740617298680"</f>
        <v>740617298680</v>
      </c>
      <c r="L3380" t="str">
        <f>"10002399"</f>
        <v>10002399</v>
      </c>
      <c r="M3380" t="s">
        <v>21</v>
      </c>
      <c r="N3380" s="1">
        <v>43419.702777777777</v>
      </c>
      <c r="O3380" t="s">
        <v>19</v>
      </c>
    </row>
    <row r="3381" spans="1:15" x14ac:dyDescent="0.25">
      <c r="A3381" t="s">
        <v>2765</v>
      </c>
      <c r="B3381" t="s">
        <v>15</v>
      </c>
      <c r="C3381" t="s">
        <v>2751</v>
      </c>
      <c r="D3381" t="s">
        <v>17</v>
      </c>
      <c r="E3381" t="s">
        <v>18</v>
      </c>
      <c r="F3381" t="s">
        <v>19</v>
      </c>
      <c r="G3381" t="s">
        <v>20</v>
      </c>
      <c r="J3381" t="s">
        <v>17</v>
      </c>
      <c r="K3381" t="str">
        <f>"025215492570"</f>
        <v>025215492570</v>
      </c>
      <c r="L3381" t="str">
        <f>"60361032"</f>
        <v>60361032</v>
      </c>
      <c r="M3381" t="s">
        <v>84</v>
      </c>
      <c r="N3381" s="1">
        <v>43313.927083333336</v>
      </c>
      <c r="O3381" t="s">
        <v>19</v>
      </c>
    </row>
    <row r="3382" spans="1:15" x14ac:dyDescent="0.25">
      <c r="A3382" t="s">
        <v>2766</v>
      </c>
      <c r="B3382" t="s">
        <v>15</v>
      </c>
      <c r="C3382" t="s">
        <v>2751</v>
      </c>
      <c r="D3382" t="s">
        <v>17</v>
      </c>
      <c r="E3382" t="s">
        <v>18</v>
      </c>
      <c r="F3382" t="s">
        <v>19</v>
      </c>
      <c r="G3382" t="s">
        <v>20</v>
      </c>
      <c r="J3382" t="s">
        <v>17</v>
      </c>
      <c r="K3382" t="str">
        <f>"25363932"</f>
        <v>25363932</v>
      </c>
      <c r="L3382" t="str">
        <f>"25363932"</f>
        <v>25363932</v>
      </c>
      <c r="M3382" t="s">
        <v>75</v>
      </c>
      <c r="N3382" s="1">
        <v>42872.839583333334</v>
      </c>
      <c r="O3382" t="s">
        <v>19</v>
      </c>
    </row>
    <row r="3383" spans="1:15" x14ac:dyDescent="0.25">
      <c r="A3383" t="s">
        <v>2767</v>
      </c>
      <c r="B3383" t="s">
        <v>15</v>
      </c>
      <c r="C3383" t="s">
        <v>2751</v>
      </c>
      <c r="D3383" t="s">
        <v>17</v>
      </c>
      <c r="E3383" t="s">
        <v>18</v>
      </c>
      <c r="F3383" t="s">
        <v>19</v>
      </c>
      <c r="G3383" t="s">
        <v>20</v>
      </c>
      <c r="J3383" t="s">
        <v>17</v>
      </c>
      <c r="K3383" t="str">
        <f>"97367885"</f>
        <v>97367885</v>
      </c>
      <c r="L3383" t="str">
        <f>"97367885"</f>
        <v>97367885</v>
      </c>
      <c r="M3383" t="s">
        <v>21</v>
      </c>
      <c r="N3383" s="1">
        <v>43012.835416666669</v>
      </c>
      <c r="O3383" t="s">
        <v>19</v>
      </c>
    </row>
    <row r="3384" spans="1:15" x14ac:dyDescent="0.25">
      <c r="A3384" t="s">
        <v>2767</v>
      </c>
      <c r="B3384" t="s">
        <v>15</v>
      </c>
      <c r="C3384" t="s">
        <v>2751</v>
      </c>
      <c r="D3384" t="s">
        <v>17</v>
      </c>
      <c r="E3384" t="s">
        <v>18</v>
      </c>
      <c r="F3384" t="s">
        <v>19</v>
      </c>
      <c r="G3384" t="s">
        <v>20</v>
      </c>
      <c r="J3384" t="s">
        <v>17</v>
      </c>
      <c r="K3384" t="str">
        <f>"619659161637"</f>
        <v>619659161637</v>
      </c>
      <c r="L3384" t="str">
        <f>"92362746"</f>
        <v>92362746</v>
      </c>
      <c r="M3384" t="s">
        <v>21</v>
      </c>
      <c r="N3384" s="1">
        <v>43110.753472222219</v>
      </c>
      <c r="O3384" t="s">
        <v>19</v>
      </c>
    </row>
    <row r="3385" spans="1:15" x14ac:dyDescent="0.25">
      <c r="A3385" t="s">
        <v>2767</v>
      </c>
      <c r="B3385" t="s">
        <v>15</v>
      </c>
      <c r="C3385" t="s">
        <v>2751</v>
      </c>
      <c r="D3385" t="s">
        <v>17</v>
      </c>
      <c r="E3385" t="s">
        <v>18</v>
      </c>
      <c r="F3385" t="s">
        <v>19</v>
      </c>
      <c r="G3385" t="s">
        <v>20</v>
      </c>
      <c r="J3385" t="s">
        <v>17</v>
      </c>
      <c r="K3385" t="str">
        <f>"619659184407"</f>
        <v>619659184407</v>
      </c>
      <c r="L3385" t="str">
        <f>"92360032"</f>
        <v>92360032</v>
      </c>
      <c r="M3385" t="s">
        <v>21</v>
      </c>
      <c r="N3385" s="1">
        <v>43630.98333333333</v>
      </c>
      <c r="O3385" t="s">
        <v>19</v>
      </c>
    </row>
    <row r="3386" spans="1:15" x14ac:dyDescent="0.25">
      <c r="A3386" t="s">
        <v>2767</v>
      </c>
      <c r="B3386" t="s">
        <v>15</v>
      </c>
      <c r="C3386" t="s">
        <v>2751</v>
      </c>
      <c r="D3386" t="s">
        <v>17</v>
      </c>
      <c r="E3386" t="s">
        <v>18</v>
      </c>
      <c r="F3386" t="s">
        <v>19</v>
      </c>
      <c r="G3386" t="s">
        <v>20</v>
      </c>
      <c r="J3386" t="s">
        <v>17</v>
      </c>
      <c r="K3386" t="str">
        <f>"619659161644"</f>
        <v>619659161644</v>
      </c>
      <c r="L3386" t="str">
        <f>"57360032"</f>
        <v>57360032</v>
      </c>
      <c r="M3386" t="s">
        <v>21</v>
      </c>
      <c r="N3386" s="1">
        <v>43983.844444444447</v>
      </c>
      <c r="O3386" t="s">
        <v>19</v>
      </c>
    </row>
    <row r="3387" spans="1:15" x14ac:dyDescent="0.25">
      <c r="A3387" t="s">
        <v>2768</v>
      </c>
      <c r="B3387" t="s">
        <v>15</v>
      </c>
      <c r="C3387" t="s">
        <v>2751</v>
      </c>
      <c r="D3387" t="s">
        <v>17</v>
      </c>
      <c r="E3387" t="s">
        <v>18</v>
      </c>
      <c r="F3387" t="s">
        <v>19</v>
      </c>
      <c r="G3387" t="s">
        <v>20</v>
      </c>
      <c r="J3387" t="s">
        <v>17</v>
      </c>
      <c r="K3387" t="str">
        <f>"32362932"</f>
        <v>32362932</v>
      </c>
      <c r="L3387" t="str">
        <f>"32362932"</f>
        <v>32362932</v>
      </c>
      <c r="M3387" t="s">
        <v>75</v>
      </c>
      <c r="N3387" s="1">
        <v>42872.839583333334</v>
      </c>
      <c r="O3387" t="s">
        <v>19</v>
      </c>
    </row>
    <row r="3388" spans="1:15" x14ac:dyDescent="0.25">
      <c r="A3388" t="s">
        <v>2769</v>
      </c>
      <c r="B3388" t="s">
        <v>15</v>
      </c>
      <c r="C3388" t="s">
        <v>2751</v>
      </c>
      <c r="D3388" t="s">
        <v>17</v>
      </c>
      <c r="E3388" t="s">
        <v>18</v>
      </c>
      <c r="F3388" t="s">
        <v>19</v>
      </c>
      <c r="G3388" t="s">
        <v>20</v>
      </c>
      <c r="J3388" t="s">
        <v>17</v>
      </c>
      <c r="K3388" t="str">
        <f>"619659155414"</f>
        <v>619659155414</v>
      </c>
      <c r="L3388" t="str">
        <f>"92360232"</f>
        <v>92360232</v>
      </c>
      <c r="M3388" t="s">
        <v>21</v>
      </c>
      <c r="N3388" s="1">
        <v>43630.98541666667</v>
      </c>
      <c r="O3388" t="s">
        <v>19</v>
      </c>
    </row>
    <row r="3389" spans="1:15" x14ac:dyDescent="0.25">
      <c r="A3389" t="s">
        <v>2770</v>
      </c>
      <c r="B3389" t="s">
        <v>15</v>
      </c>
      <c r="C3389" t="s">
        <v>2751</v>
      </c>
      <c r="D3389" t="s">
        <v>17</v>
      </c>
      <c r="E3389" t="s">
        <v>18</v>
      </c>
      <c r="F3389" t="s">
        <v>19</v>
      </c>
      <c r="G3389" t="s">
        <v>20</v>
      </c>
      <c r="J3389" t="s">
        <v>17</v>
      </c>
      <c r="K3389" t="str">
        <f>"4713435796849"</f>
        <v>4713435796849</v>
      </c>
      <c r="L3389" t="str">
        <f>"98710064"</f>
        <v>98710064</v>
      </c>
      <c r="M3389" t="s">
        <v>84</v>
      </c>
      <c r="N3389" s="1">
        <v>43369.634027777778</v>
      </c>
      <c r="O3389" t="s">
        <v>19</v>
      </c>
    </row>
    <row r="3390" spans="1:15" x14ac:dyDescent="0.25">
      <c r="A3390" t="s">
        <v>2771</v>
      </c>
      <c r="B3390" t="s">
        <v>15</v>
      </c>
      <c r="C3390" t="s">
        <v>2751</v>
      </c>
      <c r="D3390" t="s">
        <v>17</v>
      </c>
      <c r="E3390" t="s">
        <v>18</v>
      </c>
      <c r="F3390" t="s">
        <v>19</v>
      </c>
      <c r="G3390" t="s">
        <v>20</v>
      </c>
      <c r="J3390" t="s">
        <v>17</v>
      </c>
      <c r="K3390" t="str">
        <f>"740617274769"</f>
        <v>740617274769</v>
      </c>
      <c r="L3390" t="str">
        <f>"10003345"</f>
        <v>10003345</v>
      </c>
      <c r="M3390" t="s">
        <v>84</v>
      </c>
      <c r="N3390" s="1">
        <v>43419.703472222223</v>
      </c>
      <c r="O3390" t="s">
        <v>19</v>
      </c>
    </row>
    <row r="3391" spans="1:15" x14ac:dyDescent="0.25">
      <c r="A3391" t="s">
        <v>2772</v>
      </c>
      <c r="B3391" t="s">
        <v>15</v>
      </c>
      <c r="C3391" t="s">
        <v>2751</v>
      </c>
      <c r="D3391" t="s">
        <v>17</v>
      </c>
      <c r="E3391" t="s">
        <v>18</v>
      </c>
      <c r="F3391" t="s">
        <v>19</v>
      </c>
      <c r="G3391" t="s">
        <v>20</v>
      </c>
      <c r="J3391" t="s">
        <v>17</v>
      </c>
      <c r="K3391" t="str">
        <f>"025215492587"</f>
        <v>025215492587</v>
      </c>
      <c r="L3391" t="str">
        <f>"60366400"</f>
        <v>60366400</v>
      </c>
      <c r="M3391" t="s">
        <v>84</v>
      </c>
      <c r="N3391" s="1">
        <v>43539.747916666667</v>
      </c>
      <c r="O3391" t="s">
        <v>19</v>
      </c>
    </row>
    <row r="3392" spans="1:15" x14ac:dyDescent="0.25">
      <c r="A3392" t="s">
        <v>2773</v>
      </c>
      <c r="B3392" t="s">
        <v>15</v>
      </c>
      <c r="C3392" t="s">
        <v>2751</v>
      </c>
      <c r="D3392" t="s">
        <v>17</v>
      </c>
      <c r="E3392" t="s">
        <v>18</v>
      </c>
      <c r="F3392" t="s">
        <v>19</v>
      </c>
      <c r="G3392" t="s">
        <v>20</v>
      </c>
      <c r="J3392" t="s">
        <v>17</v>
      </c>
      <c r="K3392" t="str">
        <f>"619659184414"</f>
        <v>619659184414</v>
      </c>
      <c r="L3392" t="str">
        <f>"92360064"</f>
        <v>92360064</v>
      </c>
      <c r="M3392" t="s">
        <v>21</v>
      </c>
      <c r="N3392" s="1">
        <v>43630.984722222223</v>
      </c>
      <c r="O3392" t="s">
        <v>19</v>
      </c>
    </row>
    <row r="3393" spans="1:15" x14ac:dyDescent="0.25">
      <c r="A3393" t="s">
        <v>2773</v>
      </c>
      <c r="B3393" t="s">
        <v>15</v>
      </c>
      <c r="C3393" t="s">
        <v>2751</v>
      </c>
      <c r="D3393" t="s">
        <v>17</v>
      </c>
      <c r="E3393" t="s">
        <v>18</v>
      </c>
      <c r="F3393" t="s">
        <v>19</v>
      </c>
      <c r="G3393" t="s">
        <v>20</v>
      </c>
      <c r="J3393" t="s">
        <v>17</v>
      </c>
      <c r="K3393" t="str">
        <f>"619659161705"</f>
        <v>619659161705</v>
      </c>
      <c r="L3393" t="str">
        <f>"57380064"</f>
        <v>57380064</v>
      </c>
      <c r="M3393" t="s">
        <v>21</v>
      </c>
      <c r="N3393" s="1">
        <v>43983.845833333333</v>
      </c>
      <c r="O3393" t="s">
        <v>19</v>
      </c>
    </row>
    <row r="3394" spans="1:15" x14ac:dyDescent="0.25">
      <c r="A3394" t="s">
        <v>2774</v>
      </c>
      <c r="B3394" t="s">
        <v>15</v>
      </c>
      <c r="C3394" t="s">
        <v>2751</v>
      </c>
      <c r="D3394" t="s">
        <v>17</v>
      </c>
      <c r="E3394" t="s">
        <v>18</v>
      </c>
      <c r="F3394" t="s">
        <v>19</v>
      </c>
      <c r="G3394" t="s">
        <v>20</v>
      </c>
      <c r="J3394" t="s">
        <v>18</v>
      </c>
      <c r="K3394" t="str">
        <f>"92360264"</f>
        <v>92360264</v>
      </c>
      <c r="L3394" t="str">
        <f>"92360264"</f>
        <v>92360264</v>
      </c>
      <c r="M3394" t="s">
        <v>21</v>
      </c>
      <c r="N3394" s="1">
        <v>44254.90625</v>
      </c>
      <c r="O3394" t="s">
        <v>19</v>
      </c>
    </row>
    <row r="3395" spans="1:15" x14ac:dyDescent="0.25">
      <c r="A3395" t="s">
        <v>2775</v>
      </c>
      <c r="B3395" t="s">
        <v>15</v>
      </c>
      <c r="C3395" t="s">
        <v>219</v>
      </c>
      <c r="D3395" t="s">
        <v>17</v>
      </c>
      <c r="E3395" t="s">
        <v>18</v>
      </c>
      <c r="F3395" t="s">
        <v>19</v>
      </c>
      <c r="G3395" t="s">
        <v>20</v>
      </c>
      <c r="J3395" t="s">
        <v>17</v>
      </c>
      <c r="K3395" t="str">
        <f>"4710007725979"</f>
        <v>4710007725979</v>
      </c>
      <c r="L3395" t="str">
        <f>"65810008"</f>
        <v>65810008</v>
      </c>
      <c r="M3395" t="s">
        <v>84</v>
      </c>
      <c r="N3395" s="1">
        <v>43326.861111111109</v>
      </c>
      <c r="O3395" t="s">
        <v>19</v>
      </c>
    </row>
    <row r="3396" spans="1:15" x14ac:dyDescent="0.25">
      <c r="A3396" t="s">
        <v>2776</v>
      </c>
      <c r="B3396" t="s">
        <v>15</v>
      </c>
      <c r="C3396" t="s">
        <v>219</v>
      </c>
      <c r="D3396" t="s">
        <v>17</v>
      </c>
      <c r="E3396" t="s">
        <v>18</v>
      </c>
      <c r="F3396" t="s">
        <v>19</v>
      </c>
      <c r="G3396" t="s">
        <v>20</v>
      </c>
      <c r="J3396" t="s">
        <v>17</v>
      </c>
      <c r="K3396" t="str">
        <f>"10118854"</f>
        <v>10118854</v>
      </c>
      <c r="L3396" t="str">
        <f>"10118854"</f>
        <v>10118854</v>
      </c>
      <c r="M3396" t="s">
        <v>21</v>
      </c>
      <c r="N3396" s="1">
        <v>43419.696527777778</v>
      </c>
      <c r="O3396" t="s">
        <v>19</v>
      </c>
    </row>
    <row r="3397" spans="1:15" x14ac:dyDescent="0.25">
      <c r="A3397" t="s">
        <v>2777</v>
      </c>
      <c r="B3397" t="s">
        <v>15</v>
      </c>
      <c r="C3397" t="s">
        <v>219</v>
      </c>
      <c r="D3397" t="s">
        <v>17</v>
      </c>
      <c r="E3397" t="s">
        <v>18</v>
      </c>
      <c r="F3397" t="s">
        <v>19</v>
      </c>
      <c r="G3397" t="s">
        <v>20</v>
      </c>
      <c r="J3397" t="s">
        <v>17</v>
      </c>
      <c r="K3397" t="str">
        <f>"8713439216714"</f>
        <v>8713439216714</v>
      </c>
      <c r="L3397" t="str">
        <f>"92306714"</f>
        <v>92306714</v>
      </c>
      <c r="M3397" t="s">
        <v>21</v>
      </c>
      <c r="N3397" s="1">
        <v>44344.688194444447</v>
      </c>
      <c r="O3397" t="s">
        <v>19</v>
      </c>
    </row>
    <row r="3398" spans="1:15" x14ac:dyDescent="0.25">
      <c r="A3398" t="s">
        <v>2778</v>
      </c>
      <c r="B3398" t="s">
        <v>15</v>
      </c>
      <c r="C3398" t="s">
        <v>219</v>
      </c>
      <c r="D3398" t="s">
        <v>17</v>
      </c>
      <c r="E3398" t="s">
        <v>18</v>
      </c>
      <c r="F3398" t="s">
        <v>19</v>
      </c>
      <c r="G3398" t="s">
        <v>20</v>
      </c>
      <c r="J3398" t="s">
        <v>17</v>
      </c>
      <c r="K3398" t="str">
        <f>"22307521"</f>
        <v>22307521</v>
      </c>
      <c r="L3398" t="str">
        <f>"22307521"</f>
        <v>22307521</v>
      </c>
      <c r="M3398" t="s">
        <v>21</v>
      </c>
      <c r="N3398" s="1">
        <v>43603.727777777778</v>
      </c>
      <c r="O3398" t="s">
        <v>19</v>
      </c>
    </row>
    <row r="3399" spans="1:15" x14ac:dyDescent="0.25">
      <c r="A3399" t="s">
        <v>2779</v>
      </c>
      <c r="B3399" t="s">
        <v>15</v>
      </c>
      <c r="C3399" t="s">
        <v>219</v>
      </c>
      <c r="D3399" t="s">
        <v>17</v>
      </c>
      <c r="E3399" t="s">
        <v>18</v>
      </c>
      <c r="F3399" t="s">
        <v>19</v>
      </c>
      <c r="G3399" t="s">
        <v>20</v>
      </c>
      <c r="J3399" t="s">
        <v>17</v>
      </c>
      <c r="K3399" t="str">
        <f>"52303700"</f>
        <v>52303700</v>
      </c>
      <c r="L3399" t="str">
        <f>"52303700"</f>
        <v>52303700</v>
      </c>
      <c r="M3399" t="s">
        <v>84</v>
      </c>
      <c r="N3399" s="1">
        <v>43454.744444444441</v>
      </c>
      <c r="O3399" t="s">
        <v>19</v>
      </c>
    </row>
    <row r="3400" spans="1:15" x14ac:dyDescent="0.25">
      <c r="A3400" t="s">
        <v>2780</v>
      </c>
      <c r="B3400" t="s">
        <v>15</v>
      </c>
      <c r="C3400" t="s">
        <v>219</v>
      </c>
      <c r="D3400" t="s">
        <v>17</v>
      </c>
      <c r="E3400" t="s">
        <v>18</v>
      </c>
      <c r="F3400" t="s">
        <v>19</v>
      </c>
      <c r="G3400" t="s">
        <v>20</v>
      </c>
      <c r="J3400" t="s">
        <v>17</v>
      </c>
      <c r="K3400" t="str">
        <f>"7858816042133"</f>
        <v>7858816042133</v>
      </c>
      <c r="L3400" t="str">
        <f>"87304213"</f>
        <v>87304213</v>
      </c>
      <c r="M3400" t="s">
        <v>21</v>
      </c>
      <c r="N3400" s="1">
        <v>43603.786805555559</v>
      </c>
      <c r="O3400" t="s">
        <v>19</v>
      </c>
    </row>
    <row r="3401" spans="1:15" x14ac:dyDescent="0.25">
      <c r="A3401" t="s">
        <v>2781</v>
      </c>
      <c r="B3401" t="s">
        <v>15</v>
      </c>
      <c r="C3401" t="s">
        <v>219</v>
      </c>
      <c r="D3401" t="s">
        <v>17</v>
      </c>
      <c r="E3401" t="s">
        <v>18</v>
      </c>
      <c r="F3401" t="s">
        <v>19</v>
      </c>
      <c r="G3401" t="s">
        <v>20</v>
      </c>
      <c r="J3401" t="s">
        <v>17</v>
      </c>
      <c r="K3401" t="str">
        <f>"10122418"</f>
        <v>10122418</v>
      </c>
      <c r="L3401" t="str">
        <f>"10122418"</f>
        <v>10122418</v>
      </c>
      <c r="M3401" t="s">
        <v>21</v>
      </c>
      <c r="N3401" s="1">
        <v>44371.787499999999</v>
      </c>
      <c r="O3401" t="s">
        <v>19</v>
      </c>
    </row>
    <row r="3402" spans="1:15" x14ac:dyDescent="0.25">
      <c r="A3402" t="s">
        <v>2782</v>
      </c>
      <c r="B3402" t="s">
        <v>15</v>
      </c>
      <c r="C3402" t="s">
        <v>219</v>
      </c>
      <c r="D3402" t="s">
        <v>17</v>
      </c>
      <c r="E3402" t="s">
        <v>18</v>
      </c>
      <c r="F3402" t="s">
        <v>19</v>
      </c>
      <c r="G3402" t="s">
        <v>20</v>
      </c>
      <c r="J3402" t="s">
        <v>17</v>
      </c>
      <c r="K3402" t="str">
        <f>"6918888888501"</f>
        <v>6918888888501</v>
      </c>
      <c r="L3402" t="str">
        <f>"40300001"</f>
        <v>40300001</v>
      </c>
      <c r="M3402" t="s">
        <v>21</v>
      </c>
      <c r="N3402" s="1">
        <v>44349.819444444445</v>
      </c>
      <c r="O3402" t="s">
        <v>19</v>
      </c>
    </row>
    <row r="3403" spans="1:15" x14ac:dyDescent="0.25">
      <c r="A3403" t="s">
        <v>2783</v>
      </c>
      <c r="B3403" t="s">
        <v>15</v>
      </c>
      <c r="C3403" t="s">
        <v>219</v>
      </c>
      <c r="D3403" t="s">
        <v>17</v>
      </c>
      <c r="E3403" t="s">
        <v>18</v>
      </c>
      <c r="F3403" t="s">
        <v>19</v>
      </c>
      <c r="G3403" t="s">
        <v>20</v>
      </c>
      <c r="J3403" t="s">
        <v>17</v>
      </c>
      <c r="K3403" t="str">
        <f>"6918888885173"</f>
        <v>6918888885173</v>
      </c>
      <c r="L3403" t="str">
        <f>"40305173"</f>
        <v>40305173</v>
      </c>
      <c r="M3403" t="s">
        <v>21</v>
      </c>
      <c r="N3403" s="1">
        <v>44322.754861111112</v>
      </c>
      <c r="O3403" t="s">
        <v>19</v>
      </c>
    </row>
    <row r="3404" spans="1:15" x14ac:dyDescent="0.25">
      <c r="A3404" t="s">
        <v>2784</v>
      </c>
      <c r="B3404" t="s">
        <v>15</v>
      </c>
      <c r="C3404" t="s">
        <v>219</v>
      </c>
      <c r="D3404" t="s">
        <v>17</v>
      </c>
      <c r="E3404" t="s">
        <v>18</v>
      </c>
      <c r="F3404" t="s">
        <v>19</v>
      </c>
      <c r="G3404" t="s">
        <v>20</v>
      </c>
      <c r="J3404" t="s">
        <v>17</v>
      </c>
      <c r="K3404" t="str">
        <f>"7858816075674"</f>
        <v>7858816075674</v>
      </c>
      <c r="L3404" t="str">
        <f>"87307567"</f>
        <v>87307567</v>
      </c>
      <c r="M3404" t="s">
        <v>21</v>
      </c>
      <c r="N3404" s="1">
        <v>44371.654166666667</v>
      </c>
      <c r="O3404" t="s">
        <v>19</v>
      </c>
    </row>
    <row r="3405" spans="1:15" x14ac:dyDescent="0.25">
      <c r="A3405" t="s">
        <v>2785</v>
      </c>
      <c r="B3405" t="s">
        <v>15</v>
      </c>
      <c r="C3405" t="s">
        <v>219</v>
      </c>
      <c r="D3405" t="s">
        <v>17</v>
      </c>
      <c r="E3405" t="s">
        <v>18</v>
      </c>
      <c r="F3405" t="s">
        <v>19</v>
      </c>
      <c r="G3405" t="s">
        <v>20</v>
      </c>
      <c r="J3405" t="s">
        <v>17</v>
      </c>
      <c r="K3405" t="str">
        <f>"7858816075681"</f>
        <v>7858816075681</v>
      </c>
      <c r="L3405" t="str">
        <f>"87817568"</f>
        <v>87817568</v>
      </c>
      <c r="M3405" t="s">
        <v>21</v>
      </c>
      <c r="N3405" s="1">
        <v>43687.688888888886</v>
      </c>
      <c r="O3405" t="s">
        <v>19</v>
      </c>
    </row>
    <row r="3406" spans="1:15" x14ac:dyDescent="0.25">
      <c r="A3406" t="s">
        <v>2786</v>
      </c>
      <c r="B3406" t="s">
        <v>15</v>
      </c>
      <c r="C3406" t="s">
        <v>219</v>
      </c>
      <c r="D3406" t="s">
        <v>17</v>
      </c>
      <c r="E3406" t="s">
        <v>18</v>
      </c>
      <c r="F3406" t="s">
        <v>19</v>
      </c>
      <c r="G3406" t="s">
        <v>20</v>
      </c>
      <c r="J3406" t="s">
        <v>17</v>
      </c>
      <c r="K3406" t="str">
        <f>"7858816075698"</f>
        <v>7858816075698</v>
      </c>
      <c r="L3406" t="str">
        <f>"87817569"</f>
        <v>87817569</v>
      </c>
      <c r="M3406" t="s">
        <v>21</v>
      </c>
      <c r="N3406" s="1">
        <v>43064.770833333336</v>
      </c>
      <c r="O3406" t="s">
        <v>19</v>
      </c>
    </row>
    <row r="3407" spans="1:15" x14ac:dyDescent="0.25">
      <c r="A3407" t="s">
        <v>2787</v>
      </c>
      <c r="B3407" t="s">
        <v>15</v>
      </c>
      <c r="C3407" t="s">
        <v>219</v>
      </c>
      <c r="D3407" t="s">
        <v>17</v>
      </c>
      <c r="E3407" t="s">
        <v>18</v>
      </c>
      <c r="F3407" t="s">
        <v>19</v>
      </c>
      <c r="G3407" t="s">
        <v>20</v>
      </c>
      <c r="J3407" t="s">
        <v>17</v>
      </c>
      <c r="K3407" t="str">
        <f>"7858816075704"</f>
        <v>7858816075704</v>
      </c>
      <c r="L3407" t="str">
        <f>"87307570"</f>
        <v>87307570</v>
      </c>
      <c r="M3407" t="s">
        <v>21</v>
      </c>
      <c r="N3407" s="1">
        <v>44371.655555555553</v>
      </c>
      <c r="O3407" t="s">
        <v>19</v>
      </c>
    </row>
    <row r="3408" spans="1:15" x14ac:dyDescent="0.25">
      <c r="A3408" t="s">
        <v>2788</v>
      </c>
      <c r="B3408" t="s">
        <v>15</v>
      </c>
      <c r="C3408" t="s">
        <v>219</v>
      </c>
      <c r="D3408" t="s">
        <v>17</v>
      </c>
      <c r="E3408" t="s">
        <v>18</v>
      </c>
      <c r="F3408" t="s">
        <v>19</v>
      </c>
      <c r="G3408" t="s">
        <v>20</v>
      </c>
      <c r="J3408" t="s">
        <v>17</v>
      </c>
      <c r="K3408" t="str">
        <f>"10119525"</f>
        <v>10119525</v>
      </c>
      <c r="L3408" t="str">
        <f>"10119525"</f>
        <v>10119525</v>
      </c>
      <c r="M3408" t="s">
        <v>21</v>
      </c>
      <c r="N3408" s="1">
        <v>44254.804861111108</v>
      </c>
      <c r="O3408" t="s">
        <v>19</v>
      </c>
    </row>
    <row r="3409" spans="1:15" x14ac:dyDescent="0.25">
      <c r="A3409" t="s">
        <v>2789</v>
      </c>
      <c r="B3409" t="s">
        <v>15</v>
      </c>
      <c r="C3409" t="s">
        <v>219</v>
      </c>
      <c r="D3409" t="s">
        <v>17</v>
      </c>
      <c r="E3409" t="s">
        <v>18</v>
      </c>
      <c r="F3409" t="s">
        <v>19</v>
      </c>
      <c r="G3409" t="s">
        <v>20</v>
      </c>
      <c r="J3409" t="s">
        <v>17</v>
      </c>
      <c r="K3409" t="str">
        <f>"87810001"</f>
        <v>87810001</v>
      </c>
      <c r="L3409" t="str">
        <f>"87810001"</f>
        <v>87810001</v>
      </c>
      <c r="M3409" t="s">
        <v>21</v>
      </c>
      <c r="N3409" s="1">
        <v>44404.695833333331</v>
      </c>
      <c r="O3409" t="s">
        <v>19</v>
      </c>
    </row>
    <row r="3410" spans="1:15" x14ac:dyDescent="0.25">
      <c r="A3410" t="s">
        <v>2790</v>
      </c>
      <c r="B3410" t="s">
        <v>15</v>
      </c>
      <c r="C3410" t="s">
        <v>219</v>
      </c>
      <c r="D3410" t="s">
        <v>17</v>
      </c>
      <c r="E3410" t="s">
        <v>18</v>
      </c>
      <c r="F3410" t="s">
        <v>19</v>
      </c>
      <c r="G3410" t="s">
        <v>20</v>
      </c>
      <c r="J3410" t="s">
        <v>17</v>
      </c>
      <c r="K3410" t="str">
        <f>"7858816077906"</f>
        <v>7858816077906</v>
      </c>
      <c r="L3410" t="str">
        <f>"87817790"</f>
        <v>87817790</v>
      </c>
      <c r="M3410" t="s">
        <v>21</v>
      </c>
      <c r="N3410" s="1">
        <v>43609.790277777778</v>
      </c>
      <c r="O3410" t="s">
        <v>19</v>
      </c>
    </row>
    <row r="3411" spans="1:15" x14ac:dyDescent="0.25">
      <c r="A3411" t="s">
        <v>2791</v>
      </c>
      <c r="B3411" t="s">
        <v>15</v>
      </c>
      <c r="C3411" t="s">
        <v>219</v>
      </c>
      <c r="D3411" t="s">
        <v>17</v>
      </c>
      <c r="E3411" t="s">
        <v>18</v>
      </c>
      <c r="F3411" t="s">
        <v>19</v>
      </c>
      <c r="G3411" t="s">
        <v>20</v>
      </c>
      <c r="J3411" t="s">
        <v>17</v>
      </c>
      <c r="K3411" t="str">
        <f>"7858816077913"</f>
        <v>7858816077913</v>
      </c>
      <c r="L3411" t="str">
        <f>"87807791"</f>
        <v>87807791</v>
      </c>
      <c r="M3411" t="s">
        <v>21</v>
      </c>
      <c r="N3411" s="1">
        <v>44356.890972222223</v>
      </c>
      <c r="O3411" t="s">
        <v>19</v>
      </c>
    </row>
    <row r="3412" spans="1:15" x14ac:dyDescent="0.25">
      <c r="A3412" t="s">
        <v>2792</v>
      </c>
      <c r="B3412" t="s">
        <v>15</v>
      </c>
      <c r="C3412" t="s">
        <v>219</v>
      </c>
      <c r="D3412" t="s">
        <v>17</v>
      </c>
      <c r="E3412" t="s">
        <v>18</v>
      </c>
      <c r="F3412" t="s">
        <v>19</v>
      </c>
      <c r="G3412" t="s">
        <v>20</v>
      </c>
      <c r="J3412" t="s">
        <v>17</v>
      </c>
      <c r="K3412" t="str">
        <f>"7858816078521"</f>
        <v>7858816078521</v>
      </c>
      <c r="L3412" t="str">
        <f>"87387852"</f>
        <v>87387852</v>
      </c>
      <c r="M3412" t="s">
        <v>21</v>
      </c>
      <c r="N3412" s="1">
        <v>43609.806944444441</v>
      </c>
      <c r="O3412" t="s">
        <v>19</v>
      </c>
    </row>
    <row r="3413" spans="1:15" x14ac:dyDescent="0.25">
      <c r="A3413" t="s">
        <v>2793</v>
      </c>
      <c r="B3413" t="s">
        <v>15</v>
      </c>
      <c r="C3413" t="s">
        <v>219</v>
      </c>
      <c r="D3413" t="s">
        <v>17</v>
      </c>
      <c r="E3413" t="s">
        <v>18</v>
      </c>
      <c r="F3413" t="s">
        <v>19</v>
      </c>
      <c r="G3413" t="s">
        <v>20</v>
      </c>
      <c r="J3413" t="s">
        <v>17</v>
      </c>
      <c r="K3413" t="str">
        <f>"7858816078538"</f>
        <v>7858816078538</v>
      </c>
      <c r="L3413" t="str">
        <f>"87817853"</f>
        <v>87817853</v>
      </c>
      <c r="M3413" t="s">
        <v>21</v>
      </c>
      <c r="N3413" s="1">
        <v>42872.847222222219</v>
      </c>
      <c r="O3413" t="s">
        <v>19</v>
      </c>
    </row>
    <row r="3414" spans="1:15" x14ac:dyDescent="0.25">
      <c r="A3414" t="s">
        <v>2794</v>
      </c>
      <c r="B3414" t="s">
        <v>15</v>
      </c>
      <c r="C3414" t="s">
        <v>219</v>
      </c>
      <c r="D3414" t="s">
        <v>17</v>
      </c>
      <c r="E3414" t="s">
        <v>18</v>
      </c>
      <c r="F3414" t="s">
        <v>19</v>
      </c>
      <c r="G3414" t="s">
        <v>20</v>
      </c>
      <c r="J3414" t="s">
        <v>17</v>
      </c>
      <c r="K3414" t="str">
        <f>"76300001"</f>
        <v>76300001</v>
      </c>
      <c r="L3414" t="str">
        <f>"76300001"</f>
        <v>76300001</v>
      </c>
      <c r="M3414" t="s">
        <v>21</v>
      </c>
      <c r="N3414" s="1">
        <v>42872.839583333334</v>
      </c>
      <c r="O3414" t="s">
        <v>19</v>
      </c>
    </row>
    <row r="3415" spans="1:15" x14ac:dyDescent="0.25">
      <c r="A3415" t="s">
        <v>2795</v>
      </c>
      <c r="B3415" t="s">
        <v>15</v>
      </c>
      <c r="C3415" t="s">
        <v>219</v>
      </c>
      <c r="D3415" t="s">
        <v>17</v>
      </c>
      <c r="E3415" t="s">
        <v>18</v>
      </c>
      <c r="F3415" t="s">
        <v>19</v>
      </c>
      <c r="G3415" t="s">
        <v>20</v>
      </c>
      <c r="J3415" t="s">
        <v>17</v>
      </c>
      <c r="K3415" t="str">
        <f>"6925871674133"</f>
        <v>6925871674133</v>
      </c>
      <c r="L3415" t="str">
        <f>"22307413"</f>
        <v>22307413</v>
      </c>
      <c r="M3415" t="s">
        <v>75</v>
      </c>
      <c r="N3415" s="1">
        <v>43082.643750000003</v>
      </c>
      <c r="O3415" t="s">
        <v>19</v>
      </c>
    </row>
    <row r="3416" spans="1:15" x14ac:dyDescent="0.25">
      <c r="A3416" t="s">
        <v>2796</v>
      </c>
      <c r="B3416" t="s">
        <v>15</v>
      </c>
      <c r="C3416" t="s">
        <v>219</v>
      </c>
      <c r="D3416" t="s">
        <v>17</v>
      </c>
      <c r="E3416" t="s">
        <v>18</v>
      </c>
      <c r="F3416" t="s">
        <v>19</v>
      </c>
      <c r="G3416" t="s">
        <v>20</v>
      </c>
      <c r="J3416" t="s">
        <v>17</v>
      </c>
      <c r="K3416" t="str">
        <f>"878100353"</f>
        <v>878100353</v>
      </c>
      <c r="L3416" t="str">
        <f>"878100353"</f>
        <v>878100353</v>
      </c>
      <c r="M3416" t="s">
        <v>75</v>
      </c>
      <c r="N3416" s="1">
        <v>42872.849305555559</v>
      </c>
      <c r="O3416" t="s">
        <v>19</v>
      </c>
    </row>
    <row r="3417" spans="1:15" x14ac:dyDescent="0.25">
      <c r="A3417" t="s">
        <v>2797</v>
      </c>
      <c r="B3417" t="s">
        <v>15</v>
      </c>
      <c r="C3417" t="s">
        <v>219</v>
      </c>
      <c r="D3417" t="s">
        <v>17</v>
      </c>
      <c r="E3417" t="s">
        <v>18</v>
      </c>
      <c r="F3417" t="s">
        <v>19</v>
      </c>
      <c r="G3417" t="s">
        <v>20</v>
      </c>
      <c r="J3417" t="s">
        <v>17</v>
      </c>
      <c r="K3417" t="str">
        <f>"2000358710239"</f>
        <v>2000358710239</v>
      </c>
      <c r="L3417" t="str">
        <f>"98304030"</f>
        <v>98304030</v>
      </c>
      <c r="M3417" t="s">
        <v>21</v>
      </c>
      <c r="N3417" s="1">
        <v>43719.681250000001</v>
      </c>
      <c r="O3417" t="s">
        <v>19</v>
      </c>
    </row>
    <row r="3418" spans="1:15" x14ac:dyDescent="0.25">
      <c r="A3418" t="s">
        <v>2798</v>
      </c>
      <c r="B3418" t="s">
        <v>15</v>
      </c>
      <c r="C3418" t="s">
        <v>219</v>
      </c>
      <c r="D3418" t="s">
        <v>17</v>
      </c>
      <c r="E3418" t="s">
        <v>18</v>
      </c>
      <c r="F3418" t="s">
        <v>19</v>
      </c>
      <c r="G3418" t="s">
        <v>20</v>
      </c>
      <c r="J3418" t="s">
        <v>17</v>
      </c>
      <c r="K3418" t="str">
        <f>"8414533043847"</f>
        <v>8414533043847</v>
      </c>
      <c r="L3418" t="str">
        <f>"10001070"</f>
        <v>10001070</v>
      </c>
      <c r="M3418" t="s">
        <v>75</v>
      </c>
      <c r="N3418" s="1">
        <v>42872.839583333334</v>
      </c>
      <c r="O3418" t="s">
        <v>19</v>
      </c>
    </row>
    <row r="3419" spans="1:15" x14ac:dyDescent="0.25">
      <c r="A3419" t="s">
        <v>2799</v>
      </c>
      <c r="B3419" t="s">
        <v>15</v>
      </c>
      <c r="C3419" t="s">
        <v>219</v>
      </c>
      <c r="D3419" t="s">
        <v>17</v>
      </c>
      <c r="E3419" t="s">
        <v>18</v>
      </c>
      <c r="F3419" t="s">
        <v>19</v>
      </c>
      <c r="G3419" t="s">
        <v>20</v>
      </c>
      <c r="J3419" t="s">
        <v>17</v>
      </c>
      <c r="K3419" t="str">
        <f>"10003749"</f>
        <v>10003749</v>
      </c>
      <c r="L3419" t="str">
        <f>"10003749"</f>
        <v>10003749</v>
      </c>
      <c r="M3419" t="s">
        <v>84</v>
      </c>
      <c r="N3419" s="1">
        <v>43382.703472222223</v>
      </c>
      <c r="O3419" t="s">
        <v>19</v>
      </c>
    </row>
    <row r="3420" spans="1:15" x14ac:dyDescent="0.25">
      <c r="A3420" t="s">
        <v>2800</v>
      </c>
      <c r="B3420" t="s">
        <v>15</v>
      </c>
      <c r="C3420" t="s">
        <v>219</v>
      </c>
      <c r="D3420" t="s">
        <v>17</v>
      </c>
      <c r="E3420" t="s">
        <v>18</v>
      </c>
      <c r="F3420" t="s">
        <v>19</v>
      </c>
      <c r="G3420" t="s">
        <v>20</v>
      </c>
      <c r="J3420" t="s">
        <v>17</v>
      </c>
      <c r="K3420" t="str">
        <f>"7858816003530"</f>
        <v>7858816003530</v>
      </c>
      <c r="L3420" t="str">
        <f>"87300353"</f>
        <v>87300353</v>
      </c>
      <c r="M3420" t="s">
        <v>21</v>
      </c>
      <c r="N3420" s="1">
        <v>42872.839583333334</v>
      </c>
      <c r="O3420" t="s">
        <v>19</v>
      </c>
    </row>
    <row r="3421" spans="1:15" x14ac:dyDescent="0.25">
      <c r="A3421" t="s">
        <v>2801</v>
      </c>
      <c r="B3421" t="s">
        <v>15</v>
      </c>
      <c r="C3421" t="s">
        <v>219</v>
      </c>
      <c r="D3421" t="s">
        <v>17</v>
      </c>
      <c r="E3421" t="s">
        <v>18</v>
      </c>
      <c r="F3421" t="s">
        <v>19</v>
      </c>
      <c r="G3421" t="s">
        <v>20</v>
      </c>
      <c r="J3421" t="s">
        <v>17</v>
      </c>
      <c r="K3421" t="str">
        <f>"6924494004051"</f>
        <v>6924494004051</v>
      </c>
      <c r="L3421" t="str">
        <f>"98810308"</f>
        <v>98810308</v>
      </c>
      <c r="M3421" t="s">
        <v>75</v>
      </c>
      <c r="N3421" s="1">
        <v>43236.682638888888</v>
      </c>
      <c r="O3421" t="s">
        <v>19</v>
      </c>
    </row>
    <row r="3422" spans="1:15" x14ac:dyDescent="0.25">
      <c r="A3422" t="s">
        <v>2802</v>
      </c>
      <c r="B3422" t="s">
        <v>15</v>
      </c>
      <c r="C3422" t="s">
        <v>219</v>
      </c>
      <c r="D3422" t="s">
        <v>17</v>
      </c>
      <c r="E3422" t="s">
        <v>18</v>
      </c>
      <c r="F3422" t="s">
        <v>19</v>
      </c>
      <c r="G3422" t="s">
        <v>20</v>
      </c>
      <c r="J3422" t="s">
        <v>17</v>
      </c>
      <c r="K3422" t="str">
        <f>"4710007716243"</f>
        <v>4710007716243</v>
      </c>
      <c r="L3422" t="str">
        <f>"65816243"</f>
        <v>65816243</v>
      </c>
      <c r="M3422" t="s">
        <v>75</v>
      </c>
      <c r="N3422" s="1">
        <v>43029.616666666669</v>
      </c>
      <c r="O3422" t="s">
        <v>19</v>
      </c>
    </row>
    <row r="3423" spans="1:15" x14ac:dyDescent="0.25">
      <c r="A3423" t="s">
        <v>2803</v>
      </c>
      <c r="B3423" t="s">
        <v>15</v>
      </c>
      <c r="C3423" t="s">
        <v>219</v>
      </c>
      <c r="D3423" t="s">
        <v>17</v>
      </c>
      <c r="E3423" t="s">
        <v>18</v>
      </c>
      <c r="F3423" t="s">
        <v>19</v>
      </c>
      <c r="G3423" t="s">
        <v>20</v>
      </c>
      <c r="J3423" t="s">
        <v>17</v>
      </c>
      <c r="K3423" t="str">
        <f>"7168232650035"</f>
        <v>7168232650035</v>
      </c>
      <c r="L3423" t="str">
        <f>"32PRXMK003"</f>
        <v>32PRXMK003</v>
      </c>
      <c r="M3423" t="s">
        <v>21</v>
      </c>
      <c r="N3423" s="1">
        <v>43805.82708333333</v>
      </c>
      <c r="O3423" t="s">
        <v>19</v>
      </c>
    </row>
    <row r="3424" spans="1:15" x14ac:dyDescent="0.25">
      <c r="A3424" t="s">
        <v>2804</v>
      </c>
      <c r="B3424" t="s">
        <v>15</v>
      </c>
      <c r="C3424" t="s">
        <v>219</v>
      </c>
      <c r="D3424" t="s">
        <v>17</v>
      </c>
      <c r="E3424" t="s">
        <v>18</v>
      </c>
      <c r="F3424" t="s">
        <v>19</v>
      </c>
      <c r="G3424" t="s">
        <v>20</v>
      </c>
      <c r="J3424" t="s">
        <v>17</v>
      </c>
      <c r="K3424" t="str">
        <f>"7858816085741"</f>
        <v>7858816085741</v>
      </c>
      <c r="L3424" t="str">
        <f>"87818574"</f>
        <v>87818574</v>
      </c>
      <c r="M3424" t="s">
        <v>21</v>
      </c>
      <c r="N3424" s="1">
        <v>44404.709722222222</v>
      </c>
      <c r="O3424" t="s">
        <v>19</v>
      </c>
    </row>
    <row r="3425" spans="1:15" x14ac:dyDescent="0.25">
      <c r="A3425" t="s">
        <v>2805</v>
      </c>
      <c r="B3425" t="s">
        <v>15</v>
      </c>
      <c r="C3425" t="s">
        <v>219</v>
      </c>
      <c r="D3425" t="s">
        <v>17</v>
      </c>
      <c r="E3425" t="s">
        <v>18</v>
      </c>
      <c r="F3425" t="s">
        <v>19</v>
      </c>
      <c r="G3425" t="s">
        <v>20</v>
      </c>
      <c r="J3425" t="s">
        <v>17</v>
      </c>
      <c r="K3425" t="str">
        <f>"7168232650042"</f>
        <v>7168232650042</v>
      </c>
      <c r="L3425" t="str">
        <f>"32PRXMK004"</f>
        <v>32PRXMK004</v>
      </c>
      <c r="M3425" t="s">
        <v>21</v>
      </c>
      <c r="N3425" s="1">
        <v>43805.827777777777</v>
      </c>
      <c r="O3425" t="s">
        <v>19</v>
      </c>
    </row>
    <row r="3426" spans="1:15" x14ac:dyDescent="0.25">
      <c r="A3426" t="s">
        <v>2806</v>
      </c>
      <c r="B3426" t="s">
        <v>15</v>
      </c>
      <c r="C3426" t="s">
        <v>219</v>
      </c>
      <c r="D3426" t="s">
        <v>17</v>
      </c>
      <c r="E3426" t="s">
        <v>18</v>
      </c>
      <c r="F3426" t="s">
        <v>19</v>
      </c>
      <c r="G3426" t="s">
        <v>20</v>
      </c>
      <c r="J3426" t="s">
        <v>17</v>
      </c>
      <c r="K3426" t="str">
        <f>"7168232650059"</f>
        <v>7168232650059</v>
      </c>
      <c r="L3426" t="str">
        <f>"32PRXMK005"</f>
        <v>32PRXMK005</v>
      </c>
      <c r="M3426" t="s">
        <v>21</v>
      </c>
      <c r="N3426" s="1">
        <v>43805.827777777777</v>
      </c>
      <c r="O3426" t="s">
        <v>19</v>
      </c>
    </row>
    <row r="3427" spans="1:15" x14ac:dyDescent="0.25">
      <c r="A3427" t="s">
        <v>2807</v>
      </c>
      <c r="B3427" t="s">
        <v>15</v>
      </c>
      <c r="C3427" t="s">
        <v>219</v>
      </c>
      <c r="D3427" t="s">
        <v>17</v>
      </c>
      <c r="E3427" t="s">
        <v>18</v>
      </c>
      <c r="F3427" t="s">
        <v>19</v>
      </c>
      <c r="G3427" t="s">
        <v>20</v>
      </c>
      <c r="J3427" t="s">
        <v>17</v>
      </c>
      <c r="K3427" t="str">
        <f>"22810001"</f>
        <v>22810001</v>
      </c>
      <c r="L3427" t="str">
        <f>"22810001"</f>
        <v>22810001</v>
      </c>
      <c r="M3427" t="s">
        <v>84</v>
      </c>
      <c r="N3427" s="1">
        <v>43533.634027777778</v>
      </c>
      <c r="O3427" t="s">
        <v>19</v>
      </c>
    </row>
    <row r="3428" spans="1:15" x14ac:dyDescent="0.25">
      <c r="A3428" t="s">
        <v>2808</v>
      </c>
      <c r="B3428" t="s">
        <v>15</v>
      </c>
      <c r="C3428" t="s">
        <v>219</v>
      </c>
      <c r="D3428" t="s">
        <v>17</v>
      </c>
      <c r="E3428" t="s">
        <v>18</v>
      </c>
      <c r="F3428" t="s">
        <v>19</v>
      </c>
      <c r="G3428" t="s">
        <v>20</v>
      </c>
      <c r="J3428" t="s">
        <v>17</v>
      </c>
      <c r="K3428" t="str">
        <f>"4710007730768"</f>
        <v>4710007730768</v>
      </c>
      <c r="L3428" t="str">
        <f>"65810012"</f>
        <v>65810012</v>
      </c>
      <c r="M3428" t="s">
        <v>84</v>
      </c>
      <c r="N3428" s="1">
        <v>43326.861805555556</v>
      </c>
      <c r="O3428" t="s">
        <v>19</v>
      </c>
    </row>
    <row r="3429" spans="1:15" x14ac:dyDescent="0.25">
      <c r="A3429" t="s">
        <v>2809</v>
      </c>
      <c r="B3429" t="s">
        <v>15</v>
      </c>
      <c r="C3429" t="s">
        <v>219</v>
      </c>
      <c r="D3429" t="s">
        <v>17</v>
      </c>
      <c r="E3429" t="s">
        <v>18</v>
      </c>
      <c r="F3429" t="s">
        <v>19</v>
      </c>
      <c r="G3429" t="s">
        <v>20</v>
      </c>
      <c r="J3429" t="s">
        <v>17</v>
      </c>
      <c r="K3429" t="str">
        <f>"5626890043085"</f>
        <v>5626890043085</v>
      </c>
      <c r="L3429" t="str">
        <f>"28814308"</f>
        <v>28814308</v>
      </c>
      <c r="M3429" t="s">
        <v>84</v>
      </c>
      <c r="N3429" s="1">
        <v>43502.573611111111</v>
      </c>
      <c r="O3429" t="s">
        <v>19</v>
      </c>
    </row>
    <row r="3430" spans="1:15" x14ac:dyDescent="0.25">
      <c r="A3430" t="s">
        <v>2810</v>
      </c>
      <c r="B3430" t="s">
        <v>15</v>
      </c>
      <c r="C3430" t="s">
        <v>219</v>
      </c>
      <c r="D3430" t="s">
        <v>17</v>
      </c>
      <c r="E3430" t="s">
        <v>18</v>
      </c>
      <c r="F3430" t="s">
        <v>19</v>
      </c>
      <c r="G3430" t="s">
        <v>20</v>
      </c>
      <c r="J3430" t="s">
        <v>17</v>
      </c>
      <c r="K3430" t="str">
        <f>"8713439216745"</f>
        <v>8713439216745</v>
      </c>
      <c r="L3430" t="str">
        <f>"988121964"</f>
        <v>988121964</v>
      </c>
      <c r="M3430" t="s">
        <v>21</v>
      </c>
      <c r="N3430" s="1">
        <v>43313.98333333333</v>
      </c>
      <c r="O3430" t="s">
        <v>19</v>
      </c>
    </row>
    <row r="3431" spans="1:15" x14ac:dyDescent="0.25">
      <c r="A3431" t="s">
        <v>2811</v>
      </c>
      <c r="B3431" t="s">
        <v>15</v>
      </c>
      <c r="C3431" t="s">
        <v>219</v>
      </c>
      <c r="D3431" t="s">
        <v>17</v>
      </c>
      <c r="E3431" t="s">
        <v>18</v>
      </c>
      <c r="F3431" t="s">
        <v>19</v>
      </c>
      <c r="G3431" t="s">
        <v>20</v>
      </c>
      <c r="J3431" t="s">
        <v>17</v>
      </c>
      <c r="K3431" t="str">
        <f>"76300350"</f>
        <v>76300350</v>
      </c>
      <c r="L3431" t="str">
        <f>"76300350"</f>
        <v>76300350</v>
      </c>
      <c r="M3431" t="s">
        <v>75</v>
      </c>
      <c r="N3431" s="1">
        <v>42986.93472222222</v>
      </c>
      <c r="O3431" t="s">
        <v>19</v>
      </c>
    </row>
    <row r="3432" spans="1:15" x14ac:dyDescent="0.25">
      <c r="A3432" t="s">
        <v>2812</v>
      </c>
      <c r="B3432" t="s">
        <v>15</v>
      </c>
      <c r="C3432" t="s">
        <v>219</v>
      </c>
      <c r="D3432" t="s">
        <v>17</v>
      </c>
      <c r="E3432" t="s">
        <v>18</v>
      </c>
      <c r="F3432" t="s">
        <v>19</v>
      </c>
      <c r="G3432" t="s">
        <v>20</v>
      </c>
      <c r="J3432" t="s">
        <v>17</v>
      </c>
      <c r="K3432" t="str">
        <f>"5626890043092"</f>
        <v>5626890043092</v>
      </c>
      <c r="L3432" t="str">
        <f>"2830913056"</f>
        <v>2830913056</v>
      </c>
      <c r="M3432" t="s">
        <v>21</v>
      </c>
      <c r="N3432" s="1">
        <v>43649.681250000001</v>
      </c>
      <c r="O3432" t="s">
        <v>19</v>
      </c>
    </row>
    <row r="3433" spans="1:15" x14ac:dyDescent="0.25">
      <c r="A3433" t="s">
        <v>2813</v>
      </c>
      <c r="B3433" t="s">
        <v>15</v>
      </c>
      <c r="C3433" t="s">
        <v>219</v>
      </c>
      <c r="D3433" t="s">
        <v>17</v>
      </c>
      <c r="E3433" t="s">
        <v>18</v>
      </c>
      <c r="F3433" t="s">
        <v>19</v>
      </c>
      <c r="G3433" t="s">
        <v>20</v>
      </c>
      <c r="J3433" t="s">
        <v>17</v>
      </c>
      <c r="K3433" t="str">
        <f>"10000989"</f>
        <v>10000989</v>
      </c>
      <c r="L3433" t="str">
        <f>"10000989"</f>
        <v>10000989</v>
      </c>
      <c r="M3433" t="s">
        <v>84</v>
      </c>
      <c r="N3433" s="1">
        <v>43546.621527777781</v>
      </c>
      <c r="O3433" t="s">
        <v>19</v>
      </c>
    </row>
    <row r="3434" spans="1:15" x14ac:dyDescent="0.25">
      <c r="A3434" t="s">
        <v>2814</v>
      </c>
      <c r="B3434" t="s">
        <v>15</v>
      </c>
      <c r="C3434" t="s">
        <v>219</v>
      </c>
      <c r="D3434" t="s">
        <v>17</v>
      </c>
      <c r="E3434" t="s">
        <v>18</v>
      </c>
      <c r="F3434" t="s">
        <v>19</v>
      </c>
      <c r="G3434" t="s">
        <v>20</v>
      </c>
      <c r="J3434" t="s">
        <v>17</v>
      </c>
      <c r="K3434" t="str">
        <f>"10001096"</f>
        <v>10001096</v>
      </c>
      <c r="L3434" t="str">
        <f>"10001096"</f>
        <v>10001096</v>
      </c>
      <c r="M3434" t="s">
        <v>84</v>
      </c>
      <c r="N3434" s="1">
        <v>43377.677083333336</v>
      </c>
      <c r="O3434" t="s">
        <v>19</v>
      </c>
    </row>
    <row r="3435" spans="1:15" x14ac:dyDescent="0.25">
      <c r="A3435" t="s">
        <v>2815</v>
      </c>
      <c r="B3435" t="s">
        <v>15</v>
      </c>
      <c r="C3435" t="s">
        <v>37</v>
      </c>
      <c r="D3435" t="s">
        <v>17</v>
      </c>
      <c r="E3435" t="s">
        <v>18</v>
      </c>
      <c r="F3435" t="s">
        <v>19</v>
      </c>
      <c r="G3435" t="s">
        <v>20</v>
      </c>
      <c r="J3435" t="s">
        <v>17</v>
      </c>
      <c r="K3435" t="str">
        <f>"10001194"</f>
        <v>10001194</v>
      </c>
      <c r="L3435" t="str">
        <f>"10001194"</f>
        <v>10001194</v>
      </c>
      <c r="M3435" t="s">
        <v>84</v>
      </c>
      <c r="N3435" s="1">
        <v>43501.964583333334</v>
      </c>
      <c r="O3435" t="s">
        <v>19</v>
      </c>
    </row>
    <row r="3436" spans="1:15" x14ac:dyDescent="0.25">
      <c r="A3436" t="s">
        <v>2816</v>
      </c>
      <c r="B3436" t="s">
        <v>15</v>
      </c>
      <c r="C3436" t="s">
        <v>35</v>
      </c>
      <c r="D3436" t="s">
        <v>17</v>
      </c>
      <c r="E3436" t="s">
        <v>18</v>
      </c>
      <c r="F3436" t="s">
        <v>19</v>
      </c>
      <c r="G3436" t="s">
        <v>20</v>
      </c>
      <c r="J3436" t="s">
        <v>17</v>
      </c>
      <c r="K3436" t="str">
        <f>"9289"</f>
        <v>9289</v>
      </c>
      <c r="L3436" t="str">
        <f>"98029289"</f>
        <v>98029289</v>
      </c>
      <c r="M3436" t="s">
        <v>84</v>
      </c>
      <c r="N3436" s="1">
        <v>43350.826388888891</v>
      </c>
      <c r="O3436" t="s">
        <v>19</v>
      </c>
    </row>
    <row r="3437" spans="1:15" x14ac:dyDescent="0.25">
      <c r="A3437" t="s">
        <v>2817</v>
      </c>
      <c r="B3437" t="s">
        <v>15</v>
      </c>
      <c r="C3437" t="s">
        <v>37</v>
      </c>
      <c r="D3437" t="s">
        <v>17</v>
      </c>
      <c r="E3437" t="s">
        <v>18</v>
      </c>
      <c r="F3437" t="s">
        <v>19</v>
      </c>
      <c r="G3437" t="s">
        <v>20</v>
      </c>
      <c r="J3437" t="s">
        <v>17</v>
      </c>
      <c r="K3437" t="str">
        <f>"66000003"</f>
        <v>66000003</v>
      </c>
      <c r="L3437" t="str">
        <f>"66000003"</f>
        <v>66000003</v>
      </c>
      <c r="M3437" t="s">
        <v>75</v>
      </c>
      <c r="N3437" s="1">
        <v>42872.839583333334</v>
      </c>
      <c r="O3437" t="s">
        <v>19</v>
      </c>
    </row>
    <row r="3438" spans="1:15" x14ac:dyDescent="0.25">
      <c r="A3438" t="s">
        <v>2818</v>
      </c>
      <c r="B3438" t="s">
        <v>15</v>
      </c>
      <c r="C3438" t="s">
        <v>37</v>
      </c>
      <c r="D3438" t="s">
        <v>17</v>
      </c>
      <c r="E3438" t="s">
        <v>18</v>
      </c>
      <c r="F3438" t="s">
        <v>19</v>
      </c>
      <c r="G3438" t="s">
        <v>20</v>
      </c>
      <c r="J3438" t="s">
        <v>17</v>
      </c>
      <c r="K3438" t="str">
        <f>"42104000"</f>
        <v>42104000</v>
      </c>
      <c r="L3438" t="str">
        <f>"42104000"</f>
        <v>42104000</v>
      </c>
      <c r="M3438" t="s">
        <v>75</v>
      </c>
      <c r="N3438" s="1">
        <v>42872.839583333334</v>
      </c>
      <c r="O3438" t="s">
        <v>19</v>
      </c>
    </row>
    <row r="3439" spans="1:15" x14ac:dyDescent="0.25">
      <c r="A3439" t="s">
        <v>2819</v>
      </c>
      <c r="B3439" t="s">
        <v>15</v>
      </c>
      <c r="C3439" t="s">
        <v>37</v>
      </c>
      <c r="D3439" t="s">
        <v>17</v>
      </c>
      <c r="E3439" t="s">
        <v>18</v>
      </c>
      <c r="F3439" t="s">
        <v>19</v>
      </c>
      <c r="G3439" t="s">
        <v>20</v>
      </c>
      <c r="J3439" t="s">
        <v>17</v>
      </c>
      <c r="K3439" t="str">
        <f>"42104010"</f>
        <v>42104010</v>
      </c>
      <c r="L3439" t="str">
        <f>"42104010"</f>
        <v>42104010</v>
      </c>
      <c r="M3439" t="s">
        <v>75</v>
      </c>
      <c r="N3439" s="1">
        <v>42872.839583333334</v>
      </c>
      <c r="O3439" t="s">
        <v>19</v>
      </c>
    </row>
    <row r="3440" spans="1:15" x14ac:dyDescent="0.25">
      <c r="A3440" t="s">
        <v>2820</v>
      </c>
      <c r="B3440" t="s">
        <v>15</v>
      </c>
      <c r="C3440" t="s">
        <v>2821</v>
      </c>
      <c r="D3440" t="s">
        <v>17</v>
      </c>
      <c r="E3440" t="s">
        <v>18</v>
      </c>
      <c r="F3440" t="s">
        <v>19</v>
      </c>
      <c r="G3440" t="s">
        <v>20</v>
      </c>
      <c r="J3440" t="s">
        <v>17</v>
      </c>
      <c r="K3440" t="str">
        <f>"42100260"</f>
        <v>42100260</v>
      </c>
      <c r="L3440" t="str">
        <f>"42100260"</f>
        <v>42100260</v>
      </c>
      <c r="M3440" t="s">
        <v>75</v>
      </c>
      <c r="N3440" s="1">
        <v>42872.839583333334</v>
      </c>
      <c r="O3440" t="s">
        <v>19</v>
      </c>
    </row>
    <row r="3441" spans="1:15" x14ac:dyDescent="0.25">
      <c r="A3441" t="s">
        <v>2822</v>
      </c>
      <c r="B3441" t="s">
        <v>15</v>
      </c>
      <c r="C3441" t="s">
        <v>937</v>
      </c>
      <c r="D3441" t="s">
        <v>17</v>
      </c>
      <c r="E3441" t="s">
        <v>18</v>
      </c>
      <c r="F3441" t="s">
        <v>19</v>
      </c>
      <c r="G3441" t="s">
        <v>20</v>
      </c>
      <c r="J3441" t="s">
        <v>17</v>
      </c>
      <c r="K3441" t="str">
        <f>"10109317"</f>
        <v>10109317</v>
      </c>
      <c r="L3441" t="str">
        <f>"10109317"</f>
        <v>10109317</v>
      </c>
      <c r="M3441" t="s">
        <v>75</v>
      </c>
      <c r="N3441" s="1">
        <v>42872.839583333334</v>
      </c>
      <c r="O3441" t="s">
        <v>19</v>
      </c>
    </row>
    <row r="3442" spans="1:15" x14ac:dyDescent="0.25">
      <c r="A3442" t="s">
        <v>2823</v>
      </c>
      <c r="B3442" t="s">
        <v>15</v>
      </c>
      <c r="C3442" t="s">
        <v>937</v>
      </c>
      <c r="D3442" t="s">
        <v>17</v>
      </c>
      <c r="E3442" t="s">
        <v>18</v>
      </c>
      <c r="F3442" t="s">
        <v>19</v>
      </c>
      <c r="G3442" t="s">
        <v>20</v>
      </c>
      <c r="J3442" t="s">
        <v>17</v>
      </c>
      <c r="K3442" t="str">
        <f>"66032350"</f>
        <v>66032350</v>
      </c>
      <c r="L3442" t="str">
        <f>"66032350"</f>
        <v>66032350</v>
      </c>
      <c r="M3442" t="s">
        <v>75</v>
      </c>
      <c r="N3442" s="1">
        <v>42872.847222222219</v>
      </c>
      <c r="O3442" t="s">
        <v>19</v>
      </c>
    </row>
    <row r="3443" spans="1:15" x14ac:dyDescent="0.25">
      <c r="A3443" t="s">
        <v>2824</v>
      </c>
      <c r="B3443" t="s">
        <v>15</v>
      </c>
      <c r="C3443" t="s">
        <v>937</v>
      </c>
      <c r="D3443" t="s">
        <v>17</v>
      </c>
      <c r="E3443" t="s">
        <v>18</v>
      </c>
      <c r="F3443" t="s">
        <v>19</v>
      </c>
      <c r="G3443" t="s">
        <v>20</v>
      </c>
      <c r="J3443" t="s">
        <v>17</v>
      </c>
      <c r="K3443" t="str">
        <f>"87001127"</f>
        <v>87001127</v>
      </c>
      <c r="L3443" t="str">
        <f>"87001127"</f>
        <v>87001127</v>
      </c>
      <c r="M3443" t="s">
        <v>75</v>
      </c>
      <c r="N3443" s="1">
        <v>42872.847222222219</v>
      </c>
      <c r="O3443" t="s">
        <v>19</v>
      </c>
    </row>
    <row r="3444" spans="1:15" x14ac:dyDescent="0.25">
      <c r="A3444" t="s">
        <v>2825</v>
      </c>
      <c r="B3444" t="s">
        <v>15</v>
      </c>
      <c r="C3444" t="s">
        <v>937</v>
      </c>
      <c r="D3444" t="s">
        <v>17</v>
      </c>
      <c r="E3444" t="s">
        <v>18</v>
      </c>
      <c r="F3444" t="s">
        <v>19</v>
      </c>
      <c r="G3444" t="s">
        <v>20</v>
      </c>
      <c r="J3444" t="s">
        <v>17</v>
      </c>
      <c r="K3444" t="str">
        <f>"4710007726433"</f>
        <v>4710007726433</v>
      </c>
      <c r="L3444" t="str">
        <f>"65076433"</f>
        <v>65076433</v>
      </c>
      <c r="M3444" t="s">
        <v>75</v>
      </c>
      <c r="N3444" s="1">
        <v>43116.877083333333</v>
      </c>
      <c r="O3444" t="s">
        <v>19</v>
      </c>
    </row>
    <row r="3445" spans="1:15" x14ac:dyDescent="0.25">
      <c r="A3445" t="s">
        <v>2826</v>
      </c>
      <c r="B3445" t="s">
        <v>15</v>
      </c>
      <c r="C3445" t="s">
        <v>941</v>
      </c>
      <c r="D3445" t="s">
        <v>17</v>
      </c>
      <c r="E3445" t="s">
        <v>18</v>
      </c>
      <c r="F3445" t="s">
        <v>19</v>
      </c>
      <c r="G3445" t="s">
        <v>20</v>
      </c>
      <c r="J3445" t="s">
        <v>17</v>
      </c>
      <c r="K3445" t="str">
        <f>"6925871617130"</f>
        <v>6925871617130</v>
      </c>
      <c r="L3445" t="str">
        <f>"22071713"</f>
        <v>22071713</v>
      </c>
      <c r="M3445" t="s">
        <v>75</v>
      </c>
      <c r="N3445" s="1">
        <v>43082.659722222219</v>
      </c>
      <c r="O3445" t="s">
        <v>19</v>
      </c>
    </row>
    <row r="3446" spans="1:15" x14ac:dyDescent="0.25">
      <c r="A3446" t="s">
        <v>2827</v>
      </c>
      <c r="B3446" t="s">
        <v>15</v>
      </c>
      <c r="C3446" t="s">
        <v>937</v>
      </c>
      <c r="D3446" t="s">
        <v>17</v>
      </c>
      <c r="E3446" t="s">
        <v>18</v>
      </c>
      <c r="F3446" t="s">
        <v>19</v>
      </c>
      <c r="G3446" t="s">
        <v>20</v>
      </c>
      <c r="J3446" t="s">
        <v>17</v>
      </c>
      <c r="K3446" t="str">
        <f>"6925871617345"</f>
        <v>6925871617345</v>
      </c>
      <c r="L3446" t="str">
        <f>"22071734"</f>
        <v>22071734</v>
      </c>
      <c r="M3446" t="s">
        <v>75</v>
      </c>
      <c r="N3446" s="1">
        <v>43043.747916666667</v>
      </c>
      <c r="O3446" t="s">
        <v>19</v>
      </c>
    </row>
    <row r="3447" spans="1:15" x14ac:dyDescent="0.25">
      <c r="A3447" t="s">
        <v>2828</v>
      </c>
      <c r="B3447" t="s">
        <v>15</v>
      </c>
      <c r="C3447" t="s">
        <v>937</v>
      </c>
      <c r="D3447" t="s">
        <v>17</v>
      </c>
      <c r="E3447" t="s">
        <v>18</v>
      </c>
      <c r="F3447" t="s">
        <v>19</v>
      </c>
      <c r="G3447" t="s">
        <v>20</v>
      </c>
      <c r="J3447" t="s">
        <v>17</v>
      </c>
      <c r="K3447" t="str">
        <f>"25622310"</f>
        <v>25622310</v>
      </c>
      <c r="L3447" t="str">
        <f>"25622310"</f>
        <v>25622310</v>
      </c>
      <c r="M3447" t="s">
        <v>75</v>
      </c>
      <c r="N3447" s="1">
        <v>42872.839583333334</v>
      </c>
      <c r="O3447" t="s">
        <v>19</v>
      </c>
    </row>
    <row r="3448" spans="1:15" x14ac:dyDescent="0.25">
      <c r="A3448" t="s">
        <v>2829</v>
      </c>
      <c r="B3448" t="s">
        <v>15</v>
      </c>
      <c r="C3448" t="s">
        <v>941</v>
      </c>
      <c r="D3448" t="s">
        <v>17</v>
      </c>
      <c r="E3448" t="s">
        <v>18</v>
      </c>
      <c r="F3448" t="s">
        <v>19</v>
      </c>
      <c r="G3448" t="s">
        <v>20</v>
      </c>
      <c r="J3448" t="s">
        <v>17</v>
      </c>
      <c r="K3448" t="str">
        <f>"22001413"</f>
        <v>22001413</v>
      </c>
      <c r="L3448" t="str">
        <f>"22001413"</f>
        <v>22001413</v>
      </c>
      <c r="M3448" t="s">
        <v>75</v>
      </c>
      <c r="N3448" s="1">
        <v>42872.839583333334</v>
      </c>
      <c r="O3448" t="s">
        <v>19</v>
      </c>
    </row>
    <row r="3449" spans="1:15" x14ac:dyDescent="0.25">
      <c r="A3449" t="s">
        <v>2830</v>
      </c>
      <c r="B3449" t="s">
        <v>15</v>
      </c>
      <c r="C3449" t="s">
        <v>941</v>
      </c>
      <c r="D3449" t="s">
        <v>17</v>
      </c>
      <c r="E3449" t="s">
        <v>18</v>
      </c>
      <c r="F3449" t="s">
        <v>19</v>
      </c>
      <c r="G3449" t="s">
        <v>20</v>
      </c>
      <c r="J3449" t="s">
        <v>17</v>
      </c>
      <c r="K3449" t="str">
        <f>"22001630"</f>
        <v>22001630</v>
      </c>
      <c r="L3449" t="str">
        <f>"22001630"</f>
        <v>22001630</v>
      </c>
      <c r="M3449" t="s">
        <v>75</v>
      </c>
      <c r="N3449" s="1">
        <v>42872.839583333334</v>
      </c>
      <c r="O3449" t="s">
        <v>19</v>
      </c>
    </row>
    <row r="3450" spans="1:15" x14ac:dyDescent="0.25">
      <c r="A3450" t="s">
        <v>2831</v>
      </c>
      <c r="B3450" t="s">
        <v>15</v>
      </c>
      <c r="C3450" t="s">
        <v>941</v>
      </c>
      <c r="D3450" t="s">
        <v>17</v>
      </c>
      <c r="E3450" t="s">
        <v>18</v>
      </c>
      <c r="F3450" t="s">
        <v>19</v>
      </c>
      <c r="G3450" t="s">
        <v>20</v>
      </c>
      <c r="J3450" t="s">
        <v>17</v>
      </c>
      <c r="K3450" t="str">
        <f>"6925871612104"</f>
        <v>6925871612104</v>
      </c>
      <c r="L3450" t="str">
        <f>"22071210"</f>
        <v>22071210</v>
      </c>
      <c r="M3450" t="s">
        <v>75</v>
      </c>
      <c r="N3450" s="1">
        <v>42941.654861111114</v>
      </c>
      <c r="O3450" t="s">
        <v>19</v>
      </c>
    </row>
    <row r="3451" spans="1:15" x14ac:dyDescent="0.25">
      <c r="A3451" t="s">
        <v>2832</v>
      </c>
      <c r="B3451" t="s">
        <v>15</v>
      </c>
      <c r="C3451" t="s">
        <v>941</v>
      </c>
      <c r="D3451" t="s">
        <v>17</v>
      </c>
      <c r="E3451" t="s">
        <v>18</v>
      </c>
      <c r="F3451" t="s">
        <v>19</v>
      </c>
      <c r="G3451" t="s">
        <v>20</v>
      </c>
      <c r="J3451" t="s">
        <v>17</v>
      </c>
      <c r="K3451" t="str">
        <f>"6925871613439"</f>
        <v>6925871613439</v>
      </c>
      <c r="L3451" t="str">
        <f>"22071343"</f>
        <v>22071343</v>
      </c>
      <c r="M3451" t="s">
        <v>75</v>
      </c>
      <c r="N3451" s="1">
        <v>42907.952777777777</v>
      </c>
      <c r="O3451" t="s">
        <v>19</v>
      </c>
    </row>
    <row r="3452" spans="1:15" x14ac:dyDescent="0.25">
      <c r="A3452" t="s">
        <v>2833</v>
      </c>
      <c r="B3452" t="s">
        <v>15</v>
      </c>
      <c r="C3452" t="s">
        <v>941</v>
      </c>
      <c r="D3452" t="s">
        <v>17</v>
      </c>
      <c r="E3452" t="s">
        <v>18</v>
      </c>
      <c r="F3452" t="s">
        <v>19</v>
      </c>
      <c r="G3452" t="s">
        <v>20</v>
      </c>
      <c r="J3452" t="s">
        <v>17</v>
      </c>
      <c r="K3452" t="str">
        <f>"22001573"</f>
        <v>22001573</v>
      </c>
      <c r="L3452" t="str">
        <f>"22001573"</f>
        <v>22001573</v>
      </c>
      <c r="M3452" t="s">
        <v>75</v>
      </c>
      <c r="N3452" s="1">
        <v>42872.839583333334</v>
      </c>
      <c r="O3452" t="s">
        <v>19</v>
      </c>
    </row>
    <row r="3453" spans="1:15" x14ac:dyDescent="0.25">
      <c r="A3453" t="s">
        <v>2834</v>
      </c>
      <c r="B3453" t="s">
        <v>15</v>
      </c>
      <c r="C3453" t="s">
        <v>941</v>
      </c>
      <c r="D3453" t="s">
        <v>17</v>
      </c>
      <c r="E3453" t="s">
        <v>18</v>
      </c>
      <c r="F3453" t="s">
        <v>19</v>
      </c>
      <c r="G3453" t="s">
        <v>20</v>
      </c>
      <c r="J3453" t="s">
        <v>17</v>
      </c>
      <c r="K3453" t="str">
        <f>"6925871617109"</f>
        <v>6925871617109</v>
      </c>
      <c r="L3453" t="str">
        <f>"22071710"</f>
        <v>22071710</v>
      </c>
      <c r="M3453" t="s">
        <v>75</v>
      </c>
      <c r="N3453" s="1">
        <v>43082.638194444444</v>
      </c>
      <c r="O3453" t="s">
        <v>19</v>
      </c>
    </row>
    <row r="3454" spans="1:15" x14ac:dyDescent="0.25">
      <c r="A3454" t="s">
        <v>2835</v>
      </c>
      <c r="B3454" t="s">
        <v>15</v>
      </c>
      <c r="C3454" t="s">
        <v>941</v>
      </c>
      <c r="D3454" t="s">
        <v>17</v>
      </c>
      <c r="E3454" t="s">
        <v>18</v>
      </c>
      <c r="F3454" t="s">
        <v>19</v>
      </c>
      <c r="G3454" t="s">
        <v>20</v>
      </c>
      <c r="J3454" t="s">
        <v>17</v>
      </c>
      <c r="K3454" t="str">
        <f>"6925871617635"</f>
        <v>6925871617635</v>
      </c>
      <c r="L3454" t="str">
        <f>"22071763"</f>
        <v>22071763</v>
      </c>
      <c r="M3454" t="s">
        <v>75</v>
      </c>
      <c r="N3454" s="1">
        <v>42907.945138888892</v>
      </c>
      <c r="O3454" t="s">
        <v>19</v>
      </c>
    </row>
    <row r="3455" spans="1:15" x14ac:dyDescent="0.25">
      <c r="A3455" t="s">
        <v>2836</v>
      </c>
      <c r="B3455" t="s">
        <v>15</v>
      </c>
      <c r="C3455" t="s">
        <v>905</v>
      </c>
      <c r="D3455" t="s">
        <v>17</v>
      </c>
      <c r="E3455" t="s">
        <v>18</v>
      </c>
      <c r="F3455" t="s">
        <v>19</v>
      </c>
      <c r="G3455" t="s">
        <v>20</v>
      </c>
      <c r="J3455" t="s">
        <v>17</v>
      </c>
      <c r="K3455" t="str">
        <f>"17730053"</f>
        <v>17730053</v>
      </c>
      <c r="L3455" t="str">
        <f>"17730053"</f>
        <v>17730053</v>
      </c>
      <c r="M3455" t="s">
        <v>75</v>
      </c>
      <c r="N3455" s="1">
        <v>42872.839583333334</v>
      </c>
      <c r="O3455" t="s">
        <v>19</v>
      </c>
    </row>
    <row r="3456" spans="1:15" x14ac:dyDescent="0.25">
      <c r="A3456" t="s">
        <v>2837</v>
      </c>
      <c r="B3456" t="s">
        <v>15</v>
      </c>
      <c r="C3456" t="s">
        <v>2838</v>
      </c>
      <c r="D3456" t="s">
        <v>17</v>
      </c>
      <c r="E3456" t="s">
        <v>18</v>
      </c>
      <c r="F3456" t="s">
        <v>19</v>
      </c>
      <c r="G3456" t="s">
        <v>20</v>
      </c>
      <c r="J3456" t="s">
        <v>17</v>
      </c>
      <c r="K3456" t="str">
        <f>"7894762916234"</f>
        <v>7894762916234</v>
      </c>
      <c r="L3456" t="str">
        <f>"29PLCBK701"</f>
        <v>29PLCBK701</v>
      </c>
      <c r="M3456" t="s">
        <v>21</v>
      </c>
      <c r="N3456" s="1">
        <v>44001.818749999999</v>
      </c>
      <c r="O3456" t="s">
        <v>19</v>
      </c>
    </row>
    <row r="3457" spans="1:15" x14ac:dyDescent="0.25">
      <c r="A3457" t="s">
        <v>2839</v>
      </c>
      <c r="B3457" t="s">
        <v>15</v>
      </c>
      <c r="C3457" t="s">
        <v>2838</v>
      </c>
      <c r="D3457" t="s">
        <v>17</v>
      </c>
      <c r="E3457" t="s">
        <v>18</v>
      </c>
      <c r="F3457" t="s">
        <v>19</v>
      </c>
      <c r="G3457" t="s">
        <v>20</v>
      </c>
      <c r="J3457" t="s">
        <v>17</v>
      </c>
      <c r="K3457" t="str">
        <f>"10003497"</f>
        <v>10003497</v>
      </c>
      <c r="L3457" t="str">
        <f>"10003497"</f>
        <v>10003497</v>
      </c>
      <c r="M3457" t="s">
        <v>75</v>
      </c>
      <c r="N3457" s="1">
        <v>42924.671527777777</v>
      </c>
      <c r="O3457" t="s">
        <v>19</v>
      </c>
    </row>
    <row r="3458" spans="1:15" x14ac:dyDescent="0.25">
      <c r="A3458" t="s">
        <v>2840</v>
      </c>
      <c r="B3458" t="s">
        <v>15</v>
      </c>
      <c r="C3458" t="s">
        <v>2838</v>
      </c>
      <c r="D3458" t="s">
        <v>17</v>
      </c>
      <c r="E3458" t="s">
        <v>18</v>
      </c>
      <c r="F3458" t="s">
        <v>19</v>
      </c>
      <c r="G3458" t="s">
        <v>20</v>
      </c>
      <c r="J3458" t="s">
        <v>17</v>
      </c>
      <c r="K3458" t="str">
        <f>"7803864181150"</f>
        <v>7803864181150</v>
      </c>
      <c r="L3458" t="str">
        <f>"40501150"</f>
        <v>40501150</v>
      </c>
      <c r="M3458" t="s">
        <v>21</v>
      </c>
      <c r="N3458" s="1">
        <v>44306.929166666669</v>
      </c>
      <c r="O3458" t="s">
        <v>19</v>
      </c>
    </row>
    <row r="3459" spans="1:15" x14ac:dyDescent="0.25">
      <c r="A3459" t="s">
        <v>2841</v>
      </c>
      <c r="B3459" t="s">
        <v>15</v>
      </c>
      <c r="C3459" t="s">
        <v>2838</v>
      </c>
      <c r="D3459" t="s">
        <v>17</v>
      </c>
      <c r="E3459" t="s">
        <v>18</v>
      </c>
      <c r="F3459" t="s">
        <v>19</v>
      </c>
      <c r="G3459" t="s">
        <v>20</v>
      </c>
      <c r="J3459" t="s">
        <v>18</v>
      </c>
      <c r="K3459" t="str">
        <f>"7858816041907"</f>
        <v>7858816041907</v>
      </c>
      <c r="L3459" t="str">
        <f>"87504190"</f>
        <v>87504190</v>
      </c>
      <c r="M3459" t="s">
        <v>21</v>
      </c>
      <c r="N3459" s="1">
        <v>44211.772916666669</v>
      </c>
      <c r="O3459" t="s">
        <v>19</v>
      </c>
    </row>
    <row r="3460" spans="1:15" x14ac:dyDescent="0.25">
      <c r="A3460" t="s">
        <v>2842</v>
      </c>
      <c r="B3460" t="s">
        <v>15</v>
      </c>
      <c r="C3460" t="s">
        <v>2838</v>
      </c>
      <c r="D3460" t="s">
        <v>17</v>
      </c>
      <c r="E3460" t="s">
        <v>18</v>
      </c>
      <c r="F3460" t="s">
        <v>19</v>
      </c>
      <c r="G3460" t="s">
        <v>20</v>
      </c>
      <c r="J3460" t="s">
        <v>17</v>
      </c>
      <c r="K3460" t="str">
        <f>"1456873738578"</f>
        <v>1456873738578</v>
      </c>
      <c r="L3460" t="str">
        <f>"40500003"</f>
        <v>40500003</v>
      </c>
      <c r="M3460" t="s">
        <v>21</v>
      </c>
      <c r="N3460" s="1">
        <v>44225.87777777778</v>
      </c>
      <c r="O3460" t="s">
        <v>19</v>
      </c>
    </row>
    <row r="3461" spans="1:15" x14ac:dyDescent="0.25">
      <c r="A3461" t="s">
        <v>2843</v>
      </c>
      <c r="B3461" t="s">
        <v>15</v>
      </c>
      <c r="C3461" t="s">
        <v>37</v>
      </c>
      <c r="D3461" t="s">
        <v>17</v>
      </c>
      <c r="E3461" t="s">
        <v>18</v>
      </c>
      <c r="F3461" t="s">
        <v>19</v>
      </c>
      <c r="G3461" t="s">
        <v>20</v>
      </c>
      <c r="J3461" t="s">
        <v>17</v>
      </c>
      <c r="K3461" t="str">
        <f>"135702668491"</f>
        <v>135702668491</v>
      </c>
      <c r="L3461" t="str">
        <f>"88520000"</f>
        <v>88520000</v>
      </c>
      <c r="M3461" t="s">
        <v>75</v>
      </c>
      <c r="N3461" s="1">
        <v>42872.847222222219</v>
      </c>
      <c r="O3461" t="s">
        <v>19</v>
      </c>
    </row>
    <row r="3462" spans="1:15" x14ac:dyDescent="0.25">
      <c r="A3462" t="s">
        <v>2844</v>
      </c>
      <c r="B3462" t="s">
        <v>15</v>
      </c>
      <c r="C3462" t="s">
        <v>37</v>
      </c>
      <c r="D3462" t="s">
        <v>17</v>
      </c>
      <c r="E3462" t="s">
        <v>18</v>
      </c>
      <c r="F3462" t="s">
        <v>19</v>
      </c>
      <c r="G3462" t="s">
        <v>20</v>
      </c>
      <c r="J3462" t="s">
        <v>17</v>
      </c>
      <c r="K3462" t="str">
        <f>"8669885019167"</f>
        <v>8669885019167</v>
      </c>
      <c r="L3462" t="str">
        <f>"66521916"</f>
        <v>66521916</v>
      </c>
      <c r="M3462" t="s">
        <v>75</v>
      </c>
      <c r="N3462" s="1">
        <v>43096.877083333333</v>
      </c>
      <c r="O3462" t="s">
        <v>19</v>
      </c>
    </row>
    <row r="3463" spans="1:15" x14ac:dyDescent="0.25">
      <c r="A3463" t="s">
        <v>2845</v>
      </c>
      <c r="B3463" t="s">
        <v>15</v>
      </c>
      <c r="C3463" t="s">
        <v>37</v>
      </c>
      <c r="D3463" t="s">
        <v>17</v>
      </c>
      <c r="E3463" t="s">
        <v>18</v>
      </c>
      <c r="F3463" t="s">
        <v>19</v>
      </c>
      <c r="G3463" t="s">
        <v>20</v>
      </c>
      <c r="J3463" t="s">
        <v>17</v>
      </c>
      <c r="K3463" t="str">
        <f>"10003435"</f>
        <v>10003435</v>
      </c>
      <c r="L3463" t="str">
        <f>"10003435"</f>
        <v>10003435</v>
      </c>
      <c r="M3463" t="s">
        <v>75</v>
      </c>
      <c r="N3463" s="1">
        <v>42970.660416666666</v>
      </c>
      <c r="O3463" t="s">
        <v>19</v>
      </c>
    </row>
    <row r="3464" spans="1:15" x14ac:dyDescent="0.25">
      <c r="A3464" t="s">
        <v>2846</v>
      </c>
      <c r="B3464" t="s">
        <v>15</v>
      </c>
      <c r="C3464" t="s">
        <v>37</v>
      </c>
      <c r="D3464" t="s">
        <v>17</v>
      </c>
      <c r="E3464" t="s">
        <v>18</v>
      </c>
      <c r="F3464" t="s">
        <v>19</v>
      </c>
      <c r="G3464" t="s">
        <v>20</v>
      </c>
      <c r="J3464" t="s">
        <v>17</v>
      </c>
      <c r="K3464" t="str">
        <f>"98520506"</f>
        <v>98520506</v>
      </c>
      <c r="L3464" t="str">
        <f>"98520506"</f>
        <v>98520506</v>
      </c>
      <c r="M3464" t="s">
        <v>21</v>
      </c>
      <c r="N3464" s="1">
        <v>43746.895833333336</v>
      </c>
      <c r="O3464" t="s">
        <v>19</v>
      </c>
    </row>
    <row r="3465" spans="1:15" x14ac:dyDescent="0.25">
      <c r="A3465" t="s">
        <v>2847</v>
      </c>
      <c r="B3465" t="s">
        <v>15</v>
      </c>
      <c r="C3465" t="s">
        <v>905</v>
      </c>
      <c r="D3465" t="s">
        <v>17</v>
      </c>
      <c r="E3465" t="s">
        <v>18</v>
      </c>
      <c r="F3465" t="s">
        <v>19</v>
      </c>
      <c r="G3465" t="s">
        <v>20</v>
      </c>
      <c r="J3465" t="s">
        <v>17</v>
      </c>
      <c r="K3465" t="str">
        <f>"46730000"</f>
        <v>46730000</v>
      </c>
      <c r="L3465" t="str">
        <f>"46730000"</f>
        <v>46730000</v>
      </c>
      <c r="M3465" t="s">
        <v>75</v>
      </c>
      <c r="N3465" s="1">
        <v>42872.839583333334</v>
      </c>
      <c r="O3465" t="s">
        <v>19</v>
      </c>
    </row>
    <row r="3466" spans="1:15" x14ac:dyDescent="0.25">
      <c r="A3466" t="s">
        <v>2848</v>
      </c>
      <c r="B3466" t="s">
        <v>15</v>
      </c>
      <c r="C3466" t="s">
        <v>905</v>
      </c>
      <c r="D3466" t="s">
        <v>17</v>
      </c>
      <c r="E3466" t="s">
        <v>18</v>
      </c>
      <c r="F3466" t="s">
        <v>19</v>
      </c>
      <c r="G3466" t="s">
        <v>20</v>
      </c>
      <c r="J3466" t="s">
        <v>17</v>
      </c>
      <c r="K3466" t="str">
        <f>"10001388"</f>
        <v>10001388</v>
      </c>
      <c r="L3466" t="str">
        <f>"10001388"</f>
        <v>10001388</v>
      </c>
      <c r="M3466" t="s">
        <v>84</v>
      </c>
      <c r="N3466" s="1">
        <v>43377.649305555555</v>
      </c>
      <c r="O3466" t="s">
        <v>19</v>
      </c>
    </row>
    <row r="3467" spans="1:15" x14ac:dyDescent="0.25">
      <c r="A3467" t="s">
        <v>2849</v>
      </c>
      <c r="B3467" t="s">
        <v>15</v>
      </c>
      <c r="C3467" t="s">
        <v>905</v>
      </c>
      <c r="D3467" t="s">
        <v>17</v>
      </c>
      <c r="E3467" t="s">
        <v>18</v>
      </c>
      <c r="F3467" t="s">
        <v>19</v>
      </c>
      <c r="G3467" t="s">
        <v>20</v>
      </c>
      <c r="J3467" t="s">
        <v>17</v>
      </c>
      <c r="K3467" t="str">
        <f>"10001286"</f>
        <v>10001286</v>
      </c>
      <c r="L3467" t="str">
        <f>"10001286"</f>
        <v>10001286</v>
      </c>
      <c r="M3467" t="s">
        <v>84</v>
      </c>
      <c r="N3467" s="1">
        <v>43571.807638888888</v>
      </c>
      <c r="O3467" t="s">
        <v>19</v>
      </c>
    </row>
    <row r="3468" spans="1:15" x14ac:dyDescent="0.25">
      <c r="A3468" t="s">
        <v>2850</v>
      </c>
      <c r="B3468" t="s">
        <v>15</v>
      </c>
      <c r="C3468" t="s">
        <v>2821</v>
      </c>
      <c r="D3468" t="s">
        <v>17</v>
      </c>
      <c r="E3468" t="s">
        <v>18</v>
      </c>
      <c r="F3468" t="s">
        <v>19</v>
      </c>
      <c r="G3468" t="s">
        <v>20</v>
      </c>
      <c r="J3468" t="s">
        <v>17</v>
      </c>
      <c r="K3468" t="str">
        <f>"10003716"</f>
        <v>10003716</v>
      </c>
      <c r="L3468" t="str">
        <f>"10003716"</f>
        <v>10003716</v>
      </c>
      <c r="M3468" t="s">
        <v>75</v>
      </c>
      <c r="N3468" s="1">
        <v>42872.839583333334</v>
      </c>
      <c r="O3468" t="s">
        <v>19</v>
      </c>
    </row>
    <row r="3469" spans="1:15" x14ac:dyDescent="0.25">
      <c r="A3469" t="s">
        <v>2851</v>
      </c>
      <c r="B3469" t="s">
        <v>15</v>
      </c>
      <c r="C3469" t="s">
        <v>2131</v>
      </c>
      <c r="D3469" t="s">
        <v>17</v>
      </c>
      <c r="E3469" t="s">
        <v>18</v>
      </c>
      <c r="F3469" t="s">
        <v>19</v>
      </c>
      <c r="G3469" t="s">
        <v>20</v>
      </c>
      <c r="J3469" t="s">
        <v>17</v>
      </c>
      <c r="K3469" t="str">
        <f>"1495836291335"</f>
        <v>1495836291335</v>
      </c>
      <c r="L3469" t="str">
        <f>"12345"</f>
        <v>12345</v>
      </c>
      <c r="M3469" t="s">
        <v>75</v>
      </c>
      <c r="N3469" s="1">
        <v>42881.919444444444</v>
      </c>
      <c r="O3469" t="s">
        <v>19</v>
      </c>
    </row>
    <row r="3470" spans="1:15" x14ac:dyDescent="0.25">
      <c r="A3470" t="s">
        <v>2852</v>
      </c>
      <c r="B3470" t="s">
        <v>15</v>
      </c>
      <c r="C3470" t="s">
        <v>2821</v>
      </c>
      <c r="D3470" t="s">
        <v>17</v>
      </c>
      <c r="E3470" t="s">
        <v>18</v>
      </c>
      <c r="F3470" t="s">
        <v>19</v>
      </c>
      <c r="G3470" t="s">
        <v>20</v>
      </c>
      <c r="J3470" t="s">
        <v>17</v>
      </c>
      <c r="K3470" t="str">
        <f>"6923408919689"</f>
        <v>6923408919689</v>
      </c>
      <c r="L3470" t="str">
        <f>"40200110"</f>
        <v>40200110</v>
      </c>
      <c r="M3470" t="s">
        <v>21</v>
      </c>
      <c r="N3470" s="1">
        <v>42872.849305555559</v>
      </c>
      <c r="O3470" t="s">
        <v>19</v>
      </c>
    </row>
    <row r="3471" spans="1:15" x14ac:dyDescent="0.25">
      <c r="A3471" t="s">
        <v>2853</v>
      </c>
      <c r="B3471" t="s">
        <v>15</v>
      </c>
      <c r="C3471" t="s">
        <v>2821</v>
      </c>
      <c r="D3471" t="s">
        <v>17</v>
      </c>
      <c r="E3471" t="s">
        <v>18</v>
      </c>
      <c r="F3471" t="s">
        <v>19</v>
      </c>
      <c r="G3471" t="s">
        <v>20</v>
      </c>
      <c r="J3471" t="s">
        <v>17</v>
      </c>
      <c r="K3471" t="str">
        <f>"6925871636063"</f>
        <v>6925871636063</v>
      </c>
      <c r="L3471" t="str">
        <f>"98203606"</f>
        <v>98203606</v>
      </c>
      <c r="M3471" t="s">
        <v>21</v>
      </c>
      <c r="N3471" s="1">
        <v>43126.655555555553</v>
      </c>
      <c r="O3471" t="s">
        <v>19</v>
      </c>
    </row>
    <row r="3472" spans="1:15" x14ac:dyDescent="0.25">
      <c r="A3472" t="s">
        <v>2854</v>
      </c>
      <c r="B3472" t="s">
        <v>15</v>
      </c>
      <c r="C3472" t="s">
        <v>2821</v>
      </c>
      <c r="D3472" t="s">
        <v>17</v>
      </c>
      <c r="E3472" t="s">
        <v>18</v>
      </c>
      <c r="F3472" t="s">
        <v>19</v>
      </c>
      <c r="G3472" t="s">
        <v>20</v>
      </c>
      <c r="J3472" t="s">
        <v>17</v>
      </c>
      <c r="K3472" t="str">
        <f>"7809601115983"</f>
        <v>7809601115983</v>
      </c>
      <c r="L3472" t="str">
        <f>"92300304"</f>
        <v>92300304</v>
      </c>
      <c r="M3472" t="s">
        <v>21</v>
      </c>
      <c r="N3472" s="1">
        <v>44344.703472222223</v>
      </c>
      <c r="O3472" t="s">
        <v>19</v>
      </c>
    </row>
    <row r="3473" spans="1:15" x14ac:dyDescent="0.25">
      <c r="A3473" t="s">
        <v>2855</v>
      </c>
      <c r="B3473" t="s">
        <v>15</v>
      </c>
      <c r="C3473" t="s">
        <v>2821</v>
      </c>
      <c r="D3473" t="s">
        <v>17</v>
      </c>
      <c r="E3473" t="s">
        <v>18</v>
      </c>
      <c r="F3473" t="s">
        <v>19</v>
      </c>
      <c r="G3473" t="s">
        <v>20</v>
      </c>
      <c r="J3473" t="s">
        <v>17</v>
      </c>
      <c r="K3473" t="str">
        <f>"7809601116010"</f>
        <v>7809601116010</v>
      </c>
      <c r="L3473" t="str">
        <f>"92300520"</f>
        <v>92300520</v>
      </c>
      <c r="M3473" t="s">
        <v>21</v>
      </c>
      <c r="N3473" s="1">
        <v>44344.706944444442</v>
      </c>
      <c r="O3473" t="s">
        <v>19</v>
      </c>
    </row>
    <row r="3474" spans="1:15" x14ac:dyDescent="0.25">
      <c r="A3474" t="s">
        <v>2856</v>
      </c>
      <c r="B3474" t="s">
        <v>15</v>
      </c>
      <c r="C3474" t="s">
        <v>2821</v>
      </c>
      <c r="D3474" t="s">
        <v>17</v>
      </c>
      <c r="E3474" t="s">
        <v>18</v>
      </c>
      <c r="F3474" t="s">
        <v>19</v>
      </c>
      <c r="G3474" t="s">
        <v>20</v>
      </c>
      <c r="J3474" t="s">
        <v>17</v>
      </c>
      <c r="K3474" t="str">
        <f>"7809601115990"</f>
        <v>7809601115990</v>
      </c>
      <c r="L3474" t="str">
        <f>"92300532"</f>
        <v>92300532</v>
      </c>
      <c r="M3474" t="s">
        <v>21</v>
      </c>
      <c r="N3474" s="1">
        <v>44344.704861111109</v>
      </c>
      <c r="O3474" t="s">
        <v>19</v>
      </c>
    </row>
    <row r="3475" spans="1:15" x14ac:dyDescent="0.25">
      <c r="A3475" t="s">
        <v>2857</v>
      </c>
      <c r="B3475" t="s">
        <v>15</v>
      </c>
      <c r="C3475" t="s">
        <v>2821</v>
      </c>
      <c r="D3475" t="s">
        <v>17</v>
      </c>
      <c r="E3475" t="s">
        <v>18</v>
      </c>
      <c r="F3475" t="s">
        <v>19</v>
      </c>
      <c r="G3475" t="s">
        <v>20</v>
      </c>
      <c r="J3475" t="s">
        <v>17</v>
      </c>
      <c r="K3475" t="str">
        <f>"7809601116003"</f>
        <v>7809601116003</v>
      </c>
      <c r="L3475" t="str">
        <f>"92300539"</f>
        <v>92300539</v>
      </c>
      <c r="M3475" t="s">
        <v>21</v>
      </c>
      <c r="N3475" s="1">
        <v>44344.706250000003</v>
      </c>
      <c r="O3475" t="s">
        <v>19</v>
      </c>
    </row>
    <row r="3476" spans="1:15" x14ac:dyDescent="0.25">
      <c r="A3476" t="s">
        <v>2858</v>
      </c>
      <c r="B3476" t="s">
        <v>15</v>
      </c>
      <c r="C3476" t="s">
        <v>2821</v>
      </c>
      <c r="D3476" t="s">
        <v>17</v>
      </c>
      <c r="E3476" t="s">
        <v>18</v>
      </c>
      <c r="F3476" t="s">
        <v>19</v>
      </c>
      <c r="G3476" t="s">
        <v>20</v>
      </c>
      <c r="J3476" t="s">
        <v>17</v>
      </c>
      <c r="K3476" t="str">
        <f>"7858816038761"</f>
        <v>7858816038761</v>
      </c>
      <c r="L3476" t="str">
        <f>"87203876"</f>
        <v>87203876</v>
      </c>
      <c r="M3476" t="s">
        <v>21</v>
      </c>
      <c r="N3476" s="1">
        <v>44371.624305555553</v>
      </c>
      <c r="O3476" t="s">
        <v>19</v>
      </c>
    </row>
    <row r="3477" spans="1:15" x14ac:dyDescent="0.25">
      <c r="A3477" t="s">
        <v>2859</v>
      </c>
      <c r="B3477" t="s">
        <v>15</v>
      </c>
      <c r="C3477" t="s">
        <v>2821</v>
      </c>
      <c r="D3477" t="s">
        <v>17</v>
      </c>
      <c r="E3477" t="s">
        <v>18</v>
      </c>
      <c r="F3477" t="s">
        <v>19</v>
      </c>
      <c r="G3477" t="s">
        <v>20</v>
      </c>
      <c r="J3477" t="s">
        <v>17</v>
      </c>
      <c r="K3477" t="str">
        <f>"7858816081750"</f>
        <v>7858816081750</v>
      </c>
      <c r="L3477" t="str">
        <f>"87208175"</f>
        <v>87208175</v>
      </c>
      <c r="M3477" t="s">
        <v>21</v>
      </c>
      <c r="N3477" s="1">
        <v>44371.665277777778</v>
      </c>
      <c r="O3477" t="s">
        <v>19</v>
      </c>
    </row>
    <row r="3478" spans="1:15" x14ac:dyDescent="0.25">
      <c r="A3478" t="s">
        <v>2860</v>
      </c>
      <c r="B3478" t="s">
        <v>15</v>
      </c>
      <c r="C3478" t="s">
        <v>2821</v>
      </c>
      <c r="D3478" t="s">
        <v>17</v>
      </c>
      <c r="E3478" t="s">
        <v>18</v>
      </c>
      <c r="F3478" t="s">
        <v>19</v>
      </c>
      <c r="G3478" t="s">
        <v>20</v>
      </c>
      <c r="J3478" t="s">
        <v>17</v>
      </c>
      <c r="K3478" t="str">
        <f>"7858816083334"</f>
        <v>7858816083334</v>
      </c>
      <c r="L3478" t="str">
        <f>"87208333"</f>
        <v>87208333</v>
      </c>
      <c r="M3478" t="s">
        <v>21</v>
      </c>
      <c r="N3478" s="1">
        <v>44441.65</v>
      </c>
      <c r="O3478" t="s">
        <v>19</v>
      </c>
    </row>
    <row r="3479" spans="1:15" x14ac:dyDescent="0.25">
      <c r="A3479" t="s">
        <v>2861</v>
      </c>
      <c r="B3479" t="s">
        <v>15</v>
      </c>
      <c r="C3479" t="s">
        <v>2821</v>
      </c>
      <c r="D3479" t="s">
        <v>17</v>
      </c>
      <c r="E3479" t="s">
        <v>18</v>
      </c>
      <c r="F3479" t="s">
        <v>19</v>
      </c>
      <c r="G3479" t="s">
        <v>20</v>
      </c>
      <c r="J3479" t="s">
        <v>17</v>
      </c>
      <c r="K3479" t="str">
        <f>"6927900010219"</f>
        <v>6927900010219</v>
      </c>
      <c r="L3479" t="str">
        <f>"25200007"</f>
        <v>25200007</v>
      </c>
      <c r="M3479" t="s">
        <v>21</v>
      </c>
      <c r="N3479" s="1">
        <v>42872.839583333334</v>
      </c>
      <c r="O3479" t="s">
        <v>19</v>
      </c>
    </row>
    <row r="3480" spans="1:15" x14ac:dyDescent="0.25">
      <c r="A3480" t="s">
        <v>2862</v>
      </c>
      <c r="B3480" t="s">
        <v>15</v>
      </c>
      <c r="C3480" t="s">
        <v>2821</v>
      </c>
      <c r="D3480" t="s">
        <v>17</v>
      </c>
      <c r="E3480" t="s">
        <v>18</v>
      </c>
      <c r="F3480" t="s">
        <v>19</v>
      </c>
      <c r="G3480" t="s">
        <v>20</v>
      </c>
      <c r="J3480" t="s">
        <v>17</v>
      </c>
      <c r="K3480" t="str">
        <f>"798302162341"</f>
        <v>798302162341</v>
      </c>
      <c r="L3480" t="str">
        <f>"92200410"</f>
        <v>92200410</v>
      </c>
      <c r="M3480" t="s">
        <v>21</v>
      </c>
      <c r="N3480" s="1">
        <v>43746.879861111112</v>
      </c>
      <c r="O3480" t="s">
        <v>19</v>
      </c>
    </row>
    <row r="3481" spans="1:15" x14ac:dyDescent="0.25">
      <c r="A3481" t="s">
        <v>2863</v>
      </c>
      <c r="B3481" t="s">
        <v>15</v>
      </c>
      <c r="C3481" t="s">
        <v>2821</v>
      </c>
      <c r="D3481" t="s">
        <v>17</v>
      </c>
      <c r="E3481" t="s">
        <v>18</v>
      </c>
      <c r="F3481" t="s">
        <v>19</v>
      </c>
      <c r="G3481" t="s">
        <v>20</v>
      </c>
      <c r="J3481" t="s">
        <v>17</v>
      </c>
      <c r="K3481" t="str">
        <f>"4710268251477"</f>
        <v>4710268251477</v>
      </c>
      <c r="L3481" t="str">
        <f>"92300110"</f>
        <v>92300110</v>
      </c>
      <c r="M3481" t="s">
        <v>21</v>
      </c>
      <c r="N3481" s="1">
        <v>43713.932638888888</v>
      </c>
      <c r="O3481" t="s">
        <v>19</v>
      </c>
    </row>
    <row r="3482" spans="1:15" x14ac:dyDescent="0.25">
      <c r="A3482" t="s">
        <v>2863</v>
      </c>
      <c r="B3482" t="s">
        <v>15</v>
      </c>
      <c r="C3482" t="s">
        <v>2821</v>
      </c>
      <c r="D3482" t="s">
        <v>17</v>
      </c>
      <c r="E3482" t="s">
        <v>18</v>
      </c>
      <c r="F3482" t="s">
        <v>19</v>
      </c>
      <c r="G3482" t="s">
        <v>20</v>
      </c>
      <c r="J3482" t="s">
        <v>17</v>
      </c>
      <c r="K3482" t="str">
        <f>"091163251477"</f>
        <v>091163251477</v>
      </c>
      <c r="L3482" t="str">
        <f>"98200110"</f>
        <v>98200110</v>
      </c>
      <c r="M3482" t="s">
        <v>21</v>
      </c>
      <c r="N3482" s="1">
        <v>43853.923611111109</v>
      </c>
      <c r="O3482" t="s">
        <v>19</v>
      </c>
    </row>
    <row r="3483" spans="1:15" x14ac:dyDescent="0.25">
      <c r="A3483" t="s">
        <v>2863</v>
      </c>
      <c r="B3483" t="s">
        <v>15</v>
      </c>
      <c r="C3483" t="s">
        <v>2821</v>
      </c>
      <c r="D3483" t="s">
        <v>17</v>
      </c>
      <c r="E3483" t="s">
        <v>18</v>
      </c>
      <c r="F3483" t="s">
        <v>19</v>
      </c>
      <c r="G3483" t="s">
        <v>20</v>
      </c>
      <c r="J3483" t="s">
        <v>17</v>
      </c>
      <c r="K3483" t="str">
        <f>"091163251484"</f>
        <v>091163251484</v>
      </c>
      <c r="L3483" t="str">
        <f>"29GEND110B"</f>
        <v>29GEND110B</v>
      </c>
      <c r="M3483" t="s">
        <v>21</v>
      </c>
      <c r="N3483" s="1">
        <v>43994.810416666667</v>
      </c>
      <c r="O3483" t="s">
        <v>19</v>
      </c>
    </row>
    <row r="3484" spans="1:15" x14ac:dyDescent="0.25">
      <c r="A3484" t="s">
        <v>2864</v>
      </c>
      <c r="B3484" t="s">
        <v>15</v>
      </c>
      <c r="C3484" t="s">
        <v>2821</v>
      </c>
      <c r="D3484" t="s">
        <v>17</v>
      </c>
      <c r="E3484" t="s">
        <v>18</v>
      </c>
      <c r="F3484" t="s">
        <v>19</v>
      </c>
      <c r="G3484" t="s">
        <v>20</v>
      </c>
      <c r="J3484" t="s">
        <v>17</v>
      </c>
      <c r="K3484" t="str">
        <f>"4710268250975"</f>
        <v>4710268250975</v>
      </c>
      <c r="L3484" t="str">
        <f>"92200120"</f>
        <v>92200120</v>
      </c>
      <c r="M3484" t="s">
        <v>21</v>
      </c>
      <c r="N3484" s="1">
        <v>43713.93472222222</v>
      </c>
      <c r="O3484" t="s">
        <v>19</v>
      </c>
    </row>
    <row r="3485" spans="1:15" x14ac:dyDescent="0.25">
      <c r="A3485" t="s">
        <v>2865</v>
      </c>
      <c r="B3485" t="s">
        <v>15</v>
      </c>
      <c r="C3485" t="s">
        <v>2821</v>
      </c>
      <c r="D3485" t="s">
        <v>17</v>
      </c>
      <c r="E3485" t="s">
        <v>18</v>
      </c>
      <c r="F3485" t="s">
        <v>19</v>
      </c>
      <c r="G3485" t="s">
        <v>20</v>
      </c>
      <c r="J3485" t="s">
        <v>17</v>
      </c>
      <c r="K3485" t="str">
        <f>"4710268252269"</f>
        <v>4710268252269</v>
      </c>
      <c r="L3485" t="str">
        <f>"29GEN150XN"</f>
        <v>29GEN150XN</v>
      </c>
      <c r="M3485" t="s">
        <v>21</v>
      </c>
      <c r="N3485" s="1">
        <v>43994.85833333333</v>
      </c>
      <c r="O3485" t="s">
        <v>19</v>
      </c>
    </row>
    <row r="3486" spans="1:15" x14ac:dyDescent="0.25">
      <c r="A3486" t="s">
        <v>2866</v>
      </c>
      <c r="B3486" t="s">
        <v>15</v>
      </c>
      <c r="C3486" t="s">
        <v>2821</v>
      </c>
      <c r="D3486" t="s">
        <v>17</v>
      </c>
      <c r="E3486" t="s">
        <v>18</v>
      </c>
      <c r="F3486" t="s">
        <v>19</v>
      </c>
      <c r="G3486" t="s">
        <v>20</v>
      </c>
      <c r="J3486" t="s">
        <v>17</v>
      </c>
      <c r="K3486" t="str">
        <f>"4710268227885"</f>
        <v>4710268227885</v>
      </c>
      <c r="L3486" t="str">
        <f>"92507885"</f>
        <v>92507885</v>
      </c>
      <c r="M3486" t="s">
        <v>21</v>
      </c>
      <c r="N3486" s="1">
        <v>43994.813194444447</v>
      </c>
      <c r="O3486" t="s">
        <v>19</v>
      </c>
    </row>
    <row r="3487" spans="1:15" x14ac:dyDescent="0.25">
      <c r="A3487" t="s">
        <v>2867</v>
      </c>
      <c r="B3487" t="s">
        <v>15</v>
      </c>
      <c r="C3487" t="s">
        <v>2821</v>
      </c>
      <c r="D3487" t="s">
        <v>17</v>
      </c>
      <c r="E3487" t="s">
        <v>18</v>
      </c>
      <c r="F3487" t="s">
        <v>19</v>
      </c>
      <c r="G3487" t="s">
        <v>20</v>
      </c>
      <c r="J3487" t="s">
        <v>17</v>
      </c>
      <c r="K3487" t="str">
        <f>"6948391225708"</f>
        <v>6948391225708</v>
      </c>
      <c r="L3487" t="str">
        <f>"40200160"</f>
        <v>40200160</v>
      </c>
      <c r="M3487" t="s">
        <v>21</v>
      </c>
      <c r="N3487" s="1">
        <v>42872.849305555559</v>
      </c>
      <c r="O3487" t="s">
        <v>19</v>
      </c>
    </row>
    <row r="3488" spans="1:15" x14ac:dyDescent="0.25">
      <c r="A3488" t="s">
        <v>2868</v>
      </c>
      <c r="B3488" t="s">
        <v>15</v>
      </c>
      <c r="C3488" t="s">
        <v>2821</v>
      </c>
      <c r="D3488" t="s">
        <v>17</v>
      </c>
      <c r="E3488" t="s">
        <v>18</v>
      </c>
      <c r="F3488" t="s">
        <v>19</v>
      </c>
      <c r="G3488" t="s">
        <v>20</v>
      </c>
      <c r="J3488" t="s">
        <v>17</v>
      </c>
      <c r="K3488" t="str">
        <f>"6948391225111"</f>
        <v>6948391225111</v>
      </c>
      <c r="L3488" t="str">
        <f>"92200100"</f>
        <v>92200100</v>
      </c>
      <c r="M3488" t="s">
        <v>21</v>
      </c>
      <c r="N3488" s="1">
        <v>42872.839583333334</v>
      </c>
      <c r="O3488" t="s">
        <v>19</v>
      </c>
    </row>
    <row r="3489" spans="1:15" x14ac:dyDescent="0.25">
      <c r="A3489" t="s">
        <v>2869</v>
      </c>
      <c r="B3489" t="s">
        <v>15</v>
      </c>
      <c r="C3489" t="s">
        <v>2821</v>
      </c>
      <c r="D3489" t="s">
        <v>17</v>
      </c>
      <c r="E3489" t="s">
        <v>18</v>
      </c>
      <c r="F3489" t="s">
        <v>19</v>
      </c>
      <c r="G3489" t="s">
        <v>20</v>
      </c>
      <c r="J3489" t="s">
        <v>17</v>
      </c>
      <c r="K3489" t="str">
        <f>"6948391225517"</f>
        <v>6948391225517</v>
      </c>
      <c r="L3489" t="str">
        <f>"92209470"</f>
        <v>92209470</v>
      </c>
      <c r="M3489" t="s">
        <v>21</v>
      </c>
      <c r="N3489" s="1">
        <v>43985.869444444441</v>
      </c>
      <c r="O3489" t="s">
        <v>19</v>
      </c>
    </row>
    <row r="3490" spans="1:15" x14ac:dyDescent="0.25">
      <c r="A3490" t="s">
        <v>2870</v>
      </c>
      <c r="B3490" t="s">
        <v>15</v>
      </c>
      <c r="C3490" t="s">
        <v>2821</v>
      </c>
      <c r="D3490" t="s">
        <v>17</v>
      </c>
      <c r="E3490" t="s">
        <v>18</v>
      </c>
      <c r="F3490" t="s">
        <v>19</v>
      </c>
      <c r="G3490" t="s">
        <v>20</v>
      </c>
      <c r="J3490" t="s">
        <v>17</v>
      </c>
      <c r="K3490" t="str">
        <f>"798302076266"</f>
        <v>798302076266</v>
      </c>
      <c r="L3490" t="str">
        <f>"92200111"</f>
        <v>92200111</v>
      </c>
      <c r="M3490" t="s">
        <v>21</v>
      </c>
      <c r="N3490" s="1">
        <v>42872.839583333334</v>
      </c>
      <c r="O3490" t="s">
        <v>19</v>
      </c>
    </row>
    <row r="3491" spans="1:15" x14ac:dyDescent="0.25">
      <c r="A3491" t="s">
        <v>2871</v>
      </c>
      <c r="B3491" t="s">
        <v>15</v>
      </c>
      <c r="C3491" t="s">
        <v>2821</v>
      </c>
      <c r="D3491" t="s">
        <v>17</v>
      </c>
      <c r="E3491" t="s">
        <v>18</v>
      </c>
      <c r="F3491" t="s">
        <v>19</v>
      </c>
      <c r="G3491" t="s">
        <v>20</v>
      </c>
      <c r="J3491" t="s">
        <v>17</v>
      </c>
      <c r="K3491" t="str">
        <f>"097855142702"</f>
        <v>097855142702</v>
      </c>
      <c r="L3491" t="str">
        <f>"29LOG110BK"</f>
        <v>29LOG110BK</v>
      </c>
      <c r="M3491" t="s">
        <v>21</v>
      </c>
      <c r="N3491" s="1">
        <v>44001.667361111111</v>
      </c>
      <c r="O3491" t="s">
        <v>19</v>
      </c>
    </row>
    <row r="3492" spans="1:15" x14ac:dyDescent="0.25">
      <c r="A3492" t="s">
        <v>2872</v>
      </c>
      <c r="B3492" t="s">
        <v>15</v>
      </c>
      <c r="C3492" t="s">
        <v>2821</v>
      </c>
      <c r="D3492" t="s">
        <v>17</v>
      </c>
      <c r="E3492" t="s">
        <v>18</v>
      </c>
      <c r="F3492" t="s">
        <v>19</v>
      </c>
      <c r="G3492" t="s">
        <v>20</v>
      </c>
      <c r="J3492" t="s">
        <v>17</v>
      </c>
      <c r="K3492" t="str">
        <f>"097855102355"</f>
        <v>097855102355</v>
      </c>
      <c r="L3492" t="str">
        <f>"29LOGMA900"</f>
        <v>29LOGMA900</v>
      </c>
      <c r="M3492" t="s">
        <v>21</v>
      </c>
      <c r="N3492" s="1">
        <v>43713.938888888886</v>
      </c>
      <c r="O3492" t="s">
        <v>19</v>
      </c>
    </row>
    <row r="3493" spans="1:15" x14ac:dyDescent="0.25">
      <c r="A3493" t="s">
        <v>2873</v>
      </c>
      <c r="B3493" t="s">
        <v>15</v>
      </c>
      <c r="C3493" t="s">
        <v>2821</v>
      </c>
      <c r="D3493" t="s">
        <v>17</v>
      </c>
      <c r="E3493" t="s">
        <v>18</v>
      </c>
      <c r="F3493" t="s">
        <v>19</v>
      </c>
      <c r="G3493" t="s">
        <v>20</v>
      </c>
      <c r="J3493" t="s">
        <v>17</v>
      </c>
      <c r="K3493" t="str">
        <f>"8712581757984"</f>
        <v>8712581757984</v>
      </c>
      <c r="L3493" t="str">
        <f>"92207325"</f>
        <v>92207325</v>
      </c>
      <c r="M3493" t="s">
        <v>21</v>
      </c>
      <c r="N3493" s="1">
        <v>43854.704861111109</v>
      </c>
      <c r="O3493" t="s">
        <v>19</v>
      </c>
    </row>
    <row r="3494" spans="1:15" x14ac:dyDescent="0.25">
      <c r="A3494" t="s">
        <v>2874</v>
      </c>
      <c r="B3494" t="s">
        <v>15</v>
      </c>
      <c r="C3494" t="s">
        <v>2821</v>
      </c>
      <c r="D3494" t="s">
        <v>17</v>
      </c>
      <c r="E3494" t="s">
        <v>18</v>
      </c>
      <c r="F3494" t="s">
        <v>19</v>
      </c>
      <c r="G3494" t="s">
        <v>20</v>
      </c>
      <c r="J3494" t="s">
        <v>17</v>
      </c>
      <c r="K3494" t="str">
        <f>"8712581758004"</f>
        <v>8712581758004</v>
      </c>
      <c r="L3494" t="str">
        <f>"92200297"</f>
        <v>92200297</v>
      </c>
      <c r="M3494" t="s">
        <v>21</v>
      </c>
      <c r="N3494" s="1">
        <v>43854.707638888889</v>
      </c>
      <c r="O3494" t="s">
        <v>19</v>
      </c>
    </row>
    <row r="3495" spans="1:15" x14ac:dyDescent="0.25">
      <c r="A3495" t="s">
        <v>2875</v>
      </c>
      <c r="B3495" t="s">
        <v>15</v>
      </c>
      <c r="C3495" t="s">
        <v>2821</v>
      </c>
      <c r="D3495" t="s">
        <v>17</v>
      </c>
      <c r="E3495" t="s">
        <v>18</v>
      </c>
      <c r="F3495" t="s">
        <v>19</v>
      </c>
      <c r="G3495" t="s">
        <v>20</v>
      </c>
      <c r="J3495" t="s">
        <v>17</v>
      </c>
      <c r="K3495" t="str">
        <f>"8712581754723"</f>
        <v>8712581754723</v>
      </c>
      <c r="L3495" t="str">
        <f>"98209413"</f>
        <v>98209413</v>
      </c>
      <c r="M3495" t="s">
        <v>21</v>
      </c>
      <c r="N3495" s="1">
        <v>43854.706944444442</v>
      </c>
      <c r="O3495" t="s">
        <v>19</v>
      </c>
    </row>
    <row r="3496" spans="1:15" x14ac:dyDescent="0.25">
      <c r="A3496" t="s">
        <v>2876</v>
      </c>
      <c r="B3496" t="s">
        <v>15</v>
      </c>
      <c r="C3496" t="s">
        <v>2821</v>
      </c>
      <c r="D3496" t="s">
        <v>17</v>
      </c>
      <c r="E3496" t="s">
        <v>18</v>
      </c>
      <c r="F3496" t="s">
        <v>19</v>
      </c>
      <c r="G3496" t="s">
        <v>20</v>
      </c>
      <c r="J3496" t="s">
        <v>17</v>
      </c>
      <c r="K3496" t="str">
        <f>"10000868"</f>
        <v>10000868</v>
      </c>
      <c r="L3496" t="str">
        <f>"10000868"</f>
        <v>10000868</v>
      </c>
      <c r="M3496" t="s">
        <v>21</v>
      </c>
      <c r="N3496" s="1">
        <v>43609.793055555558</v>
      </c>
      <c r="O3496" t="s">
        <v>19</v>
      </c>
    </row>
    <row r="3497" spans="1:15" x14ac:dyDescent="0.25">
      <c r="A3497" t="s">
        <v>2877</v>
      </c>
      <c r="B3497" t="s">
        <v>15</v>
      </c>
      <c r="C3497" t="s">
        <v>2821</v>
      </c>
      <c r="D3497" t="s">
        <v>17</v>
      </c>
      <c r="E3497" t="s">
        <v>18</v>
      </c>
      <c r="F3497" t="s">
        <v>19</v>
      </c>
      <c r="G3497" t="s">
        <v>20</v>
      </c>
      <c r="J3497" t="s">
        <v>17</v>
      </c>
      <c r="K3497" t="str">
        <f>"7796941037900"</f>
        <v>7796941037900</v>
      </c>
      <c r="L3497" t="str">
        <f>"98100460"</f>
        <v>98100460</v>
      </c>
      <c r="M3497" t="s">
        <v>21</v>
      </c>
      <c r="N3497" s="1">
        <v>42872.839583333334</v>
      </c>
      <c r="O3497" t="s">
        <v>19</v>
      </c>
    </row>
    <row r="3498" spans="1:15" x14ac:dyDescent="0.25">
      <c r="A3498" t="s">
        <v>2878</v>
      </c>
      <c r="B3498" t="s">
        <v>15</v>
      </c>
      <c r="C3498" t="s">
        <v>2821</v>
      </c>
      <c r="D3498" t="s">
        <v>17</v>
      </c>
      <c r="E3498" t="s">
        <v>18</v>
      </c>
      <c r="F3498" t="s">
        <v>19</v>
      </c>
      <c r="G3498" t="s">
        <v>20</v>
      </c>
      <c r="J3498" t="s">
        <v>17</v>
      </c>
      <c r="K3498" t="str">
        <f>"8713439237337"</f>
        <v>8713439237337</v>
      </c>
      <c r="L3498" t="str">
        <f>"92307337"</f>
        <v>92307337</v>
      </c>
      <c r="M3498" t="s">
        <v>21</v>
      </c>
      <c r="N3498" s="1">
        <v>44344.689583333333</v>
      </c>
      <c r="O3498" t="s">
        <v>19</v>
      </c>
    </row>
    <row r="3499" spans="1:15" x14ac:dyDescent="0.25">
      <c r="A3499" t="s">
        <v>2879</v>
      </c>
      <c r="B3499" t="s">
        <v>15</v>
      </c>
      <c r="C3499" t="s">
        <v>2821</v>
      </c>
      <c r="D3499" t="s">
        <v>17</v>
      </c>
      <c r="E3499" t="s">
        <v>18</v>
      </c>
      <c r="F3499" t="s">
        <v>19</v>
      </c>
      <c r="G3499" t="s">
        <v>20</v>
      </c>
      <c r="J3499" t="s">
        <v>17</v>
      </c>
      <c r="K3499" t="str">
        <f>"8713439229349"</f>
        <v>8713439229349</v>
      </c>
      <c r="L3499" t="str">
        <f>"92204111"</f>
        <v>92204111</v>
      </c>
      <c r="M3499" t="s">
        <v>21</v>
      </c>
      <c r="N3499" s="1">
        <v>42872.839583333334</v>
      </c>
      <c r="O3499" t="s">
        <v>19</v>
      </c>
    </row>
    <row r="3500" spans="1:15" x14ac:dyDescent="0.25">
      <c r="A3500" t="s">
        <v>2880</v>
      </c>
      <c r="B3500" t="s">
        <v>15</v>
      </c>
      <c r="C3500" t="s">
        <v>2821</v>
      </c>
      <c r="D3500" t="s">
        <v>17</v>
      </c>
      <c r="E3500" t="s">
        <v>18</v>
      </c>
      <c r="F3500" t="s">
        <v>19</v>
      </c>
      <c r="G3500" t="s">
        <v>20</v>
      </c>
      <c r="J3500" t="s">
        <v>17</v>
      </c>
      <c r="K3500" t="str">
        <f>"8713439219470"</f>
        <v>8713439219470</v>
      </c>
      <c r="L3500" t="str">
        <f>"92309470"</f>
        <v>92309470</v>
      </c>
      <c r="M3500" t="s">
        <v>21</v>
      </c>
      <c r="N3500" s="1">
        <v>44344.688888888886</v>
      </c>
      <c r="O3500" t="s">
        <v>19</v>
      </c>
    </row>
    <row r="3501" spans="1:15" x14ac:dyDescent="0.25">
      <c r="A3501" t="s">
        <v>2881</v>
      </c>
      <c r="B3501" t="s">
        <v>15</v>
      </c>
      <c r="C3501" t="s">
        <v>2821</v>
      </c>
      <c r="D3501" t="s">
        <v>17</v>
      </c>
      <c r="E3501" t="s">
        <v>18</v>
      </c>
      <c r="F3501" t="s">
        <v>19</v>
      </c>
      <c r="G3501" t="s">
        <v>20</v>
      </c>
      <c r="J3501" t="s">
        <v>17</v>
      </c>
      <c r="K3501" t="str">
        <f>"7168297107772"</f>
        <v>7168297107772</v>
      </c>
      <c r="L3501" t="str">
        <f>"98200120"</f>
        <v>98200120</v>
      </c>
      <c r="M3501" t="s">
        <v>21</v>
      </c>
      <c r="N3501" s="1">
        <v>42872.849305555559</v>
      </c>
      <c r="O3501" t="s">
        <v>19</v>
      </c>
    </row>
    <row r="3502" spans="1:15" x14ac:dyDescent="0.25">
      <c r="A3502" t="s">
        <v>2882</v>
      </c>
      <c r="B3502" t="s">
        <v>15</v>
      </c>
      <c r="C3502" t="s">
        <v>2821</v>
      </c>
      <c r="D3502" t="s">
        <v>17</v>
      </c>
      <c r="E3502" t="s">
        <v>18</v>
      </c>
      <c r="F3502" t="s">
        <v>19</v>
      </c>
      <c r="G3502" t="s">
        <v>20</v>
      </c>
      <c r="J3502" t="s">
        <v>17</v>
      </c>
      <c r="K3502" t="str">
        <f>"798302162204"</f>
        <v>798302162204</v>
      </c>
      <c r="L3502" t="str">
        <f>"92200165"</f>
        <v>92200165</v>
      </c>
      <c r="M3502" t="s">
        <v>21</v>
      </c>
      <c r="N3502" s="1">
        <v>43888.872916666667</v>
      </c>
      <c r="O3502" t="s">
        <v>19</v>
      </c>
    </row>
    <row r="3503" spans="1:15" x14ac:dyDescent="0.25">
      <c r="A3503" t="s">
        <v>2883</v>
      </c>
      <c r="B3503" t="s">
        <v>15</v>
      </c>
      <c r="C3503" t="s">
        <v>2821</v>
      </c>
      <c r="D3503" t="s">
        <v>17</v>
      </c>
      <c r="E3503" t="s">
        <v>18</v>
      </c>
      <c r="F3503" t="s">
        <v>19</v>
      </c>
      <c r="G3503" t="s">
        <v>20</v>
      </c>
      <c r="J3503" t="s">
        <v>17</v>
      </c>
      <c r="K3503" t="str">
        <f>"798302165021"</f>
        <v>798302165021</v>
      </c>
      <c r="L3503" t="str">
        <f>"92200175"</f>
        <v>92200175</v>
      </c>
      <c r="M3503" t="s">
        <v>21</v>
      </c>
      <c r="N3503" s="1">
        <v>43888.871527777781</v>
      </c>
      <c r="O3503" t="s">
        <v>19</v>
      </c>
    </row>
    <row r="3504" spans="1:15" x14ac:dyDescent="0.25">
      <c r="A3504" t="s">
        <v>2884</v>
      </c>
      <c r="B3504" t="s">
        <v>15</v>
      </c>
      <c r="C3504" t="s">
        <v>2821</v>
      </c>
      <c r="D3504" t="s">
        <v>17</v>
      </c>
      <c r="E3504" t="s">
        <v>18</v>
      </c>
      <c r="F3504" t="s">
        <v>19</v>
      </c>
      <c r="G3504" t="s">
        <v>20</v>
      </c>
      <c r="J3504" t="s">
        <v>17</v>
      </c>
      <c r="K3504" t="str">
        <f>"10002283"</f>
        <v>10002283</v>
      </c>
      <c r="L3504" t="str">
        <f>"10002283"</f>
        <v>10002283</v>
      </c>
      <c r="M3504" t="s">
        <v>75</v>
      </c>
      <c r="N3504" s="1">
        <v>42872.839583333334</v>
      </c>
      <c r="O3504" t="s">
        <v>19</v>
      </c>
    </row>
    <row r="3505" spans="1:15" x14ac:dyDescent="0.25">
      <c r="A3505" t="s">
        <v>2885</v>
      </c>
      <c r="B3505" t="s">
        <v>15</v>
      </c>
      <c r="C3505" t="s">
        <v>2821</v>
      </c>
      <c r="D3505" t="s">
        <v>17</v>
      </c>
      <c r="E3505" t="s">
        <v>18</v>
      </c>
      <c r="F3505" t="s">
        <v>19</v>
      </c>
      <c r="G3505" t="s">
        <v>20</v>
      </c>
      <c r="J3505" t="s">
        <v>17</v>
      </c>
      <c r="K3505" t="str">
        <f>"10002752"</f>
        <v>10002752</v>
      </c>
      <c r="L3505" t="str">
        <f>"10002752"</f>
        <v>10002752</v>
      </c>
      <c r="M3505" t="s">
        <v>21</v>
      </c>
      <c r="N3505" s="1">
        <v>43647.85833333333</v>
      </c>
      <c r="O3505" t="s">
        <v>19</v>
      </c>
    </row>
    <row r="3506" spans="1:15" x14ac:dyDescent="0.25">
      <c r="A3506" t="s">
        <v>2886</v>
      </c>
      <c r="B3506" t="s">
        <v>15</v>
      </c>
      <c r="C3506" t="s">
        <v>2821</v>
      </c>
      <c r="D3506" t="s">
        <v>17</v>
      </c>
      <c r="E3506" t="s">
        <v>18</v>
      </c>
      <c r="F3506" t="s">
        <v>19</v>
      </c>
      <c r="G3506" t="s">
        <v>20</v>
      </c>
      <c r="J3506" t="s">
        <v>17</v>
      </c>
      <c r="K3506" t="str">
        <f>"6927900067817"</f>
        <v>6927900067817</v>
      </c>
      <c r="L3506" t="str">
        <f>"98206781"</f>
        <v>98206781</v>
      </c>
      <c r="M3506" t="s">
        <v>21</v>
      </c>
      <c r="N3506" s="1">
        <v>43706.660416666666</v>
      </c>
      <c r="O3506" t="s">
        <v>19</v>
      </c>
    </row>
    <row r="3507" spans="1:15" x14ac:dyDescent="0.25">
      <c r="A3507" t="s">
        <v>2887</v>
      </c>
      <c r="B3507" t="s">
        <v>15</v>
      </c>
      <c r="C3507" t="s">
        <v>2821</v>
      </c>
      <c r="D3507" t="s">
        <v>17</v>
      </c>
      <c r="E3507" t="s">
        <v>18</v>
      </c>
      <c r="F3507" t="s">
        <v>19</v>
      </c>
      <c r="G3507" t="s">
        <v>20</v>
      </c>
      <c r="J3507" t="s">
        <v>17</v>
      </c>
      <c r="K3507" t="str">
        <f>"7796941037894"</f>
        <v>7796941037894</v>
      </c>
      <c r="L3507" t="str">
        <f>"42100455"</f>
        <v>42100455</v>
      </c>
      <c r="M3507" t="s">
        <v>75</v>
      </c>
      <c r="N3507" s="1">
        <v>42872.839583333334</v>
      </c>
      <c r="O3507" t="s">
        <v>19</v>
      </c>
    </row>
    <row r="3508" spans="1:15" x14ac:dyDescent="0.25">
      <c r="A3508" t="s">
        <v>2888</v>
      </c>
      <c r="B3508" t="s">
        <v>15</v>
      </c>
      <c r="C3508" t="s">
        <v>2821</v>
      </c>
      <c r="D3508" t="s">
        <v>17</v>
      </c>
      <c r="E3508" t="s">
        <v>18</v>
      </c>
      <c r="F3508" t="s">
        <v>19</v>
      </c>
      <c r="G3508" t="s">
        <v>20</v>
      </c>
      <c r="J3508" t="s">
        <v>17</v>
      </c>
      <c r="K3508" t="str">
        <f>"4865985426650"</f>
        <v>4865985426650</v>
      </c>
      <c r="L3508" t="str">
        <f>"10001398"</f>
        <v>10001398</v>
      </c>
      <c r="M3508" t="s">
        <v>21</v>
      </c>
      <c r="N3508" s="1">
        <v>43404.888888888891</v>
      </c>
      <c r="O3508" t="s">
        <v>19</v>
      </c>
    </row>
    <row r="3509" spans="1:15" x14ac:dyDescent="0.25">
      <c r="A3509" t="s">
        <v>2889</v>
      </c>
      <c r="B3509" t="s">
        <v>15</v>
      </c>
      <c r="C3509" t="s">
        <v>2821</v>
      </c>
      <c r="D3509" t="s">
        <v>17</v>
      </c>
      <c r="E3509" t="s">
        <v>18</v>
      </c>
      <c r="F3509" t="s">
        <v>19</v>
      </c>
      <c r="G3509" t="s">
        <v>20</v>
      </c>
      <c r="J3509" t="s">
        <v>17</v>
      </c>
      <c r="K3509" t="str">
        <f>"8518783700014"</f>
        <v>8518783700014</v>
      </c>
      <c r="L3509" t="str">
        <f>"100015926"</f>
        <v>100015926</v>
      </c>
      <c r="M3509" t="s">
        <v>75</v>
      </c>
      <c r="N3509" s="1">
        <v>42872.847222222219</v>
      </c>
      <c r="O3509" t="s">
        <v>19</v>
      </c>
    </row>
    <row r="3510" spans="1:15" x14ac:dyDescent="0.25">
      <c r="A3510" t="s">
        <v>2890</v>
      </c>
      <c r="B3510" t="s">
        <v>15</v>
      </c>
      <c r="C3510" t="s">
        <v>2821</v>
      </c>
      <c r="D3510" t="s">
        <v>17</v>
      </c>
      <c r="E3510" t="s">
        <v>18</v>
      </c>
      <c r="F3510" t="s">
        <v>19</v>
      </c>
      <c r="G3510" t="s">
        <v>20</v>
      </c>
      <c r="J3510" t="s">
        <v>17</v>
      </c>
      <c r="K3510" t="str">
        <f>"6925871635776"</f>
        <v>6925871635776</v>
      </c>
      <c r="L3510" t="str">
        <f>"22203577"</f>
        <v>22203577</v>
      </c>
      <c r="M3510" t="s">
        <v>75</v>
      </c>
      <c r="N3510" s="1">
        <v>43125.831250000003</v>
      </c>
      <c r="O3510" t="s">
        <v>19</v>
      </c>
    </row>
    <row r="3511" spans="1:15" x14ac:dyDescent="0.25">
      <c r="A3511" t="s">
        <v>2891</v>
      </c>
      <c r="B3511" t="s">
        <v>15</v>
      </c>
      <c r="C3511" t="s">
        <v>2821</v>
      </c>
      <c r="D3511" t="s">
        <v>17</v>
      </c>
      <c r="E3511" t="s">
        <v>18</v>
      </c>
      <c r="F3511" t="s">
        <v>19</v>
      </c>
      <c r="G3511" t="s">
        <v>20</v>
      </c>
      <c r="J3511" t="s">
        <v>17</v>
      </c>
      <c r="K3511" t="str">
        <f>"10003262"</f>
        <v>10003262</v>
      </c>
      <c r="L3511" t="str">
        <f>"10003262"</f>
        <v>10003262</v>
      </c>
      <c r="M3511" t="s">
        <v>75</v>
      </c>
      <c r="N3511" s="1">
        <v>42872.839583333334</v>
      </c>
      <c r="O3511" t="s">
        <v>19</v>
      </c>
    </row>
    <row r="3512" spans="1:15" x14ac:dyDescent="0.25">
      <c r="A3512" t="s">
        <v>2892</v>
      </c>
      <c r="B3512" t="s">
        <v>15</v>
      </c>
      <c r="C3512" t="s">
        <v>2821</v>
      </c>
      <c r="D3512" t="s">
        <v>17</v>
      </c>
      <c r="E3512" t="s">
        <v>18</v>
      </c>
      <c r="F3512" t="s">
        <v>19</v>
      </c>
      <c r="G3512" t="s">
        <v>20</v>
      </c>
      <c r="J3512" t="s">
        <v>17</v>
      </c>
      <c r="K3512" t="str">
        <f>"10003740"</f>
        <v>10003740</v>
      </c>
      <c r="L3512" t="str">
        <f>"10003740"</f>
        <v>10003740</v>
      </c>
      <c r="M3512" t="s">
        <v>75</v>
      </c>
      <c r="N3512" s="1">
        <v>42908.689583333333</v>
      </c>
      <c r="O3512" t="s">
        <v>19</v>
      </c>
    </row>
    <row r="3513" spans="1:15" x14ac:dyDescent="0.25">
      <c r="A3513" t="s">
        <v>2893</v>
      </c>
      <c r="B3513" t="s">
        <v>15</v>
      </c>
      <c r="C3513" t="s">
        <v>2821</v>
      </c>
      <c r="D3513" t="s">
        <v>17</v>
      </c>
      <c r="E3513" t="s">
        <v>18</v>
      </c>
      <c r="F3513" t="s">
        <v>19</v>
      </c>
      <c r="G3513" t="s">
        <v>20</v>
      </c>
      <c r="J3513" t="s">
        <v>17</v>
      </c>
      <c r="K3513" t="str">
        <f>"85200001"</f>
        <v>85200001</v>
      </c>
      <c r="L3513" t="str">
        <f>"85200001"</f>
        <v>85200001</v>
      </c>
      <c r="M3513" t="s">
        <v>84</v>
      </c>
      <c r="N3513" s="1">
        <v>43347.855555555558</v>
      </c>
      <c r="O3513" t="s">
        <v>19</v>
      </c>
    </row>
    <row r="3514" spans="1:15" x14ac:dyDescent="0.25">
      <c r="A3514" t="s">
        <v>2894</v>
      </c>
      <c r="B3514" t="s">
        <v>15</v>
      </c>
      <c r="C3514" t="s">
        <v>2821</v>
      </c>
      <c r="D3514" t="s">
        <v>17</v>
      </c>
      <c r="E3514" t="s">
        <v>18</v>
      </c>
      <c r="F3514" t="s">
        <v>19</v>
      </c>
      <c r="G3514" t="s">
        <v>20</v>
      </c>
      <c r="J3514" t="s">
        <v>17</v>
      </c>
      <c r="K3514" t="str">
        <f>"6925871635202"</f>
        <v>6925871635202</v>
      </c>
      <c r="L3514" t="str">
        <f>"98203520"</f>
        <v>98203520</v>
      </c>
      <c r="M3514" t="s">
        <v>21</v>
      </c>
      <c r="N3514" s="1">
        <v>43706.659722222219</v>
      </c>
      <c r="O3514" t="s">
        <v>19</v>
      </c>
    </row>
    <row r="3515" spans="1:15" x14ac:dyDescent="0.25">
      <c r="A3515" t="s">
        <v>2895</v>
      </c>
      <c r="B3515" t="s">
        <v>15</v>
      </c>
      <c r="C3515" t="s">
        <v>2821</v>
      </c>
      <c r="D3515" t="s">
        <v>17</v>
      </c>
      <c r="E3515" t="s">
        <v>18</v>
      </c>
      <c r="F3515" t="s">
        <v>19</v>
      </c>
      <c r="G3515" t="s">
        <v>20</v>
      </c>
      <c r="J3515" t="s">
        <v>17</v>
      </c>
      <c r="K3515" t="str">
        <f>"6925871636513"</f>
        <v>6925871636513</v>
      </c>
      <c r="L3515" t="str">
        <f>"22203651"</f>
        <v>22203651</v>
      </c>
      <c r="M3515" t="s">
        <v>21</v>
      </c>
      <c r="N3515" s="1">
        <v>42872.847222222219</v>
      </c>
      <c r="O3515" t="s">
        <v>19</v>
      </c>
    </row>
    <row r="3516" spans="1:15" x14ac:dyDescent="0.25">
      <c r="A3516" t="s">
        <v>2896</v>
      </c>
      <c r="B3516" t="s">
        <v>15</v>
      </c>
      <c r="C3516" t="s">
        <v>2821</v>
      </c>
      <c r="D3516" t="s">
        <v>17</v>
      </c>
      <c r="E3516" t="s">
        <v>18</v>
      </c>
      <c r="F3516" t="s">
        <v>19</v>
      </c>
      <c r="G3516" t="s">
        <v>20</v>
      </c>
      <c r="J3516" t="s">
        <v>17</v>
      </c>
      <c r="K3516" t="str">
        <f>"6925871636520"</f>
        <v>6925871636520</v>
      </c>
      <c r="L3516" t="str">
        <f>"22203652"</f>
        <v>22203652</v>
      </c>
      <c r="M3516" t="s">
        <v>21</v>
      </c>
      <c r="N3516" s="1">
        <v>42872.847222222219</v>
      </c>
      <c r="O3516" t="s">
        <v>19</v>
      </c>
    </row>
    <row r="3517" spans="1:15" x14ac:dyDescent="0.25">
      <c r="A3517" t="s">
        <v>2897</v>
      </c>
      <c r="B3517" t="s">
        <v>15</v>
      </c>
      <c r="C3517" t="s">
        <v>2821</v>
      </c>
      <c r="D3517" t="s">
        <v>17</v>
      </c>
      <c r="E3517" t="s">
        <v>18</v>
      </c>
      <c r="F3517" t="s">
        <v>19</v>
      </c>
      <c r="G3517" t="s">
        <v>20</v>
      </c>
      <c r="J3517" t="s">
        <v>17</v>
      </c>
      <c r="K3517" t="str">
        <f>"85200015"</f>
        <v>85200015</v>
      </c>
      <c r="L3517" t="str">
        <f>"85200015"</f>
        <v>85200015</v>
      </c>
      <c r="M3517" t="s">
        <v>84</v>
      </c>
      <c r="N3517" s="1">
        <v>43347.853472222225</v>
      </c>
      <c r="O3517" t="s">
        <v>19</v>
      </c>
    </row>
    <row r="3518" spans="1:15" x14ac:dyDescent="0.25">
      <c r="A3518" t="s">
        <v>2898</v>
      </c>
      <c r="B3518" t="s">
        <v>15</v>
      </c>
      <c r="C3518" t="s">
        <v>2821</v>
      </c>
      <c r="D3518" t="s">
        <v>17</v>
      </c>
      <c r="E3518" t="s">
        <v>18</v>
      </c>
      <c r="F3518" t="s">
        <v>19</v>
      </c>
      <c r="G3518" t="s">
        <v>20</v>
      </c>
      <c r="J3518" t="s">
        <v>17</v>
      </c>
      <c r="K3518" t="str">
        <f>"6977881231004"</f>
        <v>6977881231004</v>
      </c>
      <c r="L3518" t="str">
        <f>"10202212"</f>
        <v>10202212</v>
      </c>
      <c r="M3518" t="s">
        <v>75</v>
      </c>
      <c r="N3518" s="1">
        <v>42987.78125</v>
      </c>
      <c r="O3518" t="s">
        <v>19</v>
      </c>
    </row>
    <row r="3519" spans="1:15" x14ac:dyDescent="0.25">
      <c r="A3519" t="s">
        <v>2899</v>
      </c>
      <c r="B3519" t="s">
        <v>15</v>
      </c>
      <c r="C3519" t="s">
        <v>2821</v>
      </c>
      <c r="D3519" t="s">
        <v>17</v>
      </c>
      <c r="E3519" t="s">
        <v>18</v>
      </c>
      <c r="F3519" t="s">
        <v>19</v>
      </c>
      <c r="G3519" t="s">
        <v>20</v>
      </c>
      <c r="J3519" t="s">
        <v>17</v>
      </c>
      <c r="K3519" t="str">
        <f>"85200550"</f>
        <v>85200550</v>
      </c>
      <c r="L3519" t="str">
        <f>"85200550"</f>
        <v>85200550</v>
      </c>
      <c r="M3519" t="s">
        <v>84</v>
      </c>
      <c r="N3519" s="1">
        <v>43347.853472222225</v>
      </c>
      <c r="O3519" t="s">
        <v>19</v>
      </c>
    </row>
    <row r="3520" spans="1:15" x14ac:dyDescent="0.25">
      <c r="A3520" t="s">
        <v>2900</v>
      </c>
      <c r="B3520" t="s">
        <v>15</v>
      </c>
      <c r="C3520" t="s">
        <v>2821</v>
      </c>
      <c r="D3520" t="s">
        <v>17</v>
      </c>
      <c r="E3520" t="s">
        <v>18</v>
      </c>
      <c r="F3520" t="s">
        <v>19</v>
      </c>
      <c r="G3520" t="s">
        <v>20</v>
      </c>
      <c r="J3520" t="s">
        <v>17</v>
      </c>
      <c r="K3520" t="str">
        <f>"10202410"</f>
        <v>10202410</v>
      </c>
      <c r="L3520" t="str">
        <f>"10202410"</f>
        <v>10202410</v>
      </c>
      <c r="M3520" t="s">
        <v>75</v>
      </c>
      <c r="N3520" s="1">
        <v>42987.779166666667</v>
      </c>
      <c r="O3520" t="s">
        <v>19</v>
      </c>
    </row>
    <row r="3521" spans="1:15" x14ac:dyDescent="0.25">
      <c r="A3521" t="s">
        <v>2901</v>
      </c>
      <c r="B3521" t="s">
        <v>15</v>
      </c>
      <c r="C3521" t="s">
        <v>2821</v>
      </c>
      <c r="D3521" t="s">
        <v>17</v>
      </c>
      <c r="E3521" t="s">
        <v>18</v>
      </c>
      <c r="F3521" t="s">
        <v>19</v>
      </c>
      <c r="G3521" t="s">
        <v>20</v>
      </c>
      <c r="J3521" t="s">
        <v>17</v>
      </c>
      <c r="K3521" t="str">
        <f>"7858816073014"</f>
        <v>7858816073014</v>
      </c>
      <c r="L3521" t="str">
        <f>"87107301"</f>
        <v>87107301</v>
      </c>
      <c r="M3521" t="s">
        <v>21</v>
      </c>
      <c r="N3521" s="1">
        <v>43572.797222222223</v>
      </c>
      <c r="O3521" t="s">
        <v>19</v>
      </c>
    </row>
    <row r="3522" spans="1:15" x14ac:dyDescent="0.25">
      <c r="A3522" t="s">
        <v>2902</v>
      </c>
      <c r="B3522" t="s">
        <v>15</v>
      </c>
      <c r="C3522" t="s">
        <v>2821</v>
      </c>
      <c r="D3522" t="s">
        <v>17</v>
      </c>
      <c r="E3522" t="s">
        <v>18</v>
      </c>
      <c r="F3522" t="s">
        <v>19</v>
      </c>
      <c r="G3522" t="s">
        <v>20</v>
      </c>
      <c r="J3522" t="s">
        <v>17</v>
      </c>
      <c r="K3522" t="str">
        <f>"6972543651336"</f>
        <v>6972543651336</v>
      </c>
      <c r="L3522" t="str">
        <f>"22200090"</f>
        <v>22200090</v>
      </c>
      <c r="M3522" t="s">
        <v>21</v>
      </c>
      <c r="N3522" s="1">
        <v>44349.930555555555</v>
      </c>
      <c r="O3522" t="s">
        <v>19</v>
      </c>
    </row>
    <row r="3523" spans="1:15" x14ac:dyDescent="0.25">
      <c r="A3523" t="s">
        <v>2903</v>
      </c>
      <c r="B3523" t="s">
        <v>15</v>
      </c>
      <c r="C3523" t="s">
        <v>2821</v>
      </c>
      <c r="D3523" t="s">
        <v>17</v>
      </c>
      <c r="E3523" t="s">
        <v>18</v>
      </c>
      <c r="F3523" t="s">
        <v>19</v>
      </c>
      <c r="G3523" t="s">
        <v>20</v>
      </c>
      <c r="J3523" t="s">
        <v>17</v>
      </c>
      <c r="K3523" t="str">
        <f>"2017081100091"</f>
        <v>2017081100091</v>
      </c>
      <c r="L3523" t="str">
        <f>"10002773"</f>
        <v>10002773</v>
      </c>
      <c r="M3523" t="s">
        <v>75</v>
      </c>
      <c r="N3523" s="1">
        <v>43097.875694444447</v>
      </c>
      <c r="O3523" t="s">
        <v>19</v>
      </c>
    </row>
    <row r="3524" spans="1:15" x14ac:dyDescent="0.25">
      <c r="A3524" t="s">
        <v>2904</v>
      </c>
      <c r="B3524" t="s">
        <v>15</v>
      </c>
      <c r="C3524" t="s">
        <v>2821</v>
      </c>
      <c r="D3524" t="s">
        <v>17</v>
      </c>
      <c r="E3524" t="s">
        <v>18</v>
      </c>
      <c r="F3524" t="s">
        <v>19</v>
      </c>
      <c r="G3524" t="s">
        <v>20</v>
      </c>
      <c r="J3524" t="s">
        <v>17</v>
      </c>
      <c r="K3524" t="str">
        <f>"8699045800076"</f>
        <v>8699045800076</v>
      </c>
      <c r="L3524" t="str">
        <f>"10002956"</f>
        <v>10002956</v>
      </c>
      <c r="M3524" t="s">
        <v>75</v>
      </c>
      <c r="N3524" s="1">
        <v>43195.693055555559</v>
      </c>
      <c r="O3524" t="s">
        <v>19</v>
      </c>
    </row>
    <row r="3525" spans="1:15" x14ac:dyDescent="0.25">
      <c r="A3525" t="s">
        <v>2905</v>
      </c>
      <c r="B3525" t="s">
        <v>15</v>
      </c>
      <c r="C3525" t="s">
        <v>2821</v>
      </c>
      <c r="D3525" t="s">
        <v>17</v>
      </c>
      <c r="E3525" t="s">
        <v>18</v>
      </c>
      <c r="F3525" t="s">
        <v>19</v>
      </c>
      <c r="G3525" t="s">
        <v>20</v>
      </c>
      <c r="J3525" t="s">
        <v>17</v>
      </c>
      <c r="K3525" t="str">
        <f>"20200905T91"</f>
        <v>20200905T91</v>
      </c>
      <c r="L3525" t="str">
        <f>"76200091"</f>
        <v>76200091</v>
      </c>
      <c r="M3525" t="s">
        <v>21</v>
      </c>
      <c r="N3525" s="1">
        <v>44210.793055555558</v>
      </c>
      <c r="O3525" t="s">
        <v>19</v>
      </c>
    </row>
    <row r="3526" spans="1:15" x14ac:dyDescent="0.25">
      <c r="A3526" t="s">
        <v>2906</v>
      </c>
      <c r="B3526" t="s">
        <v>15</v>
      </c>
      <c r="C3526" t="s">
        <v>2821</v>
      </c>
      <c r="D3526" t="s">
        <v>17</v>
      </c>
      <c r="E3526" t="s">
        <v>18</v>
      </c>
      <c r="F3526" t="s">
        <v>19</v>
      </c>
      <c r="G3526" t="s">
        <v>20</v>
      </c>
      <c r="J3526" t="s">
        <v>17</v>
      </c>
      <c r="K3526" t="str">
        <f>"20190901000X7"</f>
        <v>20190901000X7</v>
      </c>
      <c r="L3526" t="str">
        <f>"76201007"</f>
        <v>76201007</v>
      </c>
      <c r="M3526" t="s">
        <v>21</v>
      </c>
      <c r="N3526" s="1">
        <v>44210.790972222225</v>
      </c>
      <c r="O3526" t="s">
        <v>19</v>
      </c>
    </row>
    <row r="3527" spans="1:15" x14ac:dyDescent="0.25">
      <c r="A3527" t="s">
        <v>2907</v>
      </c>
      <c r="B3527" t="s">
        <v>15</v>
      </c>
      <c r="C3527" t="s">
        <v>2821</v>
      </c>
      <c r="D3527" t="s">
        <v>17</v>
      </c>
      <c r="E3527" t="s">
        <v>18</v>
      </c>
      <c r="F3527" t="s">
        <v>19</v>
      </c>
      <c r="G3527" t="s">
        <v>20</v>
      </c>
      <c r="J3527" t="s">
        <v>17</v>
      </c>
      <c r="K3527" t="str">
        <f>"20200905000X8"</f>
        <v>20200905000X8</v>
      </c>
      <c r="L3527" t="str">
        <f>"76205008"</f>
        <v>76205008</v>
      </c>
      <c r="M3527" t="s">
        <v>21</v>
      </c>
      <c r="N3527" s="1">
        <v>44210.791666666664</v>
      </c>
      <c r="O3527" t="s">
        <v>19</v>
      </c>
    </row>
    <row r="3528" spans="1:15" x14ac:dyDescent="0.25">
      <c r="A3528" t="s">
        <v>2908</v>
      </c>
      <c r="B3528" t="s">
        <v>15</v>
      </c>
      <c r="C3528" t="s">
        <v>2821</v>
      </c>
      <c r="D3528" t="s">
        <v>17</v>
      </c>
      <c r="E3528" t="s">
        <v>18</v>
      </c>
      <c r="F3528" t="s">
        <v>19</v>
      </c>
      <c r="G3528" t="s">
        <v>20</v>
      </c>
      <c r="J3528" t="s">
        <v>17</v>
      </c>
      <c r="K3528" t="str">
        <f>"76200903"</f>
        <v>76200903</v>
      </c>
      <c r="L3528" t="str">
        <f>"76200903"</f>
        <v>76200903</v>
      </c>
      <c r="M3528" t="s">
        <v>21</v>
      </c>
      <c r="N3528" s="1">
        <v>44210.788888888892</v>
      </c>
      <c r="O3528" t="s">
        <v>19</v>
      </c>
    </row>
    <row r="3529" spans="1:15" x14ac:dyDescent="0.25">
      <c r="A3529" t="s">
        <v>2909</v>
      </c>
      <c r="B3529" t="s">
        <v>15</v>
      </c>
      <c r="C3529" t="s">
        <v>2821</v>
      </c>
      <c r="D3529" t="s">
        <v>17</v>
      </c>
      <c r="E3529" t="s">
        <v>18</v>
      </c>
      <c r="F3529" t="s">
        <v>19</v>
      </c>
      <c r="G3529" t="s">
        <v>20</v>
      </c>
      <c r="J3529" t="s">
        <v>17</v>
      </c>
      <c r="K3529" t="str">
        <f>"8712581762414"</f>
        <v>8712581762414</v>
      </c>
      <c r="L3529" t="str">
        <f>"10117457"</f>
        <v>10117457</v>
      </c>
      <c r="M3529" t="s">
        <v>21</v>
      </c>
      <c r="N3529" s="1">
        <v>43967.791666666664</v>
      </c>
      <c r="O3529" t="s">
        <v>19</v>
      </c>
    </row>
    <row r="3530" spans="1:15" x14ac:dyDescent="0.25">
      <c r="A3530" t="s">
        <v>2910</v>
      </c>
      <c r="B3530" t="s">
        <v>15</v>
      </c>
      <c r="C3530" t="s">
        <v>2821</v>
      </c>
      <c r="D3530" t="s">
        <v>17</v>
      </c>
      <c r="E3530" t="s">
        <v>18</v>
      </c>
      <c r="F3530" t="s">
        <v>19</v>
      </c>
      <c r="G3530" t="s">
        <v>20</v>
      </c>
      <c r="J3530" t="s">
        <v>17</v>
      </c>
      <c r="K3530" t="str">
        <f>"10000863"</f>
        <v>10000863</v>
      </c>
      <c r="L3530" t="str">
        <f>"10000863"</f>
        <v>10000863</v>
      </c>
      <c r="M3530" t="s">
        <v>21</v>
      </c>
      <c r="N3530" s="1">
        <v>43126.652083333334</v>
      </c>
      <c r="O3530" t="s">
        <v>19</v>
      </c>
    </row>
    <row r="3531" spans="1:15" x14ac:dyDescent="0.25">
      <c r="A3531" t="s">
        <v>2911</v>
      </c>
      <c r="B3531" t="s">
        <v>15</v>
      </c>
      <c r="C3531" t="s">
        <v>2821</v>
      </c>
      <c r="D3531" t="s">
        <v>17</v>
      </c>
      <c r="E3531" t="s">
        <v>18</v>
      </c>
      <c r="F3531" t="s">
        <v>19</v>
      </c>
      <c r="G3531" t="s">
        <v>20</v>
      </c>
      <c r="J3531" t="s">
        <v>17</v>
      </c>
      <c r="K3531" t="str">
        <f>"7168297048068"</f>
        <v>7168297048068</v>
      </c>
      <c r="L3531" t="str">
        <f>"98204000"</f>
        <v>98204000</v>
      </c>
      <c r="M3531" t="s">
        <v>21</v>
      </c>
      <c r="N3531" s="1">
        <v>43279.781944444447</v>
      </c>
      <c r="O3531" t="s">
        <v>19</v>
      </c>
    </row>
    <row r="3532" spans="1:15" x14ac:dyDescent="0.25">
      <c r="A3532" t="s">
        <v>2912</v>
      </c>
      <c r="B3532" t="s">
        <v>15</v>
      </c>
      <c r="C3532" t="s">
        <v>2821</v>
      </c>
      <c r="D3532" t="s">
        <v>17</v>
      </c>
      <c r="E3532" t="s">
        <v>18</v>
      </c>
      <c r="F3532" t="s">
        <v>19</v>
      </c>
      <c r="G3532" t="s">
        <v>20</v>
      </c>
      <c r="J3532" t="s">
        <v>17</v>
      </c>
      <c r="K3532" t="str">
        <f>"10003482"</f>
        <v>10003482</v>
      </c>
      <c r="L3532" t="str">
        <f>"10003482"</f>
        <v>10003482</v>
      </c>
      <c r="M3532" t="s">
        <v>75</v>
      </c>
      <c r="N3532" s="1">
        <v>42872.839583333334</v>
      </c>
      <c r="O3532" t="s">
        <v>19</v>
      </c>
    </row>
    <row r="3533" spans="1:15" x14ac:dyDescent="0.25">
      <c r="A3533" t="s">
        <v>2913</v>
      </c>
      <c r="B3533" t="s">
        <v>15</v>
      </c>
      <c r="C3533" t="s">
        <v>2821</v>
      </c>
      <c r="D3533" t="s">
        <v>17</v>
      </c>
      <c r="E3533" t="s">
        <v>18</v>
      </c>
      <c r="F3533" t="s">
        <v>19</v>
      </c>
      <c r="G3533" t="s">
        <v>20</v>
      </c>
      <c r="J3533" t="s">
        <v>17</v>
      </c>
      <c r="K3533" t="str">
        <f>"5626890049834"</f>
        <v>5626890049834</v>
      </c>
      <c r="L3533" t="str">
        <f>"28204983"</f>
        <v>28204983</v>
      </c>
      <c r="M3533" t="s">
        <v>84</v>
      </c>
      <c r="N3533" s="1">
        <v>43335.90347222222</v>
      </c>
      <c r="O3533" t="s">
        <v>19</v>
      </c>
    </row>
    <row r="3534" spans="1:15" x14ac:dyDescent="0.25">
      <c r="A3534" t="s">
        <v>2914</v>
      </c>
      <c r="B3534" t="s">
        <v>15</v>
      </c>
      <c r="C3534" t="s">
        <v>2821</v>
      </c>
      <c r="D3534" t="s">
        <v>17</v>
      </c>
      <c r="E3534" t="s">
        <v>18</v>
      </c>
      <c r="F3534" t="s">
        <v>19</v>
      </c>
      <c r="G3534" t="s">
        <v>20</v>
      </c>
      <c r="J3534" t="s">
        <v>17</v>
      </c>
      <c r="K3534" t="str">
        <f>"7796941037771"</f>
        <v>7796941037771</v>
      </c>
      <c r="L3534" t="str">
        <f>"42100151"</f>
        <v>42100151</v>
      </c>
      <c r="M3534" t="s">
        <v>75</v>
      </c>
      <c r="N3534" s="1">
        <v>42872.839583333334</v>
      </c>
      <c r="O3534" t="s">
        <v>19</v>
      </c>
    </row>
    <row r="3535" spans="1:15" x14ac:dyDescent="0.25">
      <c r="A3535" t="s">
        <v>2915</v>
      </c>
      <c r="B3535" t="s">
        <v>15</v>
      </c>
      <c r="C3535" t="s">
        <v>2821</v>
      </c>
      <c r="D3535" t="s">
        <v>17</v>
      </c>
      <c r="E3535" t="s">
        <v>18</v>
      </c>
      <c r="F3535" t="s">
        <v>19</v>
      </c>
      <c r="G3535" t="s">
        <v>20</v>
      </c>
      <c r="J3535" t="s">
        <v>17</v>
      </c>
      <c r="K3535" t="str">
        <f>"697226002254"</f>
        <v>697226002254</v>
      </c>
      <c r="L3535" t="str">
        <f>"10117853"</f>
        <v>10117853</v>
      </c>
      <c r="M3535" t="s">
        <v>21</v>
      </c>
      <c r="N3535" s="1">
        <v>42872.839583333334</v>
      </c>
      <c r="O3535" t="s">
        <v>19</v>
      </c>
    </row>
    <row r="3536" spans="1:15" x14ac:dyDescent="0.25">
      <c r="A3536" t="s">
        <v>2916</v>
      </c>
      <c r="B3536" t="s">
        <v>15</v>
      </c>
      <c r="C3536" t="s">
        <v>2821</v>
      </c>
      <c r="D3536" t="s">
        <v>17</v>
      </c>
      <c r="E3536" t="s">
        <v>18</v>
      </c>
      <c r="F3536" t="s">
        <v>19</v>
      </c>
      <c r="G3536" t="s">
        <v>20</v>
      </c>
      <c r="J3536" t="s">
        <v>17</v>
      </c>
      <c r="K3536" t="str">
        <f>"6950269332357"</f>
        <v>6950269332357</v>
      </c>
      <c r="L3536" t="str">
        <f>"10118502"</f>
        <v>10118502</v>
      </c>
      <c r="M3536" t="s">
        <v>21</v>
      </c>
      <c r="N3536" s="1">
        <v>43195.7</v>
      </c>
      <c r="O3536" t="s">
        <v>19</v>
      </c>
    </row>
    <row r="3537" spans="1:15" x14ac:dyDescent="0.25">
      <c r="A3537" t="s">
        <v>2917</v>
      </c>
      <c r="B3537" t="s">
        <v>15</v>
      </c>
      <c r="C3537" t="s">
        <v>2821</v>
      </c>
      <c r="D3537" t="s">
        <v>17</v>
      </c>
      <c r="E3537" t="s">
        <v>18</v>
      </c>
      <c r="F3537" t="s">
        <v>19</v>
      </c>
      <c r="G3537" t="s">
        <v>20</v>
      </c>
      <c r="J3537" t="s">
        <v>17</v>
      </c>
      <c r="K3537" t="str">
        <f>"1710006755033"</f>
        <v>1710006755033</v>
      </c>
      <c r="L3537" t="str">
        <f>"10119844"</f>
        <v>10119844</v>
      </c>
      <c r="M3537" t="s">
        <v>21</v>
      </c>
      <c r="N3537" s="1">
        <v>43266.964583333334</v>
      </c>
      <c r="O3537" t="s">
        <v>19</v>
      </c>
    </row>
    <row r="3538" spans="1:15" x14ac:dyDescent="0.25">
      <c r="A3538" t="s">
        <v>2918</v>
      </c>
      <c r="B3538" t="s">
        <v>15</v>
      </c>
      <c r="C3538" t="s">
        <v>2821</v>
      </c>
      <c r="D3538" t="s">
        <v>17</v>
      </c>
      <c r="E3538" t="s">
        <v>18</v>
      </c>
      <c r="F3538" t="s">
        <v>19</v>
      </c>
      <c r="G3538" t="s">
        <v>20</v>
      </c>
      <c r="J3538" t="s">
        <v>17</v>
      </c>
      <c r="K3538" t="str">
        <f>"7891345213117"</f>
        <v>7891345213117</v>
      </c>
      <c r="L3538" t="str">
        <f>"10001578"</f>
        <v>10001578</v>
      </c>
      <c r="M3538" t="s">
        <v>21</v>
      </c>
      <c r="N3538" s="1">
        <v>43495.915972222225</v>
      </c>
      <c r="O3538" t="s">
        <v>19</v>
      </c>
    </row>
    <row r="3539" spans="1:15" x14ac:dyDescent="0.25">
      <c r="A3539" t="s">
        <v>2919</v>
      </c>
      <c r="B3539" t="s">
        <v>15</v>
      </c>
      <c r="C3539" t="s">
        <v>2821</v>
      </c>
      <c r="D3539" t="s">
        <v>17</v>
      </c>
      <c r="E3539" t="s">
        <v>18</v>
      </c>
      <c r="F3539" t="s">
        <v>19</v>
      </c>
      <c r="G3539" t="s">
        <v>20</v>
      </c>
      <c r="J3539" t="s">
        <v>17</v>
      </c>
      <c r="K3539" t="str">
        <f>"6957226002254"</f>
        <v>6957226002254</v>
      </c>
      <c r="L3539" t="str">
        <f>"10002301"</f>
        <v>10002301</v>
      </c>
      <c r="M3539" t="s">
        <v>21</v>
      </c>
      <c r="N3539" s="1">
        <v>43708.890972222223</v>
      </c>
      <c r="O3539" t="s">
        <v>19</v>
      </c>
    </row>
    <row r="3540" spans="1:15" x14ac:dyDescent="0.25">
      <c r="A3540" t="s">
        <v>2920</v>
      </c>
      <c r="B3540" t="s">
        <v>15</v>
      </c>
      <c r="C3540" t="s">
        <v>2821</v>
      </c>
      <c r="D3540" t="s">
        <v>17</v>
      </c>
      <c r="E3540" t="s">
        <v>18</v>
      </c>
      <c r="F3540" t="s">
        <v>19</v>
      </c>
      <c r="G3540" t="s">
        <v>20</v>
      </c>
      <c r="J3540" t="s">
        <v>17</v>
      </c>
      <c r="K3540" t="str">
        <f>"10003003"</f>
        <v>10003003</v>
      </c>
      <c r="L3540" t="str">
        <f>"10003003"</f>
        <v>10003003</v>
      </c>
      <c r="M3540" t="s">
        <v>21</v>
      </c>
      <c r="N3540" s="1">
        <v>43819.890277777777</v>
      </c>
      <c r="O3540" t="s">
        <v>19</v>
      </c>
    </row>
    <row r="3541" spans="1:15" x14ac:dyDescent="0.25">
      <c r="A3541" t="s">
        <v>2921</v>
      </c>
      <c r="B3541" t="s">
        <v>15</v>
      </c>
      <c r="C3541" t="s">
        <v>2821</v>
      </c>
      <c r="D3541" t="s">
        <v>17</v>
      </c>
      <c r="E3541" t="s">
        <v>18</v>
      </c>
      <c r="F3541" t="s">
        <v>19</v>
      </c>
      <c r="G3541" t="s">
        <v>20</v>
      </c>
      <c r="J3541" t="s">
        <v>17</v>
      </c>
      <c r="K3541" t="str">
        <f>"10003162"</f>
        <v>10003162</v>
      </c>
      <c r="L3541" t="str">
        <f>"10003162"</f>
        <v>10003162</v>
      </c>
      <c r="M3541" t="s">
        <v>21</v>
      </c>
      <c r="N3541" s="1">
        <v>43967.811111111114</v>
      </c>
      <c r="O3541" t="s">
        <v>19</v>
      </c>
    </row>
    <row r="3542" spans="1:15" x14ac:dyDescent="0.25">
      <c r="A3542" t="s">
        <v>2922</v>
      </c>
      <c r="B3542" t="s">
        <v>15</v>
      </c>
      <c r="C3542" t="s">
        <v>2821</v>
      </c>
      <c r="D3542" t="s">
        <v>17</v>
      </c>
      <c r="E3542" t="s">
        <v>18</v>
      </c>
      <c r="F3542" t="s">
        <v>19</v>
      </c>
      <c r="G3542" t="s">
        <v>20</v>
      </c>
      <c r="J3542" t="s">
        <v>17</v>
      </c>
      <c r="K3542" t="str">
        <f>"8669201506180"</f>
        <v>8669201506180</v>
      </c>
      <c r="L3542" t="str">
        <f>"10003357"</f>
        <v>10003357</v>
      </c>
      <c r="M3542" t="s">
        <v>21</v>
      </c>
      <c r="N3542" s="1">
        <v>43967.796527777777</v>
      </c>
      <c r="O3542" t="s">
        <v>19</v>
      </c>
    </row>
    <row r="3543" spans="1:15" x14ac:dyDescent="0.25">
      <c r="A3543" t="s">
        <v>2923</v>
      </c>
      <c r="B3543" t="s">
        <v>15</v>
      </c>
      <c r="C3543" t="s">
        <v>2821</v>
      </c>
      <c r="D3543" t="s">
        <v>17</v>
      </c>
      <c r="E3543" t="s">
        <v>18</v>
      </c>
      <c r="F3543" t="s">
        <v>19</v>
      </c>
      <c r="G3543" t="s">
        <v>20</v>
      </c>
      <c r="J3543" t="s">
        <v>17</v>
      </c>
      <c r="K3543" t="str">
        <f>"6925871635677"</f>
        <v>6925871635677</v>
      </c>
      <c r="L3543" t="str">
        <f>"98203567"</f>
        <v>98203567</v>
      </c>
      <c r="M3543" t="s">
        <v>21</v>
      </c>
      <c r="N3543" s="1">
        <v>43314.681944444441</v>
      </c>
      <c r="O3543" t="s">
        <v>19</v>
      </c>
    </row>
    <row r="3544" spans="1:15" x14ac:dyDescent="0.25">
      <c r="A3544" t="s">
        <v>2924</v>
      </c>
      <c r="B3544" t="s">
        <v>15</v>
      </c>
      <c r="C3544" t="s">
        <v>2821</v>
      </c>
      <c r="D3544" t="s">
        <v>17</v>
      </c>
      <c r="E3544" t="s">
        <v>18</v>
      </c>
      <c r="F3544" t="s">
        <v>19</v>
      </c>
      <c r="G3544" t="s">
        <v>20</v>
      </c>
      <c r="J3544" t="s">
        <v>17</v>
      </c>
      <c r="K3544" t="str">
        <f>"7809601112692"</f>
        <v>7809601112692</v>
      </c>
      <c r="L3544" t="str">
        <f>"98200223"</f>
        <v>98200223</v>
      </c>
      <c r="M3544" t="s">
        <v>21</v>
      </c>
      <c r="N3544" s="1">
        <v>42880.749305555553</v>
      </c>
      <c r="O3544" t="s">
        <v>19</v>
      </c>
    </row>
    <row r="3545" spans="1:15" x14ac:dyDescent="0.25">
      <c r="A3545" t="s">
        <v>2925</v>
      </c>
      <c r="B3545" t="s">
        <v>15</v>
      </c>
      <c r="C3545" t="s">
        <v>2821</v>
      </c>
      <c r="D3545" t="s">
        <v>17</v>
      </c>
      <c r="E3545" t="s">
        <v>18</v>
      </c>
      <c r="F3545" t="s">
        <v>19</v>
      </c>
      <c r="G3545" t="s">
        <v>20</v>
      </c>
      <c r="J3545" t="s">
        <v>17</v>
      </c>
      <c r="K3545" t="str">
        <f>"4710268232612"</f>
        <v>4710268232612</v>
      </c>
      <c r="L3545" t="str">
        <f>"92079000"</f>
        <v>92079000</v>
      </c>
      <c r="M3545" t="s">
        <v>21</v>
      </c>
      <c r="N3545" s="1">
        <v>43888.837500000001</v>
      </c>
      <c r="O3545" t="s">
        <v>19</v>
      </c>
    </row>
    <row r="3546" spans="1:15" x14ac:dyDescent="0.25">
      <c r="A3546" t="s">
        <v>2926</v>
      </c>
      <c r="B3546" t="s">
        <v>15</v>
      </c>
      <c r="C3546" t="s">
        <v>2821</v>
      </c>
      <c r="D3546" t="s">
        <v>17</v>
      </c>
      <c r="E3546" t="s">
        <v>18</v>
      </c>
      <c r="F3546" t="s">
        <v>19</v>
      </c>
      <c r="G3546" t="s">
        <v>20</v>
      </c>
      <c r="J3546" t="s">
        <v>17</v>
      </c>
      <c r="K3546" t="str">
        <f>"92207001"</f>
        <v>92207001</v>
      </c>
      <c r="L3546" t="str">
        <f>"92207001"</f>
        <v>92207001</v>
      </c>
      <c r="M3546" t="s">
        <v>21</v>
      </c>
      <c r="N3546" s="1">
        <v>43713.936805555553</v>
      </c>
      <c r="O3546" t="s">
        <v>19</v>
      </c>
    </row>
    <row r="3547" spans="1:15" x14ac:dyDescent="0.25">
      <c r="A3547" t="s">
        <v>2926</v>
      </c>
      <c r="B3547" t="s">
        <v>15</v>
      </c>
      <c r="C3547" t="s">
        <v>2821</v>
      </c>
      <c r="D3547" t="s">
        <v>17</v>
      </c>
      <c r="E3547" t="s">
        <v>18</v>
      </c>
      <c r="F3547" t="s">
        <v>19</v>
      </c>
      <c r="G3547" t="s">
        <v>20</v>
      </c>
      <c r="J3547" t="s">
        <v>17</v>
      </c>
      <c r="K3547" t="str">
        <f>"4710268250838"</f>
        <v>4710268250838</v>
      </c>
      <c r="L3547" t="str">
        <f>"29GEN7NXBL"</f>
        <v>29GEN7NXBL</v>
      </c>
      <c r="M3547" t="s">
        <v>21</v>
      </c>
      <c r="N3547" s="1">
        <v>44001.594444444447</v>
      </c>
      <c r="O3547" t="s">
        <v>19</v>
      </c>
    </row>
    <row r="3548" spans="1:15" x14ac:dyDescent="0.25">
      <c r="A3548" t="s">
        <v>2927</v>
      </c>
      <c r="B3548" t="s">
        <v>15</v>
      </c>
      <c r="C3548" t="s">
        <v>2821</v>
      </c>
      <c r="D3548" t="s">
        <v>17</v>
      </c>
      <c r="E3548" t="s">
        <v>18</v>
      </c>
      <c r="F3548" t="s">
        <v>19</v>
      </c>
      <c r="G3548" t="s">
        <v>20</v>
      </c>
      <c r="J3548" t="s">
        <v>17</v>
      </c>
      <c r="K3548" t="str">
        <f>"4710268250074"</f>
        <v>4710268250074</v>
      </c>
      <c r="L3548" t="str">
        <f>"92207000"</f>
        <v>92207000</v>
      </c>
      <c r="M3548" t="s">
        <v>21</v>
      </c>
      <c r="N3548" s="1">
        <v>43713.936111111114</v>
      </c>
      <c r="O3548" t="s">
        <v>19</v>
      </c>
    </row>
    <row r="3549" spans="1:15" x14ac:dyDescent="0.25">
      <c r="A3549" t="s">
        <v>2928</v>
      </c>
      <c r="B3549" t="s">
        <v>15</v>
      </c>
      <c r="C3549" t="s">
        <v>2821</v>
      </c>
      <c r="D3549" t="s">
        <v>17</v>
      </c>
      <c r="E3549" t="s">
        <v>18</v>
      </c>
      <c r="F3549" t="s">
        <v>19</v>
      </c>
      <c r="G3549" t="s">
        <v>20</v>
      </c>
      <c r="J3549" t="s">
        <v>17</v>
      </c>
      <c r="K3549" t="str">
        <f>"4710268250951"</f>
        <v>4710268250951</v>
      </c>
      <c r="L3549" t="str">
        <f>"92207015"</f>
        <v>92207015</v>
      </c>
      <c r="M3549" t="s">
        <v>21</v>
      </c>
      <c r="N3549" s="1">
        <v>44344.681250000001</v>
      </c>
      <c r="O3549" t="s">
        <v>19</v>
      </c>
    </row>
    <row r="3550" spans="1:15" x14ac:dyDescent="0.25">
      <c r="A3550" t="s">
        <v>2929</v>
      </c>
      <c r="B3550" t="s">
        <v>15</v>
      </c>
      <c r="C3550" t="s">
        <v>2821</v>
      </c>
      <c r="D3550" t="s">
        <v>17</v>
      </c>
      <c r="E3550" t="s">
        <v>18</v>
      </c>
      <c r="F3550" t="s">
        <v>19</v>
      </c>
      <c r="G3550" t="s">
        <v>20</v>
      </c>
      <c r="J3550" t="s">
        <v>17</v>
      </c>
      <c r="K3550" t="str">
        <f>"7858816060618"</f>
        <v>7858816060618</v>
      </c>
      <c r="L3550" t="str">
        <f>"87206061"</f>
        <v>87206061</v>
      </c>
      <c r="M3550" t="s">
        <v>21</v>
      </c>
      <c r="N3550" s="1">
        <v>44433.697916666664</v>
      </c>
      <c r="O3550" t="s">
        <v>19</v>
      </c>
    </row>
    <row r="3551" spans="1:15" x14ac:dyDescent="0.25">
      <c r="A3551" t="s">
        <v>2930</v>
      </c>
      <c r="B3551" t="s">
        <v>15</v>
      </c>
      <c r="C3551" t="s">
        <v>2821</v>
      </c>
      <c r="D3551" t="s">
        <v>17</v>
      </c>
      <c r="E3551" t="s">
        <v>18</v>
      </c>
      <c r="F3551" t="s">
        <v>19</v>
      </c>
      <c r="G3551" t="s">
        <v>20</v>
      </c>
      <c r="J3551" t="s">
        <v>17</v>
      </c>
      <c r="K3551" t="str">
        <f>"7796941037788"</f>
        <v>7796941037788</v>
      </c>
      <c r="L3551" t="str">
        <f>"42100150"</f>
        <v>42100150</v>
      </c>
      <c r="M3551" t="s">
        <v>75</v>
      </c>
      <c r="N3551" s="1">
        <v>42872.839583333334</v>
      </c>
      <c r="O3551" t="s">
        <v>19</v>
      </c>
    </row>
    <row r="3552" spans="1:15" x14ac:dyDescent="0.25">
      <c r="A3552" t="s">
        <v>2931</v>
      </c>
      <c r="B3552" t="s">
        <v>15</v>
      </c>
      <c r="C3552" t="s">
        <v>2821</v>
      </c>
      <c r="D3552" t="s">
        <v>17</v>
      </c>
      <c r="E3552" t="s">
        <v>18</v>
      </c>
      <c r="F3552" t="s">
        <v>19</v>
      </c>
      <c r="G3552" t="s">
        <v>20</v>
      </c>
      <c r="J3552" t="s">
        <v>17</v>
      </c>
      <c r="K3552" t="str">
        <f>"7293290210966"</f>
        <v>7293290210966</v>
      </c>
      <c r="L3552" t="str">
        <f>"98200250"</f>
        <v>98200250</v>
      </c>
      <c r="M3552" t="s">
        <v>21</v>
      </c>
      <c r="N3552" s="1">
        <v>42872.839583333334</v>
      </c>
      <c r="O3552" t="s">
        <v>19</v>
      </c>
    </row>
    <row r="3553" spans="1:15" x14ac:dyDescent="0.25">
      <c r="A3553" t="s">
        <v>2932</v>
      </c>
      <c r="B3553" t="s">
        <v>15</v>
      </c>
      <c r="C3553" t="s">
        <v>2821</v>
      </c>
      <c r="D3553" t="s">
        <v>17</v>
      </c>
      <c r="E3553" t="s">
        <v>18</v>
      </c>
      <c r="F3553" t="s">
        <v>19</v>
      </c>
      <c r="G3553" t="s">
        <v>20</v>
      </c>
      <c r="J3553" t="s">
        <v>17</v>
      </c>
      <c r="K3553" t="str">
        <f>"8712581754716"</f>
        <v>8712581754716</v>
      </c>
      <c r="L3553" t="str">
        <f>"10016696"</f>
        <v>10016696</v>
      </c>
      <c r="M3553" t="s">
        <v>21</v>
      </c>
      <c r="N3553" s="1">
        <v>43854.708333333336</v>
      </c>
      <c r="O3553" t="s">
        <v>19</v>
      </c>
    </row>
    <row r="3554" spans="1:15" x14ac:dyDescent="0.25">
      <c r="A3554" t="s">
        <v>2933</v>
      </c>
      <c r="B3554" t="s">
        <v>15</v>
      </c>
      <c r="C3554" t="s">
        <v>2821</v>
      </c>
      <c r="D3554" t="s">
        <v>17</v>
      </c>
      <c r="E3554" t="s">
        <v>18</v>
      </c>
      <c r="F3554" t="s">
        <v>19</v>
      </c>
      <c r="G3554" t="s">
        <v>20</v>
      </c>
      <c r="J3554" t="s">
        <v>17</v>
      </c>
      <c r="K3554" t="str">
        <f>"8712581767037"</f>
        <v>8712581767037</v>
      </c>
      <c r="L3554" t="str">
        <f>"29PHL7305G"</f>
        <v>29PHL7305G</v>
      </c>
      <c r="M3554" t="s">
        <v>21</v>
      </c>
      <c r="N3554" s="1">
        <v>44265.945833333331</v>
      </c>
      <c r="O3554" t="s">
        <v>19</v>
      </c>
    </row>
    <row r="3555" spans="1:15" x14ac:dyDescent="0.25">
      <c r="A3555" t="s">
        <v>2934</v>
      </c>
      <c r="B3555" t="s">
        <v>15</v>
      </c>
      <c r="C3555" t="s">
        <v>2821</v>
      </c>
      <c r="D3555" t="s">
        <v>17</v>
      </c>
      <c r="E3555" t="s">
        <v>18</v>
      </c>
      <c r="F3555" t="s">
        <v>19</v>
      </c>
      <c r="G3555" t="s">
        <v>20</v>
      </c>
      <c r="J3555" t="s">
        <v>17</v>
      </c>
      <c r="K3555" t="str">
        <f>"8712581767006"</f>
        <v>8712581767006</v>
      </c>
      <c r="L3555" t="str">
        <f>"29PHL7305B"</f>
        <v>29PHL7305B</v>
      </c>
      <c r="M3555" t="s">
        <v>21</v>
      </c>
      <c r="N3555" s="1">
        <v>44265.945138888892</v>
      </c>
      <c r="O3555" t="s">
        <v>19</v>
      </c>
    </row>
    <row r="3556" spans="1:15" x14ac:dyDescent="0.25">
      <c r="A3556" t="s">
        <v>2935</v>
      </c>
      <c r="B3556" t="s">
        <v>15</v>
      </c>
      <c r="C3556" t="s">
        <v>2821</v>
      </c>
      <c r="D3556" t="s">
        <v>17</v>
      </c>
      <c r="E3556" t="s">
        <v>18</v>
      </c>
      <c r="F3556" t="s">
        <v>19</v>
      </c>
      <c r="G3556" t="s">
        <v>20</v>
      </c>
      <c r="J3556" t="s">
        <v>17</v>
      </c>
      <c r="K3556" t="str">
        <f>"8712581757199"</f>
        <v>8712581757199</v>
      </c>
      <c r="L3556" t="str">
        <f>"98207314"</f>
        <v>98207314</v>
      </c>
      <c r="M3556" t="s">
        <v>21</v>
      </c>
      <c r="N3556" s="1">
        <v>43748.601388888892</v>
      </c>
      <c r="O3556" t="s">
        <v>19</v>
      </c>
    </row>
    <row r="3557" spans="1:15" x14ac:dyDescent="0.25">
      <c r="A3557" t="s">
        <v>2936</v>
      </c>
      <c r="B3557" t="s">
        <v>15</v>
      </c>
      <c r="C3557" t="s">
        <v>2821</v>
      </c>
      <c r="D3557" t="s">
        <v>17</v>
      </c>
      <c r="E3557" t="s">
        <v>18</v>
      </c>
      <c r="F3557" t="s">
        <v>19</v>
      </c>
      <c r="G3557" t="s">
        <v>20</v>
      </c>
      <c r="J3557" t="s">
        <v>17</v>
      </c>
      <c r="K3557" t="str">
        <f>"8712581762476"</f>
        <v>8712581762476</v>
      </c>
      <c r="L3557" t="str">
        <f>"98200374"</f>
        <v>98200374</v>
      </c>
      <c r="M3557" t="s">
        <v>21</v>
      </c>
      <c r="N3557" s="1">
        <v>43967.793749999997</v>
      </c>
      <c r="O3557" t="s">
        <v>19</v>
      </c>
    </row>
    <row r="3558" spans="1:15" x14ac:dyDescent="0.25">
      <c r="A3558" t="s">
        <v>2937</v>
      </c>
      <c r="B3558" t="s">
        <v>15</v>
      </c>
      <c r="C3558" t="s">
        <v>2821</v>
      </c>
      <c r="D3558" t="s">
        <v>17</v>
      </c>
      <c r="E3558" t="s">
        <v>18</v>
      </c>
      <c r="F3558" t="s">
        <v>19</v>
      </c>
      <c r="G3558" t="s">
        <v>20</v>
      </c>
      <c r="J3558" t="s">
        <v>17</v>
      </c>
      <c r="K3558" t="str">
        <f>"8712581757007"</f>
        <v>8712581757007</v>
      </c>
      <c r="L3558" t="str">
        <f>"29PHL7314B"</f>
        <v>29PHL7314B</v>
      </c>
      <c r="M3558" t="s">
        <v>21</v>
      </c>
      <c r="N3558" s="1">
        <v>44265.946527777778</v>
      </c>
      <c r="O3558" t="s">
        <v>19</v>
      </c>
    </row>
    <row r="3559" spans="1:15" x14ac:dyDescent="0.25">
      <c r="A3559" t="s">
        <v>2938</v>
      </c>
      <c r="B3559" t="s">
        <v>15</v>
      </c>
      <c r="C3559" t="s">
        <v>2821</v>
      </c>
      <c r="D3559" t="s">
        <v>17</v>
      </c>
      <c r="E3559" t="s">
        <v>18</v>
      </c>
      <c r="F3559" t="s">
        <v>19</v>
      </c>
      <c r="G3559" t="s">
        <v>20</v>
      </c>
      <c r="J3559" t="s">
        <v>17</v>
      </c>
      <c r="K3559" t="str">
        <f>"8712581762483"</f>
        <v>8712581762483</v>
      </c>
      <c r="L3559" t="str">
        <f>"98200624"</f>
        <v>98200624</v>
      </c>
      <c r="M3559" t="s">
        <v>21</v>
      </c>
      <c r="N3559" s="1">
        <v>44370.824999999997</v>
      </c>
      <c r="O3559" t="s">
        <v>19</v>
      </c>
    </row>
    <row r="3560" spans="1:15" x14ac:dyDescent="0.25">
      <c r="A3560" t="s">
        <v>2939</v>
      </c>
      <c r="B3560" t="s">
        <v>15</v>
      </c>
      <c r="C3560" t="s">
        <v>2821</v>
      </c>
      <c r="D3560" t="s">
        <v>17</v>
      </c>
      <c r="E3560" t="s">
        <v>18</v>
      </c>
      <c r="F3560" t="s">
        <v>19</v>
      </c>
      <c r="G3560" t="s">
        <v>20</v>
      </c>
      <c r="J3560" t="s">
        <v>17</v>
      </c>
      <c r="K3560" t="str">
        <f>"8712581766993"</f>
        <v>8712581766993</v>
      </c>
      <c r="L3560" t="str">
        <f>"98207315"</f>
        <v>98207315</v>
      </c>
      <c r="M3560" t="s">
        <v>21</v>
      </c>
      <c r="N3560" s="1">
        <v>44247.811805555553</v>
      </c>
      <c r="O3560" t="s">
        <v>19</v>
      </c>
    </row>
    <row r="3561" spans="1:15" x14ac:dyDescent="0.25">
      <c r="A3561" t="s">
        <v>2940</v>
      </c>
      <c r="B3561" t="s">
        <v>15</v>
      </c>
      <c r="C3561" t="s">
        <v>2821</v>
      </c>
      <c r="D3561" t="s">
        <v>17</v>
      </c>
      <c r="E3561" t="s">
        <v>18</v>
      </c>
      <c r="F3561" t="s">
        <v>19</v>
      </c>
      <c r="G3561" t="s">
        <v>20</v>
      </c>
      <c r="J3561" t="s">
        <v>17</v>
      </c>
      <c r="K3561" t="str">
        <f>"6927900010134"</f>
        <v>6927900010134</v>
      </c>
      <c r="L3561" t="str">
        <f>"25305500"</f>
        <v>25305500</v>
      </c>
      <c r="M3561" t="s">
        <v>21</v>
      </c>
      <c r="N3561" s="1">
        <v>42872.839583333334</v>
      </c>
      <c r="O3561" t="s">
        <v>19</v>
      </c>
    </row>
    <row r="3562" spans="1:15" x14ac:dyDescent="0.25">
      <c r="A3562" t="s">
        <v>2941</v>
      </c>
      <c r="B3562" t="s">
        <v>15</v>
      </c>
      <c r="C3562" t="s">
        <v>2821</v>
      </c>
      <c r="D3562" t="s">
        <v>17</v>
      </c>
      <c r="E3562" t="s">
        <v>18</v>
      </c>
      <c r="F3562" t="s">
        <v>19</v>
      </c>
      <c r="G3562" t="s">
        <v>20</v>
      </c>
      <c r="J3562" t="s">
        <v>17</v>
      </c>
      <c r="K3562" t="str">
        <f>"6927900010158"</f>
        <v>6927900010158</v>
      </c>
      <c r="L3562" t="str">
        <f>"25200550"</f>
        <v>25200550</v>
      </c>
      <c r="M3562" t="s">
        <v>21</v>
      </c>
      <c r="N3562" s="1">
        <v>42872.839583333334</v>
      </c>
      <c r="O3562" t="s">
        <v>19</v>
      </c>
    </row>
    <row r="3563" spans="1:15" x14ac:dyDescent="0.25">
      <c r="A3563" t="s">
        <v>2942</v>
      </c>
      <c r="B3563" t="s">
        <v>15</v>
      </c>
      <c r="C3563" t="s">
        <v>2821</v>
      </c>
      <c r="D3563" t="s">
        <v>17</v>
      </c>
      <c r="E3563" t="s">
        <v>18</v>
      </c>
      <c r="F3563" t="s">
        <v>19</v>
      </c>
      <c r="G3563" t="s">
        <v>20</v>
      </c>
      <c r="J3563" t="s">
        <v>17</v>
      </c>
      <c r="K3563" t="str">
        <f>"10000251"</f>
        <v>10000251</v>
      </c>
      <c r="L3563" t="str">
        <f>"10000251"</f>
        <v>10000251</v>
      </c>
      <c r="M3563" t="s">
        <v>84</v>
      </c>
      <c r="N3563" s="1">
        <v>43532.89166666667</v>
      </c>
      <c r="O3563" t="s">
        <v>19</v>
      </c>
    </row>
    <row r="3564" spans="1:15" x14ac:dyDescent="0.25">
      <c r="A3564" t="s">
        <v>2943</v>
      </c>
      <c r="B3564" t="s">
        <v>15</v>
      </c>
      <c r="C3564" t="s">
        <v>2821</v>
      </c>
      <c r="D3564" t="s">
        <v>17</v>
      </c>
      <c r="E3564" t="s">
        <v>18</v>
      </c>
      <c r="F3564" t="s">
        <v>19</v>
      </c>
      <c r="G3564" t="s">
        <v>20</v>
      </c>
      <c r="J3564" t="s">
        <v>17</v>
      </c>
      <c r="K3564" t="str">
        <f>"8713439165364"</f>
        <v>8713439165364</v>
      </c>
      <c r="L3564" t="str">
        <f>"92305364"</f>
        <v>92305364</v>
      </c>
      <c r="M3564" t="s">
        <v>21</v>
      </c>
      <c r="N3564" s="1">
        <v>44453.692361111112</v>
      </c>
      <c r="O3564" t="s">
        <v>19</v>
      </c>
    </row>
    <row r="3565" spans="1:15" x14ac:dyDescent="0.25">
      <c r="A3565" t="s">
        <v>2944</v>
      </c>
      <c r="B3565" t="s">
        <v>15</v>
      </c>
      <c r="C3565" t="s">
        <v>2821</v>
      </c>
      <c r="D3565" t="s">
        <v>17</v>
      </c>
      <c r="E3565" t="s">
        <v>18</v>
      </c>
      <c r="F3565" t="s">
        <v>19</v>
      </c>
      <c r="G3565" t="s">
        <v>20</v>
      </c>
      <c r="J3565" t="s">
        <v>17</v>
      </c>
      <c r="K3565" t="str">
        <f>"8713439203226"</f>
        <v>8713439203226</v>
      </c>
      <c r="L3565" t="str">
        <f>"92300322"</f>
        <v>92300322</v>
      </c>
      <c r="M3565" t="s">
        <v>21</v>
      </c>
      <c r="N3565" s="1">
        <v>44453.688194444447</v>
      </c>
      <c r="O3565" t="s">
        <v>19</v>
      </c>
    </row>
    <row r="3566" spans="1:15" x14ac:dyDescent="0.25">
      <c r="A3566" t="s">
        <v>2945</v>
      </c>
      <c r="B3566" t="s">
        <v>15</v>
      </c>
      <c r="C3566" t="s">
        <v>2821</v>
      </c>
      <c r="D3566" t="s">
        <v>17</v>
      </c>
      <c r="E3566" t="s">
        <v>18</v>
      </c>
      <c r="F3566" t="s">
        <v>19</v>
      </c>
      <c r="G3566" t="s">
        <v>20</v>
      </c>
      <c r="J3566" t="s">
        <v>17</v>
      </c>
      <c r="K3566" t="str">
        <f>"8713439185195"</f>
        <v>8713439185195</v>
      </c>
      <c r="L3566" t="str">
        <f>"92305195"</f>
        <v>92305195</v>
      </c>
      <c r="M3566" t="s">
        <v>21</v>
      </c>
      <c r="N3566" s="1">
        <v>44453.690972222219</v>
      </c>
      <c r="O3566" t="s">
        <v>19</v>
      </c>
    </row>
    <row r="3567" spans="1:15" x14ac:dyDescent="0.25">
      <c r="A3567" t="s">
        <v>2946</v>
      </c>
      <c r="B3567" t="s">
        <v>15</v>
      </c>
      <c r="C3567" t="s">
        <v>2821</v>
      </c>
      <c r="D3567" t="s">
        <v>17</v>
      </c>
      <c r="E3567" t="s">
        <v>18</v>
      </c>
      <c r="F3567" t="s">
        <v>19</v>
      </c>
      <c r="G3567" t="s">
        <v>20</v>
      </c>
      <c r="J3567" t="s">
        <v>17</v>
      </c>
      <c r="K3567" t="str">
        <f>"8713439196634"</f>
        <v>8713439196634</v>
      </c>
      <c r="L3567" t="str">
        <f>"92306634"</f>
        <v>92306634</v>
      </c>
      <c r="M3567" t="s">
        <v>21</v>
      </c>
      <c r="N3567" s="1">
        <v>44453.691666666666</v>
      </c>
      <c r="O3567" t="s">
        <v>19</v>
      </c>
    </row>
    <row r="3568" spans="1:15" x14ac:dyDescent="0.25">
      <c r="A3568" t="s">
        <v>2947</v>
      </c>
      <c r="B3568" t="s">
        <v>15</v>
      </c>
      <c r="C3568" t="s">
        <v>2821</v>
      </c>
      <c r="D3568" t="s">
        <v>17</v>
      </c>
      <c r="E3568" t="s">
        <v>18</v>
      </c>
      <c r="F3568" t="s">
        <v>19</v>
      </c>
      <c r="G3568" t="s">
        <v>20</v>
      </c>
      <c r="J3568" t="s">
        <v>17</v>
      </c>
      <c r="K3568" t="str">
        <f>"8713439195224"</f>
        <v>8713439195224</v>
      </c>
      <c r="L3568" t="str">
        <f>"92305224"</f>
        <v>92305224</v>
      </c>
      <c r="M3568" t="s">
        <v>21</v>
      </c>
      <c r="N3568" s="1">
        <v>44453.690972222219</v>
      </c>
      <c r="O3568" t="s">
        <v>19</v>
      </c>
    </row>
    <row r="3569" spans="1:15" x14ac:dyDescent="0.25">
      <c r="A3569" t="s">
        <v>2948</v>
      </c>
      <c r="B3569" t="s">
        <v>15</v>
      </c>
      <c r="C3569" t="s">
        <v>2821</v>
      </c>
      <c r="D3569" t="s">
        <v>17</v>
      </c>
      <c r="E3569" t="s">
        <v>18</v>
      </c>
      <c r="F3569" t="s">
        <v>19</v>
      </c>
      <c r="G3569" t="s">
        <v>20</v>
      </c>
      <c r="J3569" t="s">
        <v>17</v>
      </c>
      <c r="K3569" t="str">
        <f>"7297290250151"</f>
        <v>7297290250151</v>
      </c>
      <c r="L3569" t="str">
        <f>"98200151"</f>
        <v>98200151</v>
      </c>
      <c r="M3569" t="s">
        <v>21</v>
      </c>
      <c r="N3569" s="1">
        <v>43994.85</v>
      </c>
      <c r="O3569" t="s">
        <v>19</v>
      </c>
    </row>
    <row r="3570" spans="1:15" x14ac:dyDescent="0.25">
      <c r="A3570" t="s">
        <v>2949</v>
      </c>
      <c r="B3570" t="s">
        <v>15</v>
      </c>
      <c r="C3570" t="s">
        <v>2821</v>
      </c>
      <c r="D3570" t="s">
        <v>17</v>
      </c>
      <c r="E3570" t="s">
        <v>18</v>
      </c>
      <c r="F3570" t="s">
        <v>19</v>
      </c>
      <c r="G3570" t="s">
        <v>20</v>
      </c>
      <c r="J3570" t="s">
        <v>17</v>
      </c>
      <c r="K3570" t="str">
        <f>"7796941037924"</f>
        <v>7796941037924</v>
      </c>
      <c r="L3570" t="str">
        <f>"42100250"</f>
        <v>42100250</v>
      </c>
      <c r="M3570" t="s">
        <v>75</v>
      </c>
      <c r="N3570" s="1">
        <v>42872.839583333334</v>
      </c>
      <c r="O3570" t="s">
        <v>19</v>
      </c>
    </row>
    <row r="3571" spans="1:15" x14ac:dyDescent="0.25">
      <c r="A3571" t="s">
        <v>2950</v>
      </c>
      <c r="B3571" t="s">
        <v>15</v>
      </c>
      <c r="C3571" t="s">
        <v>2821</v>
      </c>
      <c r="D3571" t="s">
        <v>17</v>
      </c>
      <c r="E3571" t="s">
        <v>18</v>
      </c>
      <c r="F3571" t="s">
        <v>19</v>
      </c>
      <c r="G3571" t="s">
        <v>20</v>
      </c>
      <c r="J3571" t="s">
        <v>17</v>
      </c>
      <c r="K3571" t="str">
        <f>"8201756716852"</f>
        <v>8201756716852</v>
      </c>
      <c r="L3571" t="str">
        <f>"40200005"</f>
        <v>40200005</v>
      </c>
      <c r="M3571" t="s">
        <v>21</v>
      </c>
      <c r="N3571" s="1">
        <v>44434.910416666666</v>
      </c>
      <c r="O3571" t="s">
        <v>19</v>
      </c>
    </row>
    <row r="3572" spans="1:15" x14ac:dyDescent="0.25">
      <c r="A3572" t="s">
        <v>2951</v>
      </c>
      <c r="B3572" t="s">
        <v>15</v>
      </c>
      <c r="C3572" t="s">
        <v>2821</v>
      </c>
      <c r="D3572" t="s">
        <v>17</v>
      </c>
      <c r="E3572" t="s">
        <v>18</v>
      </c>
      <c r="F3572" t="s">
        <v>19</v>
      </c>
      <c r="G3572" t="s">
        <v>20</v>
      </c>
      <c r="J3572" t="s">
        <v>17</v>
      </c>
      <c r="K3572" t="str">
        <f>"798302161702"</f>
        <v>798302161702</v>
      </c>
      <c r="L3572" t="str">
        <f>"92200300"</f>
        <v>92200300</v>
      </c>
      <c r="M3572" t="s">
        <v>21</v>
      </c>
      <c r="N3572" s="1">
        <v>42872.839583333334</v>
      </c>
      <c r="O3572" t="s">
        <v>19</v>
      </c>
    </row>
    <row r="3573" spans="1:15" x14ac:dyDescent="0.25">
      <c r="A3573" t="s">
        <v>2951</v>
      </c>
      <c r="B3573" t="s">
        <v>15</v>
      </c>
      <c r="C3573" t="s">
        <v>2821</v>
      </c>
      <c r="D3573" t="s">
        <v>17</v>
      </c>
      <c r="E3573" t="s">
        <v>18</v>
      </c>
      <c r="F3573" t="s">
        <v>19</v>
      </c>
      <c r="G3573" t="s">
        <v>20</v>
      </c>
      <c r="J3573" t="s">
        <v>17</v>
      </c>
      <c r="K3573" t="str">
        <f>"81050715"</f>
        <v>81050715</v>
      </c>
      <c r="L3573" t="str">
        <f>"81050715"</f>
        <v>81050715</v>
      </c>
      <c r="M3573" t="s">
        <v>75</v>
      </c>
      <c r="N3573" s="1">
        <v>42872.847222222219</v>
      </c>
      <c r="O3573" t="s">
        <v>19</v>
      </c>
    </row>
    <row r="3574" spans="1:15" x14ac:dyDescent="0.25">
      <c r="A3574" t="s">
        <v>2952</v>
      </c>
      <c r="B3574" t="s">
        <v>15</v>
      </c>
      <c r="C3574" t="s">
        <v>2821</v>
      </c>
      <c r="D3574" t="s">
        <v>17</v>
      </c>
      <c r="E3574" t="s">
        <v>18</v>
      </c>
      <c r="F3574" t="s">
        <v>19</v>
      </c>
      <c r="G3574" t="s">
        <v>20</v>
      </c>
      <c r="J3574" t="s">
        <v>17</v>
      </c>
      <c r="K3574" t="str">
        <f>"10003167"</f>
        <v>10003167</v>
      </c>
      <c r="L3574" t="str">
        <f>"10003167"</f>
        <v>10003167</v>
      </c>
      <c r="M3574" t="s">
        <v>75</v>
      </c>
      <c r="N3574" s="1">
        <v>42872.839583333334</v>
      </c>
      <c r="O3574" t="s">
        <v>19</v>
      </c>
    </row>
    <row r="3575" spans="1:15" x14ac:dyDescent="0.25">
      <c r="A3575" t="s">
        <v>2953</v>
      </c>
      <c r="B3575" t="s">
        <v>15</v>
      </c>
      <c r="C3575" t="s">
        <v>2821</v>
      </c>
      <c r="D3575" t="s">
        <v>17</v>
      </c>
      <c r="E3575" t="s">
        <v>18</v>
      </c>
      <c r="F3575" t="s">
        <v>19</v>
      </c>
      <c r="G3575" t="s">
        <v>20</v>
      </c>
      <c r="J3575" t="s">
        <v>17</v>
      </c>
      <c r="K3575" t="str">
        <f>"10106765"</f>
        <v>10106765</v>
      </c>
      <c r="L3575" t="str">
        <f>"10106765"</f>
        <v>10106765</v>
      </c>
      <c r="M3575" t="s">
        <v>75</v>
      </c>
      <c r="N3575" s="1">
        <v>42872.839583333334</v>
      </c>
      <c r="O3575" t="s">
        <v>19</v>
      </c>
    </row>
    <row r="3576" spans="1:15" x14ac:dyDescent="0.25">
      <c r="A3576" t="s">
        <v>2954</v>
      </c>
      <c r="B3576" t="s">
        <v>15</v>
      </c>
      <c r="C3576" t="s">
        <v>2821</v>
      </c>
      <c r="D3576" t="s">
        <v>17</v>
      </c>
      <c r="E3576" t="s">
        <v>18</v>
      </c>
      <c r="F3576" t="s">
        <v>19</v>
      </c>
      <c r="G3576" t="s">
        <v>20</v>
      </c>
      <c r="J3576" t="s">
        <v>17</v>
      </c>
      <c r="K3576" t="str">
        <f>"6911756730803"</f>
        <v>6911756730803</v>
      </c>
      <c r="L3576" t="str">
        <f>"40207030"</f>
        <v>40207030</v>
      </c>
      <c r="M3576" t="s">
        <v>21</v>
      </c>
      <c r="N3576" s="1">
        <v>44434.881249999999</v>
      </c>
      <c r="O3576" t="s">
        <v>19</v>
      </c>
    </row>
    <row r="3577" spans="1:15" x14ac:dyDescent="0.25">
      <c r="A3577" t="s">
        <v>2955</v>
      </c>
      <c r="B3577" t="s">
        <v>15</v>
      </c>
      <c r="C3577" t="s">
        <v>2821</v>
      </c>
      <c r="D3577" t="s">
        <v>17</v>
      </c>
      <c r="E3577" t="s">
        <v>18</v>
      </c>
      <c r="F3577" t="s">
        <v>19</v>
      </c>
      <c r="G3577" t="s">
        <v>20</v>
      </c>
      <c r="J3577" t="s">
        <v>17</v>
      </c>
      <c r="K3577" t="str">
        <f>"4710268228684"</f>
        <v>4710268228684</v>
      </c>
      <c r="L3577" t="str">
        <f>"98200001"</f>
        <v>98200001</v>
      </c>
      <c r="M3577" t="s">
        <v>84</v>
      </c>
      <c r="N3577" s="1">
        <v>43531.614583333336</v>
      </c>
      <c r="O3577" t="s">
        <v>19</v>
      </c>
    </row>
    <row r="3578" spans="1:15" x14ac:dyDescent="0.25">
      <c r="A3578" t="s">
        <v>2956</v>
      </c>
      <c r="B3578" t="s">
        <v>15</v>
      </c>
      <c r="C3578" t="s">
        <v>2821</v>
      </c>
      <c r="D3578" t="s">
        <v>17</v>
      </c>
      <c r="E3578" t="s">
        <v>18</v>
      </c>
      <c r="F3578" t="s">
        <v>19</v>
      </c>
      <c r="G3578" t="s">
        <v>20</v>
      </c>
      <c r="J3578" t="s">
        <v>17</v>
      </c>
      <c r="K3578" t="str">
        <f>"10002756"</f>
        <v>10002756</v>
      </c>
      <c r="L3578" t="str">
        <f>"10002756"</f>
        <v>10002756</v>
      </c>
      <c r="M3578" t="s">
        <v>75</v>
      </c>
      <c r="N3578" s="1">
        <v>43097.877083333333</v>
      </c>
      <c r="O3578" t="s">
        <v>19</v>
      </c>
    </row>
    <row r="3579" spans="1:15" x14ac:dyDescent="0.25">
      <c r="A3579" t="s">
        <v>2957</v>
      </c>
      <c r="B3579" t="s">
        <v>15</v>
      </c>
      <c r="C3579" t="s">
        <v>2821</v>
      </c>
      <c r="D3579" t="s">
        <v>17</v>
      </c>
      <c r="E3579" t="s">
        <v>18</v>
      </c>
      <c r="F3579" t="s">
        <v>19</v>
      </c>
      <c r="G3579" t="s">
        <v>20</v>
      </c>
      <c r="J3579" t="s">
        <v>17</v>
      </c>
      <c r="K3579" t="str">
        <f>"7858816072895"</f>
        <v>7858816072895</v>
      </c>
      <c r="L3579" t="str">
        <f>"87207289"</f>
        <v>87207289</v>
      </c>
      <c r="M3579" t="s">
        <v>21</v>
      </c>
      <c r="N3579" s="1">
        <v>43853.670138888891</v>
      </c>
      <c r="O3579" t="s">
        <v>19</v>
      </c>
    </row>
    <row r="3580" spans="1:15" x14ac:dyDescent="0.25">
      <c r="A3580" t="s">
        <v>2958</v>
      </c>
      <c r="B3580" t="s">
        <v>15</v>
      </c>
      <c r="C3580" t="s">
        <v>2821</v>
      </c>
      <c r="D3580" t="s">
        <v>17</v>
      </c>
      <c r="E3580" t="s">
        <v>18</v>
      </c>
      <c r="F3580" t="s">
        <v>19</v>
      </c>
      <c r="G3580" t="s">
        <v>20</v>
      </c>
      <c r="J3580" t="s">
        <v>17</v>
      </c>
      <c r="K3580" t="str">
        <f>"6944881800660"</f>
        <v>6944881800660</v>
      </c>
      <c r="L3580" t="str">
        <f>"40209212"</f>
        <v>40209212</v>
      </c>
      <c r="M3580" t="s">
        <v>21</v>
      </c>
      <c r="N3580" s="1">
        <v>44306.892361111109</v>
      </c>
      <c r="O3580" t="s">
        <v>19</v>
      </c>
    </row>
    <row r="3581" spans="1:15" x14ac:dyDescent="0.25">
      <c r="A3581" t="s">
        <v>2959</v>
      </c>
      <c r="B3581" t="s">
        <v>15</v>
      </c>
      <c r="C3581" t="s">
        <v>2821</v>
      </c>
      <c r="D3581" t="s">
        <v>17</v>
      </c>
      <c r="E3581" t="s">
        <v>18</v>
      </c>
      <c r="F3581" t="s">
        <v>19</v>
      </c>
      <c r="G3581" t="s">
        <v>20</v>
      </c>
      <c r="J3581" t="s">
        <v>17</v>
      </c>
      <c r="K3581" t="str">
        <f>"766623434386"</f>
        <v>766623434386</v>
      </c>
      <c r="L3581" t="str">
        <f>"56524386"</f>
        <v>56524386</v>
      </c>
      <c r="M3581" t="s">
        <v>21</v>
      </c>
      <c r="N3581" s="1">
        <v>43985.836111111108</v>
      </c>
      <c r="O3581" t="s">
        <v>19</v>
      </c>
    </row>
    <row r="3582" spans="1:15" x14ac:dyDescent="0.25">
      <c r="A3582" t="s">
        <v>2960</v>
      </c>
      <c r="B3582" t="s">
        <v>15</v>
      </c>
      <c r="C3582" t="s">
        <v>2821</v>
      </c>
      <c r="D3582" t="s">
        <v>17</v>
      </c>
      <c r="E3582" t="s">
        <v>18</v>
      </c>
      <c r="F3582" t="s">
        <v>19</v>
      </c>
      <c r="G3582" t="s">
        <v>20</v>
      </c>
      <c r="J3582" t="s">
        <v>17</v>
      </c>
      <c r="K3582" t="str">
        <f>"98201000"</f>
        <v>98201000</v>
      </c>
      <c r="L3582" t="str">
        <f>"92201000"</f>
        <v>92201000</v>
      </c>
      <c r="M3582" t="s">
        <v>21</v>
      </c>
      <c r="N3582" s="1">
        <v>43746.896527777775</v>
      </c>
      <c r="O3582" t="s">
        <v>19</v>
      </c>
    </row>
    <row r="3583" spans="1:15" x14ac:dyDescent="0.25">
      <c r="A3583" t="s">
        <v>2961</v>
      </c>
      <c r="B3583" t="s">
        <v>15</v>
      </c>
      <c r="C3583" t="s">
        <v>2821</v>
      </c>
      <c r="D3583" t="s">
        <v>17</v>
      </c>
      <c r="E3583" t="s">
        <v>18</v>
      </c>
      <c r="F3583" t="s">
        <v>19</v>
      </c>
      <c r="G3583" t="s">
        <v>20</v>
      </c>
      <c r="J3583" t="s">
        <v>17</v>
      </c>
      <c r="K3583" t="str">
        <f>"10000156"</f>
        <v>10000156</v>
      </c>
      <c r="L3583" t="str">
        <f>"10000156"</f>
        <v>10000156</v>
      </c>
      <c r="M3583" t="s">
        <v>84</v>
      </c>
      <c r="N3583" s="1">
        <v>43532.902777777781</v>
      </c>
      <c r="O3583" t="s">
        <v>19</v>
      </c>
    </row>
    <row r="3584" spans="1:15" x14ac:dyDescent="0.25">
      <c r="A3584" t="s">
        <v>2962</v>
      </c>
      <c r="B3584" t="s">
        <v>15</v>
      </c>
      <c r="C3584" t="s">
        <v>2821</v>
      </c>
      <c r="D3584" t="s">
        <v>17</v>
      </c>
      <c r="E3584" t="s">
        <v>18</v>
      </c>
      <c r="F3584" t="s">
        <v>19</v>
      </c>
      <c r="G3584" t="s">
        <v>20</v>
      </c>
      <c r="J3584" t="s">
        <v>17</v>
      </c>
      <c r="K3584" t="str">
        <f>"5620009160045"</f>
        <v>5620009160045</v>
      </c>
      <c r="L3584" t="str">
        <f>"2852916004"</f>
        <v>2852916004</v>
      </c>
      <c r="M3584" t="s">
        <v>84</v>
      </c>
      <c r="N3584" s="1">
        <v>43335.904861111114</v>
      </c>
      <c r="O3584" t="s">
        <v>19</v>
      </c>
    </row>
    <row r="3585" spans="1:15" x14ac:dyDescent="0.25">
      <c r="A3585" t="s">
        <v>2963</v>
      </c>
      <c r="B3585" t="s">
        <v>15</v>
      </c>
      <c r="C3585" t="s">
        <v>2821</v>
      </c>
      <c r="D3585" t="s">
        <v>17</v>
      </c>
      <c r="E3585" t="s">
        <v>18</v>
      </c>
      <c r="F3585" t="s">
        <v>19</v>
      </c>
      <c r="G3585" t="s">
        <v>20</v>
      </c>
      <c r="J3585" t="s">
        <v>17</v>
      </c>
      <c r="K3585" t="str">
        <f>"7809601116287"</f>
        <v>7809601116287</v>
      </c>
      <c r="L3585" t="str">
        <f>"98206287"</f>
        <v>98206287</v>
      </c>
      <c r="M3585" t="s">
        <v>21</v>
      </c>
      <c r="N3585" s="1">
        <v>44370.84097222222</v>
      </c>
      <c r="O3585" t="s">
        <v>19</v>
      </c>
    </row>
    <row r="3586" spans="1:15" x14ac:dyDescent="0.25">
      <c r="A3586" t="s">
        <v>2964</v>
      </c>
      <c r="B3586" t="s">
        <v>15</v>
      </c>
      <c r="C3586" t="s">
        <v>2821</v>
      </c>
      <c r="D3586" t="s">
        <v>17</v>
      </c>
      <c r="E3586" t="s">
        <v>18</v>
      </c>
      <c r="F3586" t="s">
        <v>19</v>
      </c>
      <c r="G3586" t="s">
        <v>20</v>
      </c>
      <c r="J3586" t="s">
        <v>17</v>
      </c>
      <c r="K3586" t="str">
        <f>"7809601116034"</f>
        <v>7809601116034</v>
      </c>
      <c r="L3586" t="str">
        <f>"92300012"</f>
        <v>92300012</v>
      </c>
      <c r="M3586" t="s">
        <v>21</v>
      </c>
      <c r="N3586" s="1">
        <v>44453.63958333333</v>
      </c>
      <c r="O3586" t="s">
        <v>19</v>
      </c>
    </row>
    <row r="3587" spans="1:15" x14ac:dyDescent="0.25">
      <c r="A3587" t="s">
        <v>2965</v>
      </c>
      <c r="B3587" t="s">
        <v>15</v>
      </c>
      <c r="C3587" t="s">
        <v>2821</v>
      </c>
      <c r="D3587" t="s">
        <v>17</v>
      </c>
      <c r="E3587" t="s">
        <v>18</v>
      </c>
      <c r="F3587" t="s">
        <v>19</v>
      </c>
      <c r="G3587" t="s">
        <v>20</v>
      </c>
      <c r="J3587" t="s">
        <v>17</v>
      </c>
      <c r="K3587" t="str">
        <f>"7809601116027"</f>
        <v>7809601116027</v>
      </c>
      <c r="L3587" t="str">
        <f>"92300013"</f>
        <v>92300013</v>
      </c>
      <c r="M3587" t="s">
        <v>21</v>
      </c>
      <c r="N3587" s="1">
        <v>44453.638194444444</v>
      </c>
      <c r="O3587" t="s">
        <v>19</v>
      </c>
    </row>
    <row r="3588" spans="1:15" x14ac:dyDescent="0.25">
      <c r="A3588" t="s">
        <v>2966</v>
      </c>
      <c r="B3588" t="s">
        <v>15</v>
      </c>
      <c r="C3588" t="s">
        <v>2821</v>
      </c>
      <c r="D3588" t="s">
        <v>17</v>
      </c>
      <c r="E3588" t="s">
        <v>18</v>
      </c>
      <c r="F3588" t="s">
        <v>19</v>
      </c>
      <c r="G3588" t="s">
        <v>20</v>
      </c>
      <c r="J3588" t="s">
        <v>17</v>
      </c>
      <c r="K3588" t="str">
        <f>"1000001075747"</f>
        <v>1000001075747</v>
      </c>
      <c r="L3588" t="str">
        <f>"76502000"</f>
        <v>76502000</v>
      </c>
      <c r="M3588" t="s">
        <v>21</v>
      </c>
      <c r="N3588" s="1">
        <v>43567.981944444444</v>
      </c>
      <c r="O3588" t="s">
        <v>19</v>
      </c>
    </row>
    <row r="3589" spans="1:15" x14ac:dyDescent="0.25">
      <c r="A3589" t="s">
        <v>2967</v>
      </c>
      <c r="B3589" t="s">
        <v>15</v>
      </c>
      <c r="C3589" t="s">
        <v>2821</v>
      </c>
      <c r="D3589" t="s">
        <v>17</v>
      </c>
      <c r="E3589" t="s">
        <v>18</v>
      </c>
      <c r="F3589" t="s">
        <v>19</v>
      </c>
      <c r="G3589" t="s">
        <v>20</v>
      </c>
      <c r="J3589" t="s">
        <v>17</v>
      </c>
      <c r="K3589" t="str">
        <f>"6944881800684"</f>
        <v>6944881800684</v>
      </c>
      <c r="L3589" t="str">
        <f>"10113948"</f>
        <v>10113948</v>
      </c>
      <c r="M3589" t="s">
        <v>21</v>
      </c>
      <c r="N3589" s="1">
        <v>43967.6875</v>
      </c>
      <c r="O3589" t="s">
        <v>19</v>
      </c>
    </row>
    <row r="3590" spans="1:15" x14ac:dyDescent="0.25">
      <c r="A3590" t="s">
        <v>2968</v>
      </c>
      <c r="B3590" t="s">
        <v>15</v>
      </c>
      <c r="C3590" t="s">
        <v>2821</v>
      </c>
      <c r="D3590" t="s">
        <v>17</v>
      </c>
      <c r="E3590" t="s">
        <v>18</v>
      </c>
      <c r="F3590" t="s">
        <v>19</v>
      </c>
      <c r="G3590" t="s">
        <v>20</v>
      </c>
      <c r="J3590" t="s">
        <v>17</v>
      </c>
      <c r="K3590" t="str">
        <f>"6972543651640"</f>
        <v>6972543651640</v>
      </c>
      <c r="L3590" t="str">
        <f>"40204000"</f>
        <v>40204000</v>
      </c>
      <c r="M3590" t="s">
        <v>21</v>
      </c>
      <c r="N3590" s="1">
        <v>44349.821527777778</v>
      </c>
      <c r="O3590" t="s">
        <v>19</v>
      </c>
    </row>
    <row r="3591" spans="1:15" x14ac:dyDescent="0.25">
      <c r="A3591" t="s">
        <v>2969</v>
      </c>
      <c r="B3591" t="s">
        <v>15</v>
      </c>
      <c r="C3591" t="s">
        <v>2821</v>
      </c>
      <c r="D3591" t="s">
        <v>17</v>
      </c>
      <c r="E3591" t="s">
        <v>18</v>
      </c>
      <c r="F3591" t="s">
        <v>19</v>
      </c>
      <c r="G3591" t="s">
        <v>20</v>
      </c>
      <c r="J3591" t="s">
        <v>17</v>
      </c>
      <c r="K3591" t="str">
        <f>"7858816080074"</f>
        <v>7858816080074</v>
      </c>
      <c r="L3591" t="str">
        <f>"87208007"</f>
        <v>87208007</v>
      </c>
      <c r="M3591" t="s">
        <v>21</v>
      </c>
      <c r="N3591" s="1">
        <v>44441.642361111109</v>
      </c>
      <c r="O3591" t="s">
        <v>19</v>
      </c>
    </row>
    <row r="3592" spans="1:15" x14ac:dyDescent="0.25">
      <c r="A3592" t="s">
        <v>2970</v>
      </c>
      <c r="B3592" t="s">
        <v>15</v>
      </c>
      <c r="C3592" t="s">
        <v>64</v>
      </c>
      <c r="D3592" t="s">
        <v>17</v>
      </c>
      <c r="E3592" t="s">
        <v>18</v>
      </c>
      <c r="F3592" t="s">
        <v>19</v>
      </c>
      <c r="G3592" t="s">
        <v>20</v>
      </c>
      <c r="J3592" t="s">
        <v>17</v>
      </c>
      <c r="K3592" t="str">
        <f>"001756730807"</f>
        <v>001756730807</v>
      </c>
      <c r="L3592" t="str">
        <f>"40930807"</f>
        <v>40930807</v>
      </c>
      <c r="M3592" t="s">
        <v>21</v>
      </c>
      <c r="N3592" s="1">
        <v>44434.924305555556</v>
      </c>
      <c r="O3592" t="s">
        <v>19</v>
      </c>
    </row>
    <row r="3593" spans="1:15" x14ac:dyDescent="0.25">
      <c r="A3593" t="s">
        <v>2971</v>
      </c>
      <c r="B3593" t="s">
        <v>15</v>
      </c>
      <c r="C3593" t="s">
        <v>2821</v>
      </c>
      <c r="D3593" t="s">
        <v>17</v>
      </c>
      <c r="E3593" t="s">
        <v>18</v>
      </c>
      <c r="F3593" t="s">
        <v>19</v>
      </c>
      <c r="G3593" t="s">
        <v>20</v>
      </c>
      <c r="J3593" t="s">
        <v>17</v>
      </c>
      <c r="K3593" t="str">
        <f>"7858816060649"</f>
        <v>7858816060649</v>
      </c>
      <c r="L3593" t="str">
        <f>"87206064"</f>
        <v>87206064</v>
      </c>
      <c r="M3593" t="s">
        <v>21</v>
      </c>
      <c r="N3593" s="1">
        <v>44252.777083333334</v>
      </c>
      <c r="O3593" t="s">
        <v>19</v>
      </c>
    </row>
    <row r="3594" spans="1:15" x14ac:dyDescent="0.25">
      <c r="A3594" t="s">
        <v>2972</v>
      </c>
      <c r="B3594" t="s">
        <v>15</v>
      </c>
      <c r="C3594" t="s">
        <v>2821</v>
      </c>
      <c r="D3594" t="s">
        <v>17</v>
      </c>
      <c r="E3594" t="s">
        <v>18</v>
      </c>
      <c r="F3594" t="s">
        <v>19</v>
      </c>
      <c r="G3594" t="s">
        <v>20</v>
      </c>
      <c r="J3594" t="s">
        <v>17</v>
      </c>
      <c r="K3594" t="str">
        <f>"87206063"</f>
        <v>87206063</v>
      </c>
      <c r="L3594" t="str">
        <f>"87206063"</f>
        <v>87206063</v>
      </c>
      <c r="M3594" t="s">
        <v>21</v>
      </c>
      <c r="N3594" s="1">
        <v>44433.700694444444</v>
      </c>
      <c r="O3594" t="s">
        <v>19</v>
      </c>
    </row>
    <row r="3595" spans="1:15" x14ac:dyDescent="0.25">
      <c r="A3595" t="s">
        <v>2973</v>
      </c>
      <c r="B3595" t="s">
        <v>15</v>
      </c>
      <c r="C3595" t="s">
        <v>2821</v>
      </c>
      <c r="D3595" t="s">
        <v>17</v>
      </c>
      <c r="E3595" t="s">
        <v>18</v>
      </c>
      <c r="F3595" t="s">
        <v>19</v>
      </c>
      <c r="G3595" t="s">
        <v>20</v>
      </c>
      <c r="J3595" t="s">
        <v>17</v>
      </c>
      <c r="K3595" t="str">
        <f>"7168229723018"</f>
        <v>7168229723018</v>
      </c>
      <c r="L3595" t="str">
        <f>"98203018"</f>
        <v>98203018</v>
      </c>
      <c r="M3595" t="s">
        <v>21</v>
      </c>
      <c r="N3595" s="1">
        <v>43708.886111111111</v>
      </c>
      <c r="O3595" t="s">
        <v>19</v>
      </c>
    </row>
    <row r="3596" spans="1:15" x14ac:dyDescent="0.25">
      <c r="A3596" t="s">
        <v>2974</v>
      </c>
      <c r="B3596" t="s">
        <v>15</v>
      </c>
      <c r="C3596" t="s">
        <v>2821</v>
      </c>
      <c r="D3596" t="s">
        <v>17</v>
      </c>
      <c r="E3596" t="s">
        <v>18</v>
      </c>
      <c r="F3596" t="s">
        <v>19</v>
      </c>
      <c r="G3596" t="s">
        <v>20</v>
      </c>
      <c r="J3596" t="s">
        <v>17</v>
      </c>
      <c r="K3596" t="str">
        <f>"10002013"</f>
        <v>10002013</v>
      </c>
      <c r="L3596" t="str">
        <f>"10002013"</f>
        <v>10002013</v>
      </c>
      <c r="M3596" t="s">
        <v>84</v>
      </c>
      <c r="N3596" s="1">
        <v>43396.686111111114</v>
      </c>
      <c r="O3596" t="s">
        <v>19</v>
      </c>
    </row>
    <row r="3597" spans="1:15" x14ac:dyDescent="0.25">
      <c r="A3597" t="s">
        <v>2975</v>
      </c>
      <c r="B3597" t="s">
        <v>15</v>
      </c>
      <c r="C3597" t="s">
        <v>2821</v>
      </c>
      <c r="D3597" t="s">
        <v>17</v>
      </c>
      <c r="E3597" t="s">
        <v>18</v>
      </c>
      <c r="F3597" t="s">
        <v>19</v>
      </c>
      <c r="G3597" t="s">
        <v>20</v>
      </c>
      <c r="J3597" t="s">
        <v>17</v>
      </c>
      <c r="K3597" t="str">
        <f>"10009579"</f>
        <v>10009579</v>
      </c>
      <c r="L3597" t="str">
        <f>"10009579"</f>
        <v>10009579</v>
      </c>
      <c r="M3597" t="s">
        <v>84</v>
      </c>
      <c r="N3597" s="1">
        <v>43532.894444444442</v>
      </c>
      <c r="O3597" t="s">
        <v>19</v>
      </c>
    </row>
    <row r="3598" spans="1:15" x14ac:dyDescent="0.25">
      <c r="A3598" t="s">
        <v>2976</v>
      </c>
      <c r="B3598" t="s">
        <v>15</v>
      </c>
      <c r="C3598" t="s">
        <v>2821</v>
      </c>
      <c r="D3598" t="s">
        <v>17</v>
      </c>
      <c r="E3598" t="s">
        <v>18</v>
      </c>
      <c r="F3598" t="s">
        <v>19</v>
      </c>
      <c r="G3598" t="s">
        <v>20</v>
      </c>
      <c r="J3598" t="s">
        <v>17</v>
      </c>
      <c r="K3598" t="str">
        <f>"6945682500028"</f>
        <v>6945682500028</v>
      </c>
      <c r="L3598" t="str">
        <f>"87207296"</f>
        <v>87207296</v>
      </c>
      <c r="M3598" t="s">
        <v>21</v>
      </c>
      <c r="N3598" s="1">
        <v>43266.966666666667</v>
      </c>
      <c r="O3598" t="s">
        <v>19</v>
      </c>
    </row>
    <row r="3599" spans="1:15" x14ac:dyDescent="0.25">
      <c r="A3599" t="s">
        <v>2977</v>
      </c>
      <c r="B3599" t="s">
        <v>15</v>
      </c>
      <c r="C3599" t="s">
        <v>2821</v>
      </c>
      <c r="D3599" t="s">
        <v>17</v>
      </c>
      <c r="E3599" t="s">
        <v>18</v>
      </c>
      <c r="F3599" t="s">
        <v>19</v>
      </c>
      <c r="G3599" t="s">
        <v>20</v>
      </c>
      <c r="J3599" t="s">
        <v>17</v>
      </c>
      <c r="K3599" t="str">
        <f>"7858816089466"</f>
        <v>7858816089466</v>
      </c>
      <c r="L3599" t="str">
        <f>"87208946"</f>
        <v>87208946</v>
      </c>
      <c r="M3599" t="s">
        <v>21</v>
      </c>
      <c r="N3599" s="1">
        <v>44404.675694444442</v>
      </c>
      <c r="O3599" t="s">
        <v>19</v>
      </c>
    </row>
    <row r="3600" spans="1:15" x14ac:dyDescent="0.25">
      <c r="A3600" t="s">
        <v>2978</v>
      </c>
      <c r="B3600" t="s">
        <v>15</v>
      </c>
      <c r="C3600" t="s">
        <v>2821</v>
      </c>
      <c r="D3600" t="s">
        <v>17</v>
      </c>
      <c r="E3600" t="s">
        <v>18</v>
      </c>
      <c r="F3600" t="s">
        <v>19</v>
      </c>
      <c r="G3600" t="s">
        <v>20</v>
      </c>
      <c r="J3600" t="s">
        <v>17</v>
      </c>
      <c r="K3600" t="str">
        <f>"766623434362"</f>
        <v>766623434362</v>
      </c>
      <c r="L3600" t="str">
        <f>"56524362"</f>
        <v>56524362</v>
      </c>
      <c r="M3600" t="s">
        <v>21</v>
      </c>
      <c r="N3600" s="1">
        <v>43985.836111111108</v>
      </c>
      <c r="O3600" t="s">
        <v>19</v>
      </c>
    </row>
    <row r="3601" spans="1:15" x14ac:dyDescent="0.25">
      <c r="A3601" t="s">
        <v>2979</v>
      </c>
      <c r="B3601" t="s">
        <v>15</v>
      </c>
      <c r="C3601" t="s">
        <v>2821</v>
      </c>
      <c r="D3601" t="s">
        <v>17</v>
      </c>
      <c r="E3601" t="s">
        <v>18</v>
      </c>
      <c r="F3601" t="s">
        <v>19</v>
      </c>
      <c r="G3601" t="s">
        <v>20</v>
      </c>
      <c r="J3601" t="s">
        <v>17</v>
      </c>
      <c r="K3601" t="str">
        <f>"798302090248"</f>
        <v>798302090248</v>
      </c>
      <c r="L3601" t="str">
        <f>"92200180"</f>
        <v>92200180</v>
      </c>
      <c r="M3601" t="s">
        <v>21</v>
      </c>
      <c r="N3601" s="1">
        <v>43888.877083333333</v>
      </c>
      <c r="O3601" t="s">
        <v>19</v>
      </c>
    </row>
    <row r="3602" spans="1:15" x14ac:dyDescent="0.25">
      <c r="A3602" t="s">
        <v>2980</v>
      </c>
      <c r="B3602" t="s">
        <v>15</v>
      </c>
      <c r="C3602" t="s">
        <v>2821</v>
      </c>
      <c r="D3602" t="s">
        <v>17</v>
      </c>
      <c r="E3602" t="s">
        <v>18</v>
      </c>
      <c r="F3602" t="s">
        <v>19</v>
      </c>
      <c r="G3602" t="s">
        <v>20</v>
      </c>
      <c r="J3602" t="s">
        <v>17</v>
      </c>
      <c r="K3602" t="str">
        <f>"798307162575"</f>
        <v>798307162575</v>
      </c>
      <c r="L3602" t="str">
        <f>"92200526"</f>
        <v>92200526</v>
      </c>
      <c r="M3602" t="s">
        <v>21</v>
      </c>
      <c r="N3602" s="1">
        <v>42872.839583333334</v>
      </c>
      <c r="O3602" t="s">
        <v>19</v>
      </c>
    </row>
    <row r="3603" spans="1:15" x14ac:dyDescent="0.25">
      <c r="A3603" t="s">
        <v>2981</v>
      </c>
      <c r="B3603" t="s">
        <v>15</v>
      </c>
      <c r="C3603" t="s">
        <v>37</v>
      </c>
      <c r="D3603" t="s">
        <v>17</v>
      </c>
      <c r="E3603" t="s">
        <v>18</v>
      </c>
      <c r="F3603" t="s">
        <v>19</v>
      </c>
      <c r="G3603" t="s">
        <v>20</v>
      </c>
      <c r="J3603" t="s">
        <v>17</v>
      </c>
      <c r="K3603" t="str">
        <f>"10002275"</f>
        <v>10002275</v>
      </c>
      <c r="L3603" t="str">
        <f>"10002275"</f>
        <v>10002275</v>
      </c>
      <c r="M3603" t="s">
        <v>75</v>
      </c>
      <c r="N3603" s="1">
        <v>42965.90347222222</v>
      </c>
      <c r="O3603" t="s">
        <v>19</v>
      </c>
    </row>
    <row r="3604" spans="1:15" x14ac:dyDescent="0.25">
      <c r="A3604" t="s">
        <v>2982</v>
      </c>
      <c r="B3604" t="s">
        <v>15</v>
      </c>
      <c r="C3604" t="s">
        <v>37</v>
      </c>
      <c r="D3604" t="s">
        <v>17</v>
      </c>
      <c r="E3604" t="s">
        <v>18</v>
      </c>
      <c r="F3604" t="s">
        <v>19</v>
      </c>
      <c r="G3604" t="s">
        <v>20</v>
      </c>
      <c r="J3604" t="s">
        <v>17</v>
      </c>
      <c r="K3604" t="str">
        <f>"10000946"</f>
        <v>10000946</v>
      </c>
      <c r="L3604" t="str">
        <f>"10000946"</f>
        <v>10000946</v>
      </c>
      <c r="M3604" t="s">
        <v>21</v>
      </c>
      <c r="N3604" s="1">
        <v>43610.962500000001</v>
      </c>
      <c r="O3604" t="s">
        <v>19</v>
      </c>
    </row>
    <row r="3605" spans="1:15" x14ac:dyDescent="0.25">
      <c r="A3605" t="s">
        <v>2983</v>
      </c>
      <c r="B3605" t="s">
        <v>15</v>
      </c>
      <c r="C3605" t="s">
        <v>37</v>
      </c>
      <c r="D3605" t="s">
        <v>17</v>
      </c>
      <c r="E3605" t="s">
        <v>18</v>
      </c>
      <c r="F3605" t="s">
        <v>19</v>
      </c>
      <c r="G3605" t="s">
        <v>20</v>
      </c>
      <c r="J3605" t="s">
        <v>17</v>
      </c>
      <c r="K3605" t="str">
        <f>"10002932"</f>
        <v>10002932</v>
      </c>
      <c r="L3605" t="str">
        <f>"10002932"</f>
        <v>10002932</v>
      </c>
      <c r="M3605" t="s">
        <v>75</v>
      </c>
      <c r="N3605" s="1">
        <v>43084.867361111108</v>
      </c>
      <c r="O3605" t="s">
        <v>19</v>
      </c>
    </row>
    <row r="3606" spans="1:15" x14ac:dyDescent="0.25">
      <c r="A3606" t="s">
        <v>2984</v>
      </c>
      <c r="B3606" t="s">
        <v>15</v>
      </c>
      <c r="C3606" t="s">
        <v>941</v>
      </c>
      <c r="D3606" t="s">
        <v>17</v>
      </c>
      <c r="E3606" t="s">
        <v>18</v>
      </c>
      <c r="F3606" t="s">
        <v>19</v>
      </c>
      <c r="G3606" t="s">
        <v>20</v>
      </c>
      <c r="J3606" t="s">
        <v>17</v>
      </c>
      <c r="K3606" t="str">
        <f>"1496160993507"</f>
        <v>1496160993507</v>
      </c>
      <c r="L3606" t="str">
        <f>"878200651"</f>
        <v>878200651</v>
      </c>
      <c r="M3606" t="s">
        <v>75</v>
      </c>
      <c r="N3606" s="1">
        <v>42885.677777777775</v>
      </c>
      <c r="O3606" t="s">
        <v>19</v>
      </c>
    </row>
    <row r="3607" spans="1:15" x14ac:dyDescent="0.25">
      <c r="A3607" t="s">
        <v>2984</v>
      </c>
      <c r="B3607" t="s">
        <v>15</v>
      </c>
      <c r="C3607" t="s">
        <v>941</v>
      </c>
      <c r="D3607" t="s">
        <v>17</v>
      </c>
      <c r="E3607" t="s">
        <v>18</v>
      </c>
      <c r="F3607" t="s">
        <v>19</v>
      </c>
      <c r="G3607" t="s">
        <v>20</v>
      </c>
      <c r="J3607" t="s">
        <v>17</v>
      </c>
      <c r="K3607" t="str">
        <f>"1496161007428"</f>
        <v>1496161007428</v>
      </c>
      <c r="L3607" t="str">
        <f>"1496161007428"</f>
        <v>1496161007428</v>
      </c>
      <c r="M3607" t="s">
        <v>21</v>
      </c>
      <c r="N3607" s="1">
        <v>42885.677777777775</v>
      </c>
      <c r="O3607" t="s">
        <v>33</v>
      </c>
    </row>
    <row r="3608" spans="1:15" x14ac:dyDescent="0.25">
      <c r="A3608" t="s">
        <v>2985</v>
      </c>
      <c r="B3608" t="s">
        <v>15</v>
      </c>
      <c r="C3608" t="s">
        <v>37</v>
      </c>
      <c r="D3608" t="s">
        <v>17</v>
      </c>
      <c r="E3608" t="s">
        <v>18</v>
      </c>
      <c r="F3608" t="s">
        <v>19</v>
      </c>
      <c r="G3608" t="s">
        <v>20</v>
      </c>
      <c r="J3608" t="s">
        <v>17</v>
      </c>
      <c r="K3608" t="str">
        <f>"34520015"</f>
        <v>34520015</v>
      </c>
      <c r="L3608" t="str">
        <f>"34520015"</f>
        <v>34520015</v>
      </c>
      <c r="M3608" t="s">
        <v>75</v>
      </c>
      <c r="N3608" s="1">
        <v>42894.854861111111</v>
      </c>
      <c r="O3608" t="s">
        <v>19</v>
      </c>
    </row>
    <row r="3609" spans="1:15" x14ac:dyDescent="0.25">
      <c r="A3609" t="s">
        <v>2986</v>
      </c>
      <c r="B3609" t="s">
        <v>15</v>
      </c>
      <c r="C3609" t="s">
        <v>37</v>
      </c>
      <c r="D3609" t="s">
        <v>17</v>
      </c>
      <c r="E3609" t="s">
        <v>18</v>
      </c>
      <c r="F3609" t="s">
        <v>19</v>
      </c>
      <c r="G3609" t="s">
        <v>20</v>
      </c>
      <c r="J3609" t="s">
        <v>17</v>
      </c>
      <c r="K3609" t="str">
        <f>"4710007732540"</f>
        <v>4710007732540</v>
      </c>
      <c r="L3609" t="str">
        <f>"65522540"</f>
        <v>65522540</v>
      </c>
      <c r="M3609" t="s">
        <v>75</v>
      </c>
      <c r="N3609" s="1">
        <v>43067.888888888891</v>
      </c>
      <c r="O3609" t="s">
        <v>19</v>
      </c>
    </row>
    <row r="3610" spans="1:15" x14ac:dyDescent="0.25">
      <c r="A3610" t="s">
        <v>2987</v>
      </c>
      <c r="B3610" t="s">
        <v>15</v>
      </c>
      <c r="C3610" t="s">
        <v>37</v>
      </c>
      <c r="D3610" t="s">
        <v>17</v>
      </c>
      <c r="E3610" t="s">
        <v>18</v>
      </c>
      <c r="F3610" t="s">
        <v>19</v>
      </c>
      <c r="G3610" t="s">
        <v>20</v>
      </c>
      <c r="J3610" t="s">
        <v>17</v>
      </c>
      <c r="K3610" t="str">
        <f>"10523205"</f>
        <v>10523205</v>
      </c>
      <c r="L3610" t="str">
        <f>"10523205"</f>
        <v>10523205</v>
      </c>
      <c r="M3610" t="s">
        <v>75</v>
      </c>
      <c r="N3610" s="1">
        <v>43175.947916666664</v>
      </c>
      <c r="O3610" t="s">
        <v>19</v>
      </c>
    </row>
    <row r="3611" spans="1:15" x14ac:dyDescent="0.25">
      <c r="A3611" t="s">
        <v>2988</v>
      </c>
      <c r="B3611" t="s">
        <v>15</v>
      </c>
      <c r="C3611" t="s">
        <v>2989</v>
      </c>
      <c r="D3611" t="s">
        <v>17</v>
      </c>
      <c r="E3611" t="s">
        <v>18</v>
      </c>
      <c r="F3611" t="s">
        <v>19</v>
      </c>
      <c r="G3611" t="s">
        <v>20</v>
      </c>
      <c r="J3611" t="s">
        <v>18</v>
      </c>
      <c r="K3611" t="str">
        <f>"9000500"</f>
        <v>9000500</v>
      </c>
      <c r="L3611" t="str">
        <f>"9000500"</f>
        <v>9000500</v>
      </c>
      <c r="M3611" t="s">
        <v>21</v>
      </c>
      <c r="N3611" s="1">
        <v>43612.775000000001</v>
      </c>
      <c r="O3611" t="s">
        <v>19</v>
      </c>
    </row>
    <row r="3612" spans="1:15" x14ac:dyDescent="0.25">
      <c r="A3612" t="s">
        <v>2988</v>
      </c>
      <c r="B3612" t="s">
        <v>15</v>
      </c>
      <c r="C3612" t="s">
        <v>2989</v>
      </c>
      <c r="D3612" t="s">
        <v>17</v>
      </c>
      <c r="E3612" t="s">
        <v>18</v>
      </c>
      <c r="F3612" t="s">
        <v>19</v>
      </c>
      <c r="G3612" t="s">
        <v>20</v>
      </c>
      <c r="J3612" t="s">
        <v>18</v>
      </c>
      <c r="K3612" t="str">
        <f>"9001000"</f>
        <v>9001000</v>
      </c>
      <c r="L3612" t="str">
        <f>"9001000"</f>
        <v>9001000</v>
      </c>
      <c r="M3612" t="s">
        <v>21</v>
      </c>
      <c r="N3612" s="1">
        <v>43612.775694444441</v>
      </c>
      <c r="O3612" t="s">
        <v>19</v>
      </c>
    </row>
    <row r="3613" spans="1:15" x14ac:dyDescent="0.25">
      <c r="A3613" t="s">
        <v>2988</v>
      </c>
      <c r="B3613" t="s">
        <v>15</v>
      </c>
      <c r="C3613" t="s">
        <v>2989</v>
      </c>
      <c r="D3613" t="s">
        <v>17</v>
      </c>
      <c r="E3613" t="s">
        <v>18</v>
      </c>
      <c r="F3613" t="s">
        <v>19</v>
      </c>
      <c r="G3613" t="s">
        <v>20</v>
      </c>
      <c r="J3613" t="s">
        <v>18</v>
      </c>
      <c r="K3613" t="str">
        <f>"9005000"</f>
        <v>9005000</v>
      </c>
      <c r="L3613" t="str">
        <f>"9005000"</f>
        <v>9005000</v>
      </c>
      <c r="M3613" t="s">
        <v>21</v>
      </c>
      <c r="N3613" s="1">
        <v>43612.775694444441</v>
      </c>
      <c r="O3613" t="s">
        <v>19</v>
      </c>
    </row>
    <row r="3614" spans="1:15" x14ac:dyDescent="0.25">
      <c r="A3614" t="s">
        <v>2988</v>
      </c>
      <c r="B3614" t="s">
        <v>15</v>
      </c>
      <c r="C3614" t="s">
        <v>2989</v>
      </c>
      <c r="D3614" t="s">
        <v>17</v>
      </c>
      <c r="E3614" t="s">
        <v>18</v>
      </c>
      <c r="F3614" t="s">
        <v>19</v>
      </c>
      <c r="G3614" t="s">
        <v>20</v>
      </c>
      <c r="J3614" t="s">
        <v>18</v>
      </c>
      <c r="K3614" t="str">
        <f>"910000"</f>
        <v>910000</v>
      </c>
      <c r="L3614" t="str">
        <f>"910000"</f>
        <v>910000</v>
      </c>
      <c r="M3614" t="s">
        <v>21</v>
      </c>
      <c r="N3614" s="1">
        <v>43612.776388888888</v>
      </c>
      <c r="O3614" t="s">
        <v>19</v>
      </c>
    </row>
    <row r="3615" spans="1:15" x14ac:dyDescent="0.25">
      <c r="A3615" t="s">
        <v>2988</v>
      </c>
      <c r="B3615" t="s">
        <v>15</v>
      </c>
      <c r="C3615" t="s">
        <v>2989</v>
      </c>
      <c r="D3615" t="s">
        <v>17</v>
      </c>
      <c r="E3615" t="s">
        <v>18</v>
      </c>
      <c r="F3615" t="s">
        <v>19</v>
      </c>
      <c r="G3615" t="s">
        <v>20</v>
      </c>
      <c r="J3615" t="s">
        <v>18</v>
      </c>
      <c r="K3615" t="str">
        <f>"920000"</f>
        <v>920000</v>
      </c>
      <c r="L3615" t="str">
        <f>"920000"</f>
        <v>920000</v>
      </c>
      <c r="M3615" t="s">
        <v>21</v>
      </c>
      <c r="N3615" s="1">
        <v>43612.777083333334</v>
      </c>
      <c r="O3615" t="s">
        <v>19</v>
      </c>
    </row>
    <row r="3616" spans="1:15" x14ac:dyDescent="0.25">
      <c r="A3616" t="s">
        <v>2990</v>
      </c>
      <c r="B3616" t="s">
        <v>15</v>
      </c>
      <c r="C3616" t="s">
        <v>37</v>
      </c>
      <c r="D3616" t="s">
        <v>17</v>
      </c>
      <c r="E3616" t="s">
        <v>18</v>
      </c>
      <c r="F3616" t="s">
        <v>19</v>
      </c>
      <c r="G3616" t="s">
        <v>20</v>
      </c>
      <c r="J3616" t="s">
        <v>17</v>
      </c>
      <c r="K3616" t="str">
        <f>"46000346"</f>
        <v>46000346</v>
      </c>
      <c r="L3616" t="str">
        <f>"46000346"</f>
        <v>46000346</v>
      </c>
      <c r="M3616" t="s">
        <v>75</v>
      </c>
      <c r="N3616" s="1">
        <v>42872.839583333334</v>
      </c>
      <c r="O3616" t="s">
        <v>19</v>
      </c>
    </row>
    <row r="3617" spans="1:15" x14ac:dyDescent="0.25">
      <c r="A3617" t="s">
        <v>2991</v>
      </c>
      <c r="B3617" t="s">
        <v>15</v>
      </c>
      <c r="C3617" t="s">
        <v>37</v>
      </c>
      <c r="D3617" t="s">
        <v>17</v>
      </c>
      <c r="E3617" t="s">
        <v>18</v>
      </c>
      <c r="F3617" t="s">
        <v>19</v>
      </c>
      <c r="G3617" t="s">
        <v>20</v>
      </c>
      <c r="J3617" t="s">
        <v>17</v>
      </c>
      <c r="K3617" t="str">
        <f>"100000346"</f>
        <v>100000346</v>
      </c>
      <c r="L3617" t="str">
        <f>"100000346"</f>
        <v>100000346</v>
      </c>
      <c r="M3617" t="s">
        <v>21</v>
      </c>
      <c r="N3617" s="1">
        <v>42872.847222222219</v>
      </c>
      <c r="O3617" t="s">
        <v>33</v>
      </c>
    </row>
    <row r="3618" spans="1:15" x14ac:dyDescent="0.25">
      <c r="A3618" t="s">
        <v>2992</v>
      </c>
      <c r="B3618" t="s">
        <v>15</v>
      </c>
      <c r="C3618" t="s">
        <v>37</v>
      </c>
      <c r="D3618" t="s">
        <v>17</v>
      </c>
      <c r="E3618" t="s">
        <v>18</v>
      </c>
      <c r="F3618" t="s">
        <v>19</v>
      </c>
      <c r="G3618" t="s">
        <v>20</v>
      </c>
      <c r="J3618" t="s">
        <v>17</v>
      </c>
      <c r="K3618" t="str">
        <f>"8669885018214"</f>
        <v>8669885018214</v>
      </c>
      <c r="L3618" t="str">
        <f>"66521821"</f>
        <v>66521821</v>
      </c>
      <c r="M3618" t="s">
        <v>75</v>
      </c>
      <c r="N3618" s="1">
        <v>43147.69027777778</v>
      </c>
      <c r="O3618" t="s">
        <v>19</v>
      </c>
    </row>
    <row r="3619" spans="1:15" x14ac:dyDescent="0.25">
      <c r="A3619" t="s">
        <v>2993</v>
      </c>
      <c r="B3619" t="s">
        <v>15</v>
      </c>
      <c r="C3619" t="s">
        <v>37</v>
      </c>
      <c r="D3619" t="s">
        <v>17</v>
      </c>
      <c r="E3619" t="s">
        <v>18</v>
      </c>
      <c r="F3619" t="s">
        <v>19</v>
      </c>
      <c r="G3619" t="s">
        <v>20</v>
      </c>
      <c r="J3619" t="s">
        <v>17</v>
      </c>
      <c r="K3619" t="str">
        <f>"8002017231915"</f>
        <v>8002017231915</v>
      </c>
      <c r="L3619" t="str">
        <f>"18521915"</f>
        <v>18521915</v>
      </c>
      <c r="M3619" t="s">
        <v>75</v>
      </c>
      <c r="N3619" s="1">
        <v>43033.925000000003</v>
      </c>
      <c r="O3619" t="s">
        <v>19</v>
      </c>
    </row>
    <row r="3620" spans="1:15" x14ac:dyDescent="0.25">
      <c r="A3620" t="s">
        <v>2994</v>
      </c>
      <c r="B3620" t="s">
        <v>15</v>
      </c>
      <c r="C3620" t="s">
        <v>35</v>
      </c>
      <c r="D3620" t="s">
        <v>17</v>
      </c>
      <c r="E3620" t="s">
        <v>18</v>
      </c>
      <c r="F3620" t="s">
        <v>19</v>
      </c>
      <c r="G3620" t="s">
        <v>20</v>
      </c>
      <c r="J3620" t="s">
        <v>17</v>
      </c>
      <c r="K3620" t="str">
        <f>"87221542"</f>
        <v>87221542</v>
      </c>
      <c r="L3620" t="str">
        <f>"87221542"</f>
        <v>87221542</v>
      </c>
      <c r="M3620" t="s">
        <v>75</v>
      </c>
      <c r="N3620" s="1">
        <v>42872.847222222219</v>
      </c>
      <c r="O3620" t="s">
        <v>19</v>
      </c>
    </row>
    <row r="3621" spans="1:15" x14ac:dyDescent="0.25">
      <c r="A3621" t="s">
        <v>2995</v>
      </c>
      <c r="B3621" t="s">
        <v>15</v>
      </c>
      <c r="C3621" t="s">
        <v>37</v>
      </c>
      <c r="D3621" t="s">
        <v>17</v>
      </c>
      <c r="E3621" t="s">
        <v>18</v>
      </c>
      <c r="F3621" t="s">
        <v>19</v>
      </c>
      <c r="G3621" t="s">
        <v>20</v>
      </c>
      <c r="J3621" t="s">
        <v>17</v>
      </c>
      <c r="K3621" t="str">
        <f>"87001541"</f>
        <v>87001541</v>
      </c>
      <c r="L3621" t="str">
        <f>"87001541"</f>
        <v>87001541</v>
      </c>
      <c r="M3621" t="s">
        <v>75</v>
      </c>
      <c r="N3621" s="1">
        <v>42872.847222222219</v>
      </c>
      <c r="O3621" t="s">
        <v>19</v>
      </c>
    </row>
    <row r="3622" spans="1:15" x14ac:dyDescent="0.25">
      <c r="A3622" t="s">
        <v>2996</v>
      </c>
      <c r="B3622" t="s">
        <v>15</v>
      </c>
      <c r="C3622" t="s">
        <v>35</v>
      </c>
      <c r="D3622" t="s">
        <v>17</v>
      </c>
      <c r="E3622" t="s">
        <v>18</v>
      </c>
      <c r="F3622" t="s">
        <v>19</v>
      </c>
      <c r="G3622" t="s">
        <v>20</v>
      </c>
      <c r="J3622" t="s">
        <v>17</v>
      </c>
      <c r="K3622" t="str">
        <f>"10022422"</f>
        <v>10022422</v>
      </c>
      <c r="L3622" t="str">
        <f>"10022422"</f>
        <v>10022422</v>
      </c>
      <c r="M3622" t="s">
        <v>75</v>
      </c>
      <c r="N3622" s="1">
        <v>43175.956944444442</v>
      </c>
      <c r="O3622" t="s">
        <v>19</v>
      </c>
    </row>
    <row r="3623" spans="1:15" x14ac:dyDescent="0.25">
      <c r="A3623" t="s">
        <v>2997</v>
      </c>
      <c r="B3623" t="s">
        <v>15</v>
      </c>
      <c r="C3623" t="s">
        <v>23</v>
      </c>
      <c r="D3623" t="s">
        <v>17</v>
      </c>
      <c r="E3623" t="s">
        <v>18</v>
      </c>
      <c r="F3623" t="s">
        <v>19</v>
      </c>
      <c r="G3623" t="s">
        <v>20</v>
      </c>
      <c r="J3623" t="s">
        <v>17</v>
      </c>
      <c r="K3623" t="str">
        <f>"87001492"</f>
        <v>87001492</v>
      </c>
      <c r="L3623" t="str">
        <f>"87001492"</f>
        <v>87001492</v>
      </c>
      <c r="M3623" t="s">
        <v>75</v>
      </c>
      <c r="N3623" s="1">
        <v>42872.847222222219</v>
      </c>
      <c r="O3623" t="s">
        <v>19</v>
      </c>
    </row>
    <row r="3624" spans="1:15" x14ac:dyDescent="0.25">
      <c r="A3624" t="s">
        <v>2998</v>
      </c>
      <c r="B3624" t="s">
        <v>15</v>
      </c>
      <c r="C3624" t="s">
        <v>55</v>
      </c>
      <c r="D3624" t="s">
        <v>17</v>
      </c>
      <c r="E3624" t="s">
        <v>18</v>
      </c>
      <c r="F3624" t="s">
        <v>19</v>
      </c>
      <c r="G3624" t="s">
        <v>20</v>
      </c>
      <c r="J3624" t="s">
        <v>17</v>
      </c>
      <c r="K3624" t="str">
        <f>"10006554"</f>
        <v>10006554</v>
      </c>
      <c r="L3624" t="str">
        <f>"10006554"</f>
        <v>10006554</v>
      </c>
      <c r="M3624" t="s">
        <v>84</v>
      </c>
      <c r="N3624" s="1">
        <v>43446.947916666664</v>
      </c>
      <c r="O3624" t="s">
        <v>19</v>
      </c>
    </row>
    <row r="3625" spans="1:15" x14ac:dyDescent="0.25">
      <c r="A3625" t="s">
        <v>2999</v>
      </c>
      <c r="B3625" t="s">
        <v>15</v>
      </c>
      <c r="C3625" t="s">
        <v>37</v>
      </c>
      <c r="D3625" t="s">
        <v>17</v>
      </c>
      <c r="E3625" t="s">
        <v>18</v>
      </c>
      <c r="F3625" t="s">
        <v>19</v>
      </c>
      <c r="G3625" t="s">
        <v>20</v>
      </c>
      <c r="J3625" t="s">
        <v>17</v>
      </c>
      <c r="K3625" t="str">
        <f>"10000207"</f>
        <v>10000207</v>
      </c>
      <c r="L3625" t="str">
        <f>"10000207"</f>
        <v>10000207</v>
      </c>
      <c r="M3625" t="s">
        <v>84</v>
      </c>
      <c r="N3625" s="1">
        <v>43419.693749999999</v>
      </c>
      <c r="O3625" t="s">
        <v>19</v>
      </c>
    </row>
    <row r="3626" spans="1:15" x14ac:dyDescent="0.25">
      <c r="A3626" t="s">
        <v>3000</v>
      </c>
      <c r="B3626" t="s">
        <v>15</v>
      </c>
      <c r="C3626" t="s">
        <v>164</v>
      </c>
      <c r="D3626" t="s">
        <v>17</v>
      </c>
      <c r="E3626" t="s">
        <v>18</v>
      </c>
      <c r="F3626" t="s">
        <v>19</v>
      </c>
      <c r="G3626" t="s">
        <v>20</v>
      </c>
      <c r="J3626" t="s">
        <v>17</v>
      </c>
      <c r="K3626" t="str">
        <f>"7809604026644"</f>
        <v>7809604026644</v>
      </c>
      <c r="L3626" t="str">
        <f>"47886644"</f>
        <v>47886644</v>
      </c>
      <c r="M3626" t="s">
        <v>21</v>
      </c>
      <c r="N3626" s="1">
        <v>44285.729861111111</v>
      </c>
      <c r="O3626" t="s">
        <v>19</v>
      </c>
    </row>
    <row r="3627" spans="1:15" x14ac:dyDescent="0.25">
      <c r="A3627" t="s">
        <v>3001</v>
      </c>
      <c r="B3627" t="s">
        <v>15</v>
      </c>
      <c r="C3627" t="s">
        <v>937</v>
      </c>
      <c r="D3627" t="s">
        <v>17</v>
      </c>
      <c r="E3627" t="s">
        <v>18</v>
      </c>
      <c r="F3627" t="s">
        <v>19</v>
      </c>
      <c r="G3627" t="s">
        <v>20</v>
      </c>
      <c r="J3627" t="s">
        <v>17</v>
      </c>
      <c r="K3627" t="str">
        <f>"66370832"</f>
        <v>66370832</v>
      </c>
      <c r="L3627" t="str">
        <f>"66370832"</f>
        <v>66370832</v>
      </c>
      <c r="M3627" t="s">
        <v>75</v>
      </c>
      <c r="N3627" s="1">
        <v>42872.847222222219</v>
      </c>
      <c r="O3627" t="s">
        <v>19</v>
      </c>
    </row>
    <row r="3628" spans="1:15" x14ac:dyDescent="0.25">
      <c r="A3628" t="s">
        <v>3002</v>
      </c>
      <c r="B3628" t="s">
        <v>15</v>
      </c>
      <c r="C3628" t="s">
        <v>937</v>
      </c>
      <c r="D3628" t="s">
        <v>17</v>
      </c>
      <c r="E3628" t="s">
        <v>18</v>
      </c>
      <c r="F3628" t="s">
        <v>19</v>
      </c>
      <c r="G3628" t="s">
        <v>20</v>
      </c>
      <c r="J3628" t="s">
        <v>17</v>
      </c>
      <c r="K3628" t="str">
        <f>"42102522"</f>
        <v>42102522</v>
      </c>
      <c r="L3628" t="str">
        <f>"42102522"</f>
        <v>42102522</v>
      </c>
      <c r="M3628" t="s">
        <v>75</v>
      </c>
      <c r="N3628" s="1">
        <v>42872.839583333334</v>
      </c>
      <c r="O3628" t="s">
        <v>19</v>
      </c>
    </row>
    <row r="3629" spans="1:15" x14ac:dyDescent="0.25">
      <c r="A3629" t="s">
        <v>3003</v>
      </c>
      <c r="B3629" t="s">
        <v>15</v>
      </c>
      <c r="C3629" t="s">
        <v>937</v>
      </c>
      <c r="D3629" t="s">
        <v>17</v>
      </c>
      <c r="E3629" t="s">
        <v>18</v>
      </c>
      <c r="F3629" t="s">
        <v>19</v>
      </c>
      <c r="G3629" t="s">
        <v>20</v>
      </c>
      <c r="J3629" t="s">
        <v>17</v>
      </c>
      <c r="K3629" t="str">
        <f>"4840030015263"</f>
        <v>4840030015263</v>
      </c>
      <c r="L3629" t="str">
        <f>"76370168"</f>
        <v>76370168</v>
      </c>
      <c r="M3629" t="s">
        <v>21</v>
      </c>
      <c r="N3629" s="1">
        <v>43719.830555555556</v>
      </c>
      <c r="O3629" t="s">
        <v>19</v>
      </c>
    </row>
    <row r="3630" spans="1:15" x14ac:dyDescent="0.25">
      <c r="A3630" t="s">
        <v>3004</v>
      </c>
      <c r="B3630" t="s">
        <v>15</v>
      </c>
      <c r="C3630" t="s">
        <v>937</v>
      </c>
      <c r="D3630" t="s">
        <v>17</v>
      </c>
      <c r="E3630" t="s">
        <v>18</v>
      </c>
      <c r="F3630" t="s">
        <v>19</v>
      </c>
      <c r="G3630" t="s">
        <v>20</v>
      </c>
      <c r="J3630" t="s">
        <v>17</v>
      </c>
      <c r="K3630" t="str">
        <f>"6925871666350"</f>
        <v>6925871666350</v>
      </c>
      <c r="L3630" t="str">
        <f>"22376635"</f>
        <v>22376635</v>
      </c>
      <c r="M3630" t="s">
        <v>84</v>
      </c>
      <c r="N3630" s="1">
        <v>43446.688194444447</v>
      </c>
      <c r="O3630" t="s">
        <v>19</v>
      </c>
    </row>
    <row r="3631" spans="1:15" x14ac:dyDescent="0.25">
      <c r="A3631" t="s">
        <v>3005</v>
      </c>
      <c r="B3631" t="s">
        <v>15</v>
      </c>
      <c r="C3631" t="s">
        <v>937</v>
      </c>
      <c r="D3631" t="s">
        <v>17</v>
      </c>
      <c r="E3631" t="s">
        <v>18</v>
      </c>
      <c r="F3631" t="s">
        <v>19</v>
      </c>
      <c r="G3631" t="s">
        <v>20</v>
      </c>
      <c r="J3631" t="s">
        <v>17</v>
      </c>
      <c r="K3631" t="str">
        <f>"6925871663700"</f>
        <v>6925871663700</v>
      </c>
      <c r="L3631" t="str">
        <f>"22376370"</f>
        <v>22376370</v>
      </c>
      <c r="M3631" t="s">
        <v>84</v>
      </c>
      <c r="N3631" s="1">
        <v>43446.6875</v>
      </c>
      <c r="O3631" t="s">
        <v>19</v>
      </c>
    </row>
    <row r="3632" spans="1:15" x14ac:dyDescent="0.25">
      <c r="A3632" t="s">
        <v>3006</v>
      </c>
      <c r="B3632" t="s">
        <v>15</v>
      </c>
      <c r="C3632" t="s">
        <v>937</v>
      </c>
      <c r="D3632" t="s">
        <v>17</v>
      </c>
      <c r="E3632" t="s">
        <v>18</v>
      </c>
      <c r="F3632" t="s">
        <v>19</v>
      </c>
      <c r="G3632" t="s">
        <v>20</v>
      </c>
      <c r="J3632" t="s">
        <v>17</v>
      </c>
      <c r="K3632" t="str">
        <f>"6925871663861"</f>
        <v>6925871663861</v>
      </c>
      <c r="L3632" t="str">
        <f>"22376386"</f>
        <v>22376386</v>
      </c>
      <c r="M3632" t="s">
        <v>84</v>
      </c>
      <c r="N3632" s="1">
        <v>43446.688888888886</v>
      </c>
      <c r="O3632" t="s">
        <v>19</v>
      </c>
    </row>
    <row r="3633" spans="1:15" x14ac:dyDescent="0.25">
      <c r="A3633" t="s">
        <v>3007</v>
      </c>
      <c r="B3633" t="s">
        <v>15</v>
      </c>
      <c r="C3633" t="s">
        <v>937</v>
      </c>
      <c r="D3633" t="s">
        <v>17</v>
      </c>
      <c r="E3633" t="s">
        <v>18</v>
      </c>
      <c r="F3633" t="s">
        <v>19</v>
      </c>
      <c r="G3633" t="s">
        <v>20</v>
      </c>
      <c r="J3633" t="s">
        <v>17</v>
      </c>
      <c r="K3633" t="str">
        <f>"6925871663885"</f>
        <v>6925871663885</v>
      </c>
      <c r="L3633" t="str">
        <f>"22376388"</f>
        <v>22376388</v>
      </c>
      <c r="M3633" t="s">
        <v>84</v>
      </c>
      <c r="N3633" s="1">
        <v>43446.686805555553</v>
      </c>
      <c r="O3633" t="s">
        <v>19</v>
      </c>
    </row>
    <row r="3634" spans="1:15" x14ac:dyDescent="0.25">
      <c r="A3634" t="s">
        <v>3008</v>
      </c>
      <c r="B3634" t="s">
        <v>15</v>
      </c>
      <c r="C3634" t="s">
        <v>937</v>
      </c>
      <c r="D3634" t="s">
        <v>17</v>
      </c>
      <c r="E3634" t="s">
        <v>18</v>
      </c>
      <c r="F3634" t="s">
        <v>19</v>
      </c>
      <c r="G3634" t="s">
        <v>20</v>
      </c>
      <c r="J3634" t="s">
        <v>17</v>
      </c>
      <c r="K3634" t="str">
        <f>"6954284074483"</f>
        <v>6954284074483</v>
      </c>
      <c r="L3634" t="str">
        <f>"76370300"</f>
        <v>76370300</v>
      </c>
      <c r="M3634" t="s">
        <v>21</v>
      </c>
      <c r="N3634" s="1">
        <v>43719.834722222222</v>
      </c>
      <c r="O3634" t="s">
        <v>19</v>
      </c>
    </row>
    <row r="3635" spans="1:15" x14ac:dyDescent="0.25">
      <c r="A3635" t="s">
        <v>3009</v>
      </c>
      <c r="B3635" t="s">
        <v>15</v>
      </c>
      <c r="C3635" t="s">
        <v>937</v>
      </c>
      <c r="D3635" t="s">
        <v>17</v>
      </c>
      <c r="E3635" t="s">
        <v>18</v>
      </c>
      <c r="F3635" t="s">
        <v>19</v>
      </c>
      <c r="G3635" t="s">
        <v>20</v>
      </c>
      <c r="J3635" t="s">
        <v>17</v>
      </c>
      <c r="K3635" t="str">
        <f>"6931326001560"</f>
        <v>6931326001560</v>
      </c>
      <c r="L3635" t="str">
        <f>"40370129"</f>
        <v>40370129</v>
      </c>
      <c r="M3635" t="s">
        <v>21</v>
      </c>
      <c r="N3635" s="1">
        <v>44225.87222222222</v>
      </c>
      <c r="O3635" t="s">
        <v>19</v>
      </c>
    </row>
    <row r="3636" spans="1:15" x14ac:dyDescent="0.25">
      <c r="A3636" t="s">
        <v>3010</v>
      </c>
      <c r="B3636" t="s">
        <v>15</v>
      </c>
      <c r="C3636" t="s">
        <v>937</v>
      </c>
      <c r="D3636" t="s">
        <v>17</v>
      </c>
      <c r="E3636" t="s">
        <v>18</v>
      </c>
      <c r="F3636" t="s">
        <v>19</v>
      </c>
      <c r="G3636" t="s">
        <v>20</v>
      </c>
      <c r="J3636" t="s">
        <v>17</v>
      </c>
      <c r="K3636" t="str">
        <f>"10001728"</f>
        <v>10001728</v>
      </c>
      <c r="L3636" t="str">
        <f>"10001728"</f>
        <v>10001728</v>
      </c>
      <c r="M3636" t="s">
        <v>75</v>
      </c>
      <c r="N3636" s="1">
        <v>42872.839583333334</v>
      </c>
      <c r="O3636" t="s">
        <v>19</v>
      </c>
    </row>
    <row r="3637" spans="1:15" x14ac:dyDescent="0.25">
      <c r="A3637" t="s">
        <v>3011</v>
      </c>
      <c r="B3637" t="s">
        <v>15</v>
      </c>
      <c r="C3637" t="s">
        <v>937</v>
      </c>
      <c r="D3637" t="s">
        <v>17</v>
      </c>
      <c r="E3637" t="s">
        <v>18</v>
      </c>
      <c r="F3637" t="s">
        <v>19</v>
      </c>
      <c r="G3637" t="s">
        <v>20</v>
      </c>
      <c r="J3637" t="s">
        <v>17</v>
      </c>
      <c r="K3637" t="str">
        <f>"763700118"</f>
        <v>763700118</v>
      </c>
      <c r="L3637" t="str">
        <f>"763700118"</f>
        <v>763700118</v>
      </c>
      <c r="M3637" t="s">
        <v>75</v>
      </c>
      <c r="N3637" s="1">
        <v>42872.849305555559</v>
      </c>
      <c r="O3637" t="s">
        <v>19</v>
      </c>
    </row>
    <row r="3638" spans="1:15" x14ac:dyDescent="0.25">
      <c r="A3638" t="s">
        <v>3012</v>
      </c>
      <c r="B3638" t="s">
        <v>15</v>
      </c>
      <c r="C3638" t="s">
        <v>937</v>
      </c>
      <c r="D3638" t="s">
        <v>17</v>
      </c>
      <c r="E3638" t="s">
        <v>18</v>
      </c>
      <c r="F3638" t="s">
        <v>19</v>
      </c>
      <c r="G3638" t="s">
        <v>20</v>
      </c>
      <c r="J3638" t="s">
        <v>17</v>
      </c>
      <c r="K3638" t="str">
        <f>"10113013"</f>
        <v>10113013</v>
      </c>
      <c r="L3638" t="str">
        <f>"10113013"</f>
        <v>10113013</v>
      </c>
      <c r="M3638" t="s">
        <v>21</v>
      </c>
      <c r="N3638" s="1">
        <v>44392.78125</v>
      </c>
      <c r="O3638" t="s">
        <v>19</v>
      </c>
    </row>
    <row r="3639" spans="1:15" x14ac:dyDescent="0.25">
      <c r="A3639" t="s">
        <v>3013</v>
      </c>
      <c r="B3639" t="s">
        <v>15</v>
      </c>
      <c r="C3639" t="s">
        <v>941</v>
      </c>
      <c r="D3639" t="s">
        <v>17</v>
      </c>
      <c r="E3639" t="s">
        <v>18</v>
      </c>
      <c r="F3639" t="s">
        <v>19</v>
      </c>
      <c r="G3639" t="s">
        <v>20</v>
      </c>
      <c r="J3639" t="s">
        <v>17</v>
      </c>
      <c r="K3639" t="str">
        <f>"10118348"</f>
        <v>10118348</v>
      </c>
      <c r="L3639" t="str">
        <f>"10118348"</f>
        <v>10118348</v>
      </c>
      <c r="M3639" t="s">
        <v>21</v>
      </c>
      <c r="N3639" s="1">
        <v>43532.892361111109</v>
      </c>
      <c r="O3639" t="s">
        <v>19</v>
      </c>
    </row>
    <row r="3640" spans="1:15" x14ac:dyDescent="0.25">
      <c r="A3640" t="s">
        <v>3014</v>
      </c>
      <c r="B3640" t="s">
        <v>15</v>
      </c>
      <c r="C3640" t="s">
        <v>941</v>
      </c>
      <c r="D3640" t="s">
        <v>17</v>
      </c>
      <c r="E3640" t="s">
        <v>18</v>
      </c>
      <c r="F3640" t="s">
        <v>19</v>
      </c>
      <c r="G3640" t="s">
        <v>20</v>
      </c>
      <c r="J3640" t="s">
        <v>17</v>
      </c>
      <c r="K3640" t="str">
        <f>"10000134"</f>
        <v>10000134</v>
      </c>
      <c r="L3640" t="str">
        <f>"10000134"</f>
        <v>10000134</v>
      </c>
      <c r="M3640" t="s">
        <v>21</v>
      </c>
      <c r="N3640" s="1">
        <v>43612.615972222222</v>
      </c>
      <c r="O3640" t="s">
        <v>19</v>
      </c>
    </row>
    <row r="3641" spans="1:15" x14ac:dyDescent="0.25">
      <c r="A3641" t="s">
        <v>3015</v>
      </c>
      <c r="B3641" t="s">
        <v>15</v>
      </c>
      <c r="C3641" t="s">
        <v>937</v>
      </c>
      <c r="D3641" t="s">
        <v>17</v>
      </c>
      <c r="E3641" t="s">
        <v>18</v>
      </c>
      <c r="F3641" t="s">
        <v>19</v>
      </c>
      <c r="G3641" t="s">
        <v>20</v>
      </c>
      <c r="J3641" t="s">
        <v>17</v>
      </c>
      <c r="K3641" t="str">
        <f>"10001642"</f>
        <v>10001642</v>
      </c>
      <c r="L3641" t="str">
        <f>"10001642"</f>
        <v>10001642</v>
      </c>
      <c r="M3641" t="s">
        <v>21</v>
      </c>
      <c r="N3641" s="1">
        <v>43666.874305555553</v>
      </c>
      <c r="O3641" t="s">
        <v>19</v>
      </c>
    </row>
    <row r="3642" spans="1:15" x14ac:dyDescent="0.25">
      <c r="A3642" t="s">
        <v>3016</v>
      </c>
      <c r="B3642" t="s">
        <v>15</v>
      </c>
      <c r="C3642" t="s">
        <v>941</v>
      </c>
      <c r="D3642" t="s">
        <v>17</v>
      </c>
      <c r="E3642" t="s">
        <v>18</v>
      </c>
      <c r="F3642" t="s">
        <v>19</v>
      </c>
      <c r="G3642" t="s">
        <v>20</v>
      </c>
      <c r="J3642" t="s">
        <v>17</v>
      </c>
      <c r="K3642" t="str">
        <f>"10000278"</f>
        <v>10000278</v>
      </c>
      <c r="L3642" t="str">
        <f>"10000278"</f>
        <v>10000278</v>
      </c>
      <c r="M3642" t="s">
        <v>21</v>
      </c>
      <c r="N3642" s="1">
        <v>43612.615972222222</v>
      </c>
      <c r="O3642" t="s">
        <v>19</v>
      </c>
    </row>
    <row r="3643" spans="1:15" x14ac:dyDescent="0.25">
      <c r="A3643" t="s">
        <v>3017</v>
      </c>
      <c r="B3643" t="s">
        <v>15</v>
      </c>
      <c r="C3643" t="s">
        <v>941</v>
      </c>
      <c r="D3643" t="s">
        <v>17</v>
      </c>
      <c r="E3643" t="s">
        <v>18</v>
      </c>
      <c r="F3643" t="s">
        <v>19</v>
      </c>
      <c r="G3643" t="s">
        <v>20</v>
      </c>
      <c r="J3643" t="s">
        <v>17</v>
      </c>
      <c r="K3643" t="str">
        <f>"8669885028282"</f>
        <v>8669885028282</v>
      </c>
      <c r="L3643" t="str">
        <f>"66078282"</f>
        <v>66078282</v>
      </c>
      <c r="M3643" t="s">
        <v>75</v>
      </c>
      <c r="N3643" s="1">
        <v>43197.604166666664</v>
      </c>
      <c r="O3643" t="s">
        <v>19</v>
      </c>
    </row>
    <row r="3644" spans="1:15" x14ac:dyDescent="0.25">
      <c r="A3644" t="s">
        <v>3018</v>
      </c>
      <c r="B3644" t="s">
        <v>15</v>
      </c>
      <c r="C3644" t="s">
        <v>941</v>
      </c>
      <c r="D3644" t="s">
        <v>17</v>
      </c>
      <c r="E3644" t="s">
        <v>18</v>
      </c>
      <c r="F3644" t="s">
        <v>19</v>
      </c>
      <c r="G3644" t="s">
        <v>20</v>
      </c>
      <c r="J3644" t="s">
        <v>17</v>
      </c>
      <c r="K3644" t="str">
        <f>"6925871617789"</f>
        <v>6925871617789</v>
      </c>
      <c r="L3644" t="str">
        <f>"22071778"</f>
        <v>22071778</v>
      </c>
      <c r="M3644" t="s">
        <v>75</v>
      </c>
      <c r="N3644" s="1">
        <v>43173.647222222222</v>
      </c>
      <c r="O3644" t="s">
        <v>19</v>
      </c>
    </row>
    <row r="3645" spans="1:15" x14ac:dyDescent="0.25">
      <c r="A3645" t="s">
        <v>3019</v>
      </c>
      <c r="B3645" t="s">
        <v>15</v>
      </c>
      <c r="C3645" t="s">
        <v>937</v>
      </c>
      <c r="D3645" t="s">
        <v>17</v>
      </c>
      <c r="E3645" t="s">
        <v>18</v>
      </c>
      <c r="F3645" t="s">
        <v>19</v>
      </c>
      <c r="G3645" t="s">
        <v>20</v>
      </c>
      <c r="J3645" t="s">
        <v>17</v>
      </c>
      <c r="K3645" t="str">
        <f>"17440006"</f>
        <v>17440006</v>
      </c>
      <c r="L3645" t="str">
        <f>"17440006"</f>
        <v>17440006</v>
      </c>
      <c r="M3645" t="s">
        <v>75</v>
      </c>
      <c r="N3645" s="1">
        <v>42872.839583333334</v>
      </c>
      <c r="O3645" t="s">
        <v>19</v>
      </c>
    </row>
    <row r="3646" spans="1:15" x14ac:dyDescent="0.25">
      <c r="A3646" t="s">
        <v>3020</v>
      </c>
      <c r="B3646" t="s">
        <v>15</v>
      </c>
      <c r="C3646" t="s">
        <v>941</v>
      </c>
      <c r="D3646" t="s">
        <v>17</v>
      </c>
      <c r="E3646" t="s">
        <v>18</v>
      </c>
      <c r="F3646" t="s">
        <v>19</v>
      </c>
      <c r="G3646" t="s">
        <v>20</v>
      </c>
      <c r="J3646" t="s">
        <v>17</v>
      </c>
      <c r="K3646" t="str">
        <f>"7858816047923"</f>
        <v>7858816047923</v>
      </c>
      <c r="L3646" t="str">
        <f>"87074792"</f>
        <v>87074792</v>
      </c>
      <c r="M3646" t="s">
        <v>84</v>
      </c>
      <c r="N3646" s="1">
        <v>43281.685416666667</v>
      </c>
      <c r="O3646" t="s">
        <v>19</v>
      </c>
    </row>
    <row r="3647" spans="1:15" x14ac:dyDescent="0.25">
      <c r="A3647" t="s">
        <v>3021</v>
      </c>
      <c r="B3647" t="s">
        <v>15</v>
      </c>
      <c r="C3647" t="s">
        <v>937</v>
      </c>
      <c r="D3647" t="s">
        <v>17</v>
      </c>
      <c r="E3647" t="s">
        <v>18</v>
      </c>
      <c r="F3647" t="s">
        <v>19</v>
      </c>
      <c r="G3647" t="s">
        <v>20</v>
      </c>
      <c r="J3647" t="s">
        <v>17</v>
      </c>
      <c r="K3647" t="str">
        <f>"6925871610872"</f>
        <v>6925871610872</v>
      </c>
      <c r="L3647" t="str">
        <f>"22071087"</f>
        <v>22071087</v>
      </c>
      <c r="M3647" t="s">
        <v>75</v>
      </c>
      <c r="N3647" s="1">
        <v>43043.748611111114</v>
      </c>
      <c r="O3647" t="s">
        <v>19</v>
      </c>
    </row>
    <row r="3648" spans="1:15" x14ac:dyDescent="0.25">
      <c r="A3648" t="s">
        <v>3022</v>
      </c>
      <c r="B3648" t="s">
        <v>15</v>
      </c>
      <c r="C3648" t="s">
        <v>937</v>
      </c>
      <c r="D3648" t="s">
        <v>17</v>
      </c>
      <c r="E3648" t="s">
        <v>18</v>
      </c>
      <c r="F3648" t="s">
        <v>19</v>
      </c>
      <c r="G3648" t="s">
        <v>20</v>
      </c>
      <c r="J3648" t="s">
        <v>17</v>
      </c>
      <c r="K3648" t="str">
        <f>"6925871611367"</f>
        <v>6925871611367</v>
      </c>
      <c r="L3648" t="str">
        <f>"22371136"</f>
        <v>22371136</v>
      </c>
      <c r="M3648" t="s">
        <v>21</v>
      </c>
      <c r="N3648" s="1">
        <v>44349.920138888891</v>
      </c>
      <c r="O3648" t="s">
        <v>19</v>
      </c>
    </row>
    <row r="3649" spans="1:15" x14ac:dyDescent="0.25">
      <c r="A3649" t="s">
        <v>3023</v>
      </c>
      <c r="B3649" t="s">
        <v>15</v>
      </c>
      <c r="C3649" t="s">
        <v>937</v>
      </c>
      <c r="D3649" t="s">
        <v>17</v>
      </c>
      <c r="E3649" t="s">
        <v>18</v>
      </c>
      <c r="F3649" t="s">
        <v>19</v>
      </c>
      <c r="G3649" t="s">
        <v>20</v>
      </c>
      <c r="J3649" t="s">
        <v>17</v>
      </c>
      <c r="K3649" t="str">
        <f>"6925871611695"</f>
        <v>6925871611695</v>
      </c>
      <c r="L3649" t="str">
        <f>"22071169"</f>
        <v>22071169</v>
      </c>
      <c r="M3649" t="s">
        <v>21</v>
      </c>
      <c r="N3649" s="1">
        <v>43869.664583333331</v>
      </c>
      <c r="O3649" t="s">
        <v>19</v>
      </c>
    </row>
    <row r="3650" spans="1:15" x14ac:dyDescent="0.25">
      <c r="A3650" t="s">
        <v>3024</v>
      </c>
      <c r="B3650" t="s">
        <v>15</v>
      </c>
      <c r="C3650" t="s">
        <v>937</v>
      </c>
      <c r="D3650" t="s">
        <v>17</v>
      </c>
      <c r="E3650" t="s">
        <v>18</v>
      </c>
      <c r="F3650" t="s">
        <v>19</v>
      </c>
      <c r="G3650" t="s">
        <v>20</v>
      </c>
      <c r="J3650" t="s">
        <v>17</v>
      </c>
      <c r="K3650" t="str">
        <f>"6925871611954"</f>
        <v>6925871611954</v>
      </c>
      <c r="L3650" t="str">
        <f>"22371195"</f>
        <v>22371195</v>
      </c>
      <c r="M3650" t="s">
        <v>21</v>
      </c>
      <c r="N3650" s="1">
        <v>43826.619444444441</v>
      </c>
      <c r="O3650" t="s">
        <v>19</v>
      </c>
    </row>
    <row r="3651" spans="1:15" x14ac:dyDescent="0.25">
      <c r="A3651" t="s">
        <v>3025</v>
      </c>
      <c r="B3651" t="s">
        <v>15</v>
      </c>
      <c r="C3651" t="s">
        <v>937</v>
      </c>
      <c r="D3651" t="s">
        <v>17</v>
      </c>
      <c r="E3651" t="s">
        <v>18</v>
      </c>
      <c r="F3651" t="s">
        <v>19</v>
      </c>
      <c r="G3651" t="s">
        <v>20</v>
      </c>
      <c r="J3651" t="s">
        <v>17</v>
      </c>
      <c r="K3651" t="str">
        <f>"6925871612135"</f>
        <v>6925871612135</v>
      </c>
      <c r="L3651" t="str">
        <f>"22371213"</f>
        <v>22371213</v>
      </c>
      <c r="M3651" t="s">
        <v>21</v>
      </c>
      <c r="N3651" s="1">
        <v>44349.92083333333</v>
      </c>
      <c r="O3651" t="s">
        <v>19</v>
      </c>
    </row>
    <row r="3652" spans="1:15" x14ac:dyDescent="0.25">
      <c r="A3652" t="s">
        <v>3026</v>
      </c>
      <c r="B3652" t="s">
        <v>15</v>
      </c>
      <c r="C3652" t="s">
        <v>941</v>
      </c>
      <c r="D3652" t="s">
        <v>17</v>
      </c>
      <c r="E3652" t="s">
        <v>18</v>
      </c>
      <c r="F3652" t="s">
        <v>19</v>
      </c>
      <c r="G3652" t="s">
        <v>20</v>
      </c>
      <c r="J3652" t="s">
        <v>17</v>
      </c>
      <c r="K3652" t="str">
        <f>"6925871613286"</f>
        <v>6925871613286</v>
      </c>
      <c r="L3652" t="str">
        <f>"22371328"</f>
        <v>22371328</v>
      </c>
      <c r="M3652" t="s">
        <v>84</v>
      </c>
      <c r="N3652" s="1">
        <v>43545.90625</v>
      </c>
      <c r="O3652" t="s">
        <v>19</v>
      </c>
    </row>
    <row r="3653" spans="1:15" x14ac:dyDescent="0.25">
      <c r="A3653" t="s">
        <v>3027</v>
      </c>
      <c r="B3653" t="s">
        <v>15</v>
      </c>
      <c r="C3653" t="s">
        <v>937</v>
      </c>
      <c r="D3653" t="s">
        <v>17</v>
      </c>
      <c r="E3653" t="s">
        <v>18</v>
      </c>
      <c r="F3653" t="s">
        <v>19</v>
      </c>
      <c r="G3653" t="s">
        <v>20</v>
      </c>
      <c r="J3653" t="s">
        <v>17</v>
      </c>
      <c r="K3653" t="str">
        <f>"6925871613675"</f>
        <v>6925871613675</v>
      </c>
      <c r="L3653" t="str">
        <f>"22371367"</f>
        <v>22371367</v>
      </c>
      <c r="M3653" t="s">
        <v>21</v>
      </c>
      <c r="N3653" s="1">
        <v>43867.884027777778</v>
      </c>
      <c r="O3653" t="s">
        <v>19</v>
      </c>
    </row>
    <row r="3654" spans="1:15" x14ac:dyDescent="0.25">
      <c r="A3654" t="s">
        <v>3028</v>
      </c>
      <c r="B3654" t="s">
        <v>15</v>
      </c>
      <c r="C3654" t="s">
        <v>937</v>
      </c>
      <c r="D3654" t="s">
        <v>17</v>
      </c>
      <c r="E3654" t="s">
        <v>18</v>
      </c>
      <c r="F3654" t="s">
        <v>19</v>
      </c>
      <c r="G3654" t="s">
        <v>20</v>
      </c>
      <c r="J3654" t="s">
        <v>17</v>
      </c>
      <c r="K3654" t="str">
        <f>"6925871613729"</f>
        <v>6925871613729</v>
      </c>
      <c r="L3654" t="str">
        <f>"22071372"</f>
        <v>22071372</v>
      </c>
      <c r="M3654" t="s">
        <v>84</v>
      </c>
      <c r="N3654" s="1">
        <v>43314.708333333336</v>
      </c>
      <c r="O3654" t="s">
        <v>19</v>
      </c>
    </row>
    <row r="3655" spans="1:15" x14ac:dyDescent="0.25">
      <c r="A3655" t="s">
        <v>3029</v>
      </c>
      <c r="B3655" t="s">
        <v>15</v>
      </c>
      <c r="C3655" t="s">
        <v>937</v>
      </c>
      <c r="D3655" t="s">
        <v>17</v>
      </c>
      <c r="E3655" t="s">
        <v>18</v>
      </c>
      <c r="F3655" t="s">
        <v>19</v>
      </c>
      <c r="G3655" t="s">
        <v>20</v>
      </c>
      <c r="J3655" t="s">
        <v>17</v>
      </c>
      <c r="K3655" t="str">
        <f>"22071373"</f>
        <v>22071373</v>
      </c>
      <c r="L3655" t="str">
        <f>"22071373"</f>
        <v>22071373</v>
      </c>
      <c r="M3655" t="s">
        <v>84</v>
      </c>
      <c r="N3655" s="1">
        <v>43314.707638888889</v>
      </c>
      <c r="O3655" t="s">
        <v>19</v>
      </c>
    </row>
    <row r="3656" spans="1:15" x14ac:dyDescent="0.25">
      <c r="A3656" t="s">
        <v>3030</v>
      </c>
      <c r="B3656" t="s">
        <v>15</v>
      </c>
      <c r="C3656" t="s">
        <v>937</v>
      </c>
      <c r="D3656" t="s">
        <v>17</v>
      </c>
      <c r="E3656" t="s">
        <v>18</v>
      </c>
      <c r="F3656" t="s">
        <v>19</v>
      </c>
      <c r="G3656" t="s">
        <v>20</v>
      </c>
      <c r="J3656" t="s">
        <v>17</v>
      </c>
      <c r="K3656" t="str">
        <f>"6925871613866"</f>
        <v>6925871613866</v>
      </c>
      <c r="L3656" t="str">
        <f>"22371386"</f>
        <v>22371386</v>
      </c>
      <c r="M3656" t="s">
        <v>21</v>
      </c>
      <c r="N3656" s="1">
        <v>44349.918749999997</v>
      </c>
      <c r="O3656" t="s">
        <v>19</v>
      </c>
    </row>
    <row r="3657" spans="1:15" x14ac:dyDescent="0.25">
      <c r="A3657" t="s">
        <v>3031</v>
      </c>
      <c r="B3657" t="s">
        <v>15</v>
      </c>
      <c r="C3657" t="s">
        <v>937</v>
      </c>
      <c r="D3657" t="s">
        <v>17</v>
      </c>
      <c r="E3657" t="s">
        <v>18</v>
      </c>
      <c r="F3657" t="s">
        <v>19</v>
      </c>
      <c r="G3657" t="s">
        <v>20</v>
      </c>
      <c r="J3657" t="s">
        <v>17</v>
      </c>
      <c r="K3657" t="str">
        <f>"6925871614924"</f>
        <v>6925871614924</v>
      </c>
      <c r="L3657" t="str">
        <f>"22071492"</f>
        <v>22071492</v>
      </c>
      <c r="M3657" t="s">
        <v>75</v>
      </c>
      <c r="N3657" s="1">
        <v>43110.739583333336</v>
      </c>
      <c r="O3657" t="s">
        <v>19</v>
      </c>
    </row>
    <row r="3658" spans="1:15" x14ac:dyDescent="0.25">
      <c r="A3658" t="s">
        <v>3031</v>
      </c>
      <c r="B3658" t="s">
        <v>15</v>
      </c>
      <c r="C3658" t="s">
        <v>937</v>
      </c>
      <c r="D3658" t="s">
        <v>17</v>
      </c>
      <c r="E3658" t="s">
        <v>18</v>
      </c>
      <c r="F3658" t="s">
        <v>19</v>
      </c>
      <c r="G3658" t="s">
        <v>20</v>
      </c>
      <c r="J3658" t="s">
        <v>17</v>
      </c>
      <c r="K3658" t="str">
        <f>"6925871616485"</f>
        <v>6925871616485</v>
      </c>
      <c r="L3658" t="str">
        <f>"22071648"</f>
        <v>22071648</v>
      </c>
      <c r="M3658" t="s">
        <v>21</v>
      </c>
      <c r="N3658" s="1">
        <v>43869.65625</v>
      </c>
      <c r="O3658" t="s">
        <v>19</v>
      </c>
    </row>
    <row r="3659" spans="1:15" x14ac:dyDescent="0.25">
      <c r="A3659" t="s">
        <v>3032</v>
      </c>
      <c r="B3659" t="s">
        <v>15</v>
      </c>
      <c r="C3659" t="s">
        <v>937</v>
      </c>
      <c r="D3659" t="s">
        <v>17</v>
      </c>
      <c r="E3659" t="s">
        <v>18</v>
      </c>
      <c r="F3659" t="s">
        <v>19</v>
      </c>
      <c r="G3659" t="s">
        <v>20</v>
      </c>
      <c r="J3659" t="s">
        <v>17</v>
      </c>
      <c r="K3659" t="str">
        <f>"6925871615129"</f>
        <v>6925871615129</v>
      </c>
      <c r="L3659" t="str">
        <f>"22371512"</f>
        <v>22371512</v>
      </c>
      <c r="M3659" t="s">
        <v>21</v>
      </c>
      <c r="N3659" s="1">
        <v>43369.751388888886</v>
      </c>
      <c r="O3659" t="s">
        <v>19</v>
      </c>
    </row>
    <row r="3660" spans="1:15" x14ac:dyDescent="0.25">
      <c r="A3660" t="s">
        <v>3033</v>
      </c>
      <c r="B3660" t="s">
        <v>15</v>
      </c>
      <c r="C3660" t="s">
        <v>941</v>
      </c>
      <c r="D3660" t="s">
        <v>17</v>
      </c>
      <c r="E3660" t="s">
        <v>18</v>
      </c>
      <c r="F3660" t="s">
        <v>19</v>
      </c>
      <c r="G3660" t="s">
        <v>20</v>
      </c>
      <c r="J3660" t="s">
        <v>17</v>
      </c>
      <c r="K3660" t="str">
        <f>"6925871615327"</f>
        <v>6925871615327</v>
      </c>
      <c r="L3660" t="str">
        <f>"22071532"</f>
        <v>22071532</v>
      </c>
      <c r="M3660" t="s">
        <v>75</v>
      </c>
      <c r="N3660" s="1">
        <v>43173.645833333336</v>
      </c>
      <c r="O3660" t="s">
        <v>19</v>
      </c>
    </row>
    <row r="3661" spans="1:15" x14ac:dyDescent="0.25">
      <c r="A3661" t="s">
        <v>3034</v>
      </c>
      <c r="B3661" t="s">
        <v>15</v>
      </c>
      <c r="C3661" t="s">
        <v>937</v>
      </c>
      <c r="D3661" t="s">
        <v>17</v>
      </c>
      <c r="E3661" t="s">
        <v>18</v>
      </c>
      <c r="F3661" t="s">
        <v>19</v>
      </c>
      <c r="G3661" t="s">
        <v>20</v>
      </c>
      <c r="J3661" t="s">
        <v>17</v>
      </c>
      <c r="K3661" t="str">
        <f>"6925876116140"</f>
        <v>6925876116140</v>
      </c>
      <c r="L3661" t="str">
        <f>"22071614"</f>
        <v>22071614</v>
      </c>
      <c r="M3661" t="s">
        <v>21</v>
      </c>
      <c r="N3661" s="1">
        <v>43869.655555555553</v>
      </c>
      <c r="O3661" t="s">
        <v>19</v>
      </c>
    </row>
    <row r="3662" spans="1:15" x14ac:dyDescent="0.25">
      <c r="A3662" t="s">
        <v>3035</v>
      </c>
      <c r="B3662" t="s">
        <v>15</v>
      </c>
      <c r="C3662" t="s">
        <v>937</v>
      </c>
      <c r="D3662" t="s">
        <v>17</v>
      </c>
      <c r="E3662" t="s">
        <v>18</v>
      </c>
      <c r="F3662" t="s">
        <v>19</v>
      </c>
      <c r="G3662" t="s">
        <v>20</v>
      </c>
      <c r="J3662" t="s">
        <v>17</v>
      </c>
      <c r="K3662" t="str">
        <f>"6925871616492"</f>
        <v>6925871616492</v>
      </c>
      <c r="L3662" t="str">
        <f>"22741649"</f>
        <v>22741649</v>
      </c>
      <c r="M3662" t="s">
        <v>21</v>
      </c>
      <c r="N3662" s="1">
        <v>43707.817361111112</v>
      </c>
      <c r="O3662" t="s">
        <v>19</v>
      </c>
    </row>
    <row r="3663" spans="1:15" x14ac:dyDescent="0.25">
      <c r="A3663" t="s">
        <v>3036</v>
      </c>
      <c r="B3663" t="s">
        <v>15</v>
      </c>
      <c r="C3663" t="s">
        <v>941</v>
      </c>
      <c r="D3663" t="s">
        <v>17</v>
      </c>
      <c r="E3663" t="s">
        <v>18</v>
      </c>
      <c r="F3663" t="s">
        <v>19</v>
      </c>
      <c r="G3663" t="s">
        <v>20</v>
      </c>
      <c r="J3663" t="s">
        <v>17</v>
      </c>
      <c r="K3663" t="str">
        <f>"6925871617178"</f>
        <v>6925871617178</v>
      </c>
      <c r="L3663" t="str">
        <f>"22071717"</f>
        <v>22071717</v>
      </c>
      <c r="M3663" t="s">
        <v>75</v>
      </c>
      <c r="N3663" s="1">
        <v>43173.657638888886</v>
      </c>
      <c r="O3663" t="s">
        <v>19</v>
      </c>
    </row>
    <row r="3664" spans="1:15" x14ac:dyDescent="0.25">
      <c r="A3664" t="s">
        <v>3037</v>
      </c>
      <c r="B3664" t="s">
        <v>15</v>
      </c>
      <c r="C3664" t="s">
        <v>937</v>
      </c>
      <c r="D3664" t="s">
        <v>17</v>
      </c>
      <c r="E3664" t="s">
        <v>18</v>
      </c>
      <c r="F3664" t="s">
        <v>19</v>
      </c>
      <c r="G3664" t="s">
        <v>20</v>
      </c>
      <c r="J3664" t="s">
        <v>17</v>
      </c>
      <c r="K3664" t="str">
        <f>"6925871617222"</f>
        <v>6925871617222</v>
      </c>
      <c r="L3664" t="str">
        <f>"22371722"</f>
        <v>22371722</v>
      </c>
      <c r="M3664" t="s">
        <v>21</v>
      </c>
      <c r="N3664" s="1">
        <v>44349.921527777777</v>
      </c>
      <c r="O3664" t="s">
        <v>19</v>
      </c>
    </row>
    <row r="3665" spans="1:15" x14ac:dyDescent="0.25">
      <c r="A3665" t="s">
        <v>3038</v>
      </c>
      <c r="B3665" t="s">
        <v>15</v>
      </c>
      <c r="C3665" t="s">
        <v>937</v>
      </c>
      <c r="D3665" t="s">
        <v>17</v>
      </c>
      <c r="E3665" t="s">
        <v>18</v>
      </c>
      <c r="F3665" t="s">
        <v>19</v>
      </c>
      <c r="G3665" t="s">
        <v>20</v>
      </c>
      <c r="J3665" t="s">
        <v>17</v>
      </c>
      <c r="K3665" t="str">
        <f>"6925871619240"</f>
        <v>6925871619240</v>
      </c>
      <c r="L3665" t="str">
        <f>"22071924"</f>
        <v>22071924</v>
      </c>
      <c r="M3665" t="s">
        <v>84</v>
      </c>
      <c r="N3665" s="1">
        <v>43314.713888888888</v>
      </c>
      <c r="O3665" t="s">
        <v>19</v>
      </c>
    </row>
    <row r="3666" spans="1:15" x14ac:dyDescent="0.25">
      <c r="A3666" t="s">
        <v>3039</v>
      </c>
      <c r="B3666" t="s">
        <v>15</v>
      </c>
      <c r="C3666" t="s">
        <v>937</v>
      </c>
      <c r="D3666" t="s">
        <v>17</v>
      </c>
      <c r="E3666" t="s">
        <v>18</v>
      </c>
      <c r="F3666" t="s">
        <v>19</v>
      </c>
      <c r="G3666" t="s">
        <v>20</v>
      </c>
      <c r="J3666" t="s">
        <v>17</v>
      </c>
      <c r="K3666" t="str">
        <f>"6925871619257"</f>
        <v>6925871619257</v>
      </c>
      <c r="L3666" t="str">
        <f>"22371925"</f>
        <v>22371925</v>
      </c>
      <c r="M3666" t="s">
        <v>84</v>
      </c>
      <c r="N3666" s="1">
        <v>43446.685416666667</v>
      </c>
      <c r="O3666" t="s">
        <v>19</v>
      </c>
    </row>
    <row r="3667" spans="1:15" x14ac:dyDescent="0.25">
      <c r="A3667" t="s">
        <v>3040</v>
      </c>
      <c r="B3667" t="s">
        <v>15</v>
      </c>
      <c r="C3667" t="s">
        <v>937</v>
      </c>
      <c r="D3667" t="s">
        <v>17</v>
      </c>
      <c r="E3667" t="s">
        <v>18</v>
      </c>
      <c r="F3667" t="s">
        <v>19</v>
      </c>
      <c r="G3667" t="s">
        <v>20</v>
      </c>
      <c r="J3667" t="s">
        <v>17</v>
      </c>
      <c r="K3667" t="str">
        <f>"6925871621755"</f>
        <v>6925871621755</v>
      </c>
      <c r="L3667" t="str">
        <f>"22372175"</f>
        <v>22372175</v>
      </c>
      <c r="M3667" t="s">
        <v>21</v>
      </c>
      <c r="N3667" s="1">
        <v>43719.7</v>
      </c>
      <c r="O3667" t="s">
        <v>19</v>
      </c>
    </row>
    <row r="3668" spans="1:15" x14ac:dyDescent="0.25">
      <c r="A3668" t="s">
        <v>3041</v>
      </c>
      <c r="B3668" t="s">
        <v>15</v>
      </c>
      <c r="C3668" t="s">
        <v>937</v>
      </c>
      <c r="D3668" t="s">
        <v>17</v>
      </c>
      <c r="E3668" t="s">
        <v>18</v>
      </c>
      <c r="F3668" t="s">
        <v>19</v>
      </c>
      <c r="G3668" t="s">
        <v>20</v>
      </c>
      <c r="J3668" t="s">
        <v>17</v>
      </c>
      <c r="K3668" t="str">
        <f>"6925871622400"</f>
        <v>6925871622400</v>
      </c>
      <c r="L3668" t="str">
        <f>"22372240"</f>
        <v>22372240</v>
      </c>
      <c r="M3668" t="s">
        <v>84</v>
      </c>
      <c r="N3668" s="1">
        <v>43350.622916666667</v>
      </c>
      <c r="O3668" t="s">
        <v>19</v>
      </c>
    </row>
    <row r="3669" spans="1:15" x14ac:dyDescent="0.25">
      <c r="A3669" t="s">
        <v>3042</v>
      </c>
      <c r="B3669" t="s">
        <v>15</v>
      </c>
      <c r="C3669" t="s">
        <v>937</v>
      </c>
      <c r="D3669" t="s">
        <v>17</v>
      </c>
      <c r="E3669" t="s">
        <v>18</v>
      </c>
      <c r="F3669" t="s">
        <v>19</v>
      </c>
      <c r="G3669" t="s">
        <v>20</v>
      </c>
      <c r="J3669" t="s">
        <v>17</v>
      </c>
      <c r="K3669" t="str">
        <f>"6925871625005"</f>
        <v>6925871625005</v>
      </c>
      <c r="L3669" t="str">
        <f>"22072500"</f>
        <v>22072500</v>
      </c>
      <c r="M3669" t="s">
        <v>21</v>
      </c>
      <c r="N3669" s="1">
        <v>43603.730555555558</v>
      </c>
      <c r="O3669" t="s">
        <v>19</v>
      </c>
    </row>
    <row r="3670" spans="1:15" x14ac:dyDescent="0.25">
      <c r="A3670" t="s">
        <v>3043</v>
      </c>
      <c r="B3670" t="s">
        <v>15</v>
      </c>
      <c r="C3670" t="s">
        <v>937</v>
      </c>
      <c r="D3670" t="s">
        <v>17</v>
      </c>
      <c r="E3670" t="s">
        <v>18</v>
      </c>
      <c r="F3670" t="s">
        <v>19</v>
      </c>
      <c r="G3670" t="s">
        <v>20</v>
      </c>
      <c r="J3670" t="s">
        <v>17</v>
      </c>
      <c r="K3670" t="str">
        <f>"6925871625036"</f>
        <v>6925871625036</v>
      </c>
      <c r="L3670" t="str">
        <f>"22072503"</f>
        <v>22072503</v>
      </c>
      <c r="M3670" t="s">
        <v>21</v>
      </c>
      <c r="N3670" s="1">
        <v>43603.731249999997</v>
      </c>
      <c r="O3670" t="s">
        <v>19</v>
      </c>
    </row>
    <row r="3671" spans="1:15" x14ac:dyDescent="0.25">
      <c r="A3671" t="s">
        <v>3044</v>
      </c>
      <c r="B3671" t="s">
        <v>15</v>
      </c>
      <c r="C3671" t="s">
        <v>937</v>
      </c>
      <c r="D3671" t="s">
        <v>17</v>
      </c>
      <c r="E3671" t="s">
        <v>18</v>
      </c>
      <c r="F3671" t="s">
        <v>19</v>
      </c>
      <c r="G3671" t="s">
        <v>20</v>
      </c>
      <c r="J3671" t="s">
        <v>17</v>
      </c>
      <c r="K3671" t="str">
        <f>"6925871625869"</f>
        <v>6925871625869</v>
      </c>
      <c r="L3671" t="str">
        <f>"22072586"</f>
        <v>22072586</v>
      </c>
      <c r="M3671" t="s">
        <v>21</v>
      </c>
      <c r="N3671" s="1">
        <v>43603.729861111111</v>
      </c>
      <c r="O3671" t="s">
        <v>19</v>
      </c>
    </row>
    <row r="3672" spans="1:15" x14ac:dyDescent="0.25">
      <c r="A3672" t="s">
        <v>3045</v>
      </c>
      <c r="B3672" t="s">
        <v>15</v>
      </c>
      <c r="C3672" t="s">
        <v>937</v>
      </c>
      <c r="D3672" t="s">
        <v>17</v>
      </c>
      <c r="E3672" t="s">
        <v>18</v>
      </c>
      <c r="F3672" t="s">
        <v>19</v>
      </c>
      <c r="G3672" t="s">
        <v>20</v>
      </c>
      <c r="J3672" t="s">
        <v>17</v>
      </c>
      <c r="K3672" t="str">
        <f>"6925871626293"</f>
        <v>6925871626293</v>
      </c>
      <c r="L3672" t="str">
        <f>"22372629"</f>
        <v>22372629</v>
      </c>
      <c r="M3672" t="s">
        <v>84</v>
      </c>
      <c r="N3672" s="1">
        <v>43446.679166666669</v>
      </c>
      <c r="O3672" t="s">
        <v>19</v>
      </c>
    </row>
    <row r="3673" spans="1:15" x14ac:dyDescent="0.25">
      <c r="A3673" t="s">
        <v>3046</v>
      </c>
      <c r="B3673" t="s">
        <v>15</v>
      </c>
      <c r="C3673" t="s">
        <v>937</v>
      </c>
      <c r="D3673" t="s">
        <v>17</v>
      </c>
      <c r="E3673" t="s">
        <v>18</v>
      </c>
      <c r="F3673" t="s">
        <v>19</v>
      </c>
      <c r="G3673" t="s">
        <v>20</v>
      </c>
      <c r="J3673" t="s">
        <v>17</v>
      </c>
      <c r="K3673" t="str">
        <f>"6925871626873"</f>
        <v>6925871626873</v>
      </c>
      <c r="L3673" t="str">
        <f>"22372687"</f>
        <v>22372687</v>
      </c>
      <c r="M3673" t="s">
        <v>21</v>
      </c>
      <c r="N3673" s="1">
        <v>43350.624305555553</v>
      </c>
      <c r="O3673" t="s">
        <v>19</v>
      </c>
    </row>
    <row r="3674" spans="1:15" x14ac:dyDescent="0.25">
      <c r="A3674" t="s">
        <v>3047</v>
      </c>
      <c r="B3674" t="s">
        <v>15</v>
      </c>
      <c r="C3674" t="s">
        <v>937</v>
      </c>
      <c r="D3674" t="s">
        <v>17</v>
      </c>
      <c r="E3674" t="s">
        <v>18</v>
      </c>
      <c r="F3674" t="s">
        <v>19</v>
      </c>
      <c r="G3674" t="s">
        <v>20</v>
      </c>
      <c r="J3674" t="s">
        <v>17</v>
      </c>
      <c r="K3674" t="str">
        <f>"6925871629478"</f>
        <v>6925871629478</v>
      </c>
      <c r="L3674" t="str">
        <f>"22372947"</f>
        <v>22372947</v>
      </c>
      <c r="M3674" t="s">
        <v>84</v>
      </c>
      <c r="N3674" s="1">
        <v>43350.625</v>
      </c>
      <c r="O3674" t="s">
        <v>19</v>
      </c>
    </row>
    <row r="3675" spans="1:15" x14ac:dyDescent="0.25">
      <c r="A3675" t="s">
        <v>3048</v>
      </c>
      <c r="B3675" t="s">
        <v>15</v>
      </c>
      <c r="C3675" t="s">
        <v>937</v>
      </c>
      <c r="D3675" t="s">
        <v>17</v>
      </c>
      <c r="E3675" t="s">
        <v>18</v>
      </c>
      <c r="F3675" t="s">
        <v>19</v>
      </c>
      <c r="G3675" t="s">
        <v>20</v>
      </c>
      <c r="J3675" t="s">
        <v>17</v>
      </c>
      <c r="K3675" t="str">
        <f>"6925871629652"</f>
        <v>6925871629652</v>
      </c>
      <c r="L3675" t="str">
        <f>"22372965"</f>
        <v>22372965</v>
      </c>
      <c r="M3675" t="s">
        <v>21</v>
      </c>
      <c r="N3675" s="1">
        <v>43719.700694444444</v>
      </c>
      <c r="O3675" t="s">
        <v>19</v>
      </c>
    </row>
    <row r="3676" spans="1:15" x14ac:dyDescent="0.25">
      <c r="A3676" t="s">
        <v>3049</v>
      </c>
      <c r="B3676" t="s">
        <v>15</v>
      </c>
      <c r="C3676" t="s">
        <v>937</v>
      </c>
      <c r="D3676" t="s">
        <v>17</v>
      </c>
      <c r="E3676" t="s">
        <v>18</v>
      </c>
      <c r="F3676" t="s">
        <v>19</v>
      </c>
      <c r="G3676" t="s">
        <v>20</v>
      </c>
      <c r="J3676" t="s">
        <v>17</v>
      </c>
      <c r="K3676" t="str">
        <f>"22375280"</f>
        <v>22375280</v>
      </c>
      <c r="L3676" t="str">
        <f>"22375280"</f>
        <v>22375280</v>
      </c>
      <c r="M3676" t="s">
        <v>84</v>
      </c>
      <c r="N3676" s="1">
        <v>43350.62222222222</v>
      </c>
      <c r="O3676" t="s">
        <v>19</v>
      </c>
    </row>
    <row r="3677" spans="1:15" x14ac:dyDescent="0.25">
      <c r="A3677" t="s">
        <v>3050</v>
      </c>
      <c r="B3677" t="s">
        <v>15</v>
      </c>
      <c r="C3677" t="s">
        <v>937</v>
      </c>
      <c r="D3677" t="s">
        <v>17</v>
      </c>
      <c r="E3677" t="s">
        <v>18</v>
      </c>
      <c r="F3677" t="s">
        <v>19</v>
      </c>
      <c r="G3677" t="s">
        <v>20</v>
      </c>
      <c r="J3677" t="s">
        <v>17</v>
      </c>
      <c r="K3677" t="str">
        <f>"6925871612319"</f>
        <v>6925871612319</v>
      </c>
      <c r="L3677" t="str">
        <f>"22371231"</f>
        <v>22371231</v>
      </c>
      <c r="M3677" t="s">
        <v>21</v>
      </c>
      <c r="N3677" s="1">
        <v>44349.922222222223</v>
      </c>
      <c r="O3677" t="s">
        <v>19</v>
      </c>
    </row>
    <row r="3678" spans="1:15" x14ac:dyDescent="0.25">
      <c r="A3678" t="s">
        <v>3051</v>
      </c>
      <c r="B3678" t="s">
        <v>15</v>
      </c>
      <c r="C3678" t="s">
        <v>937</v>
      </c>
      <c r="D3678" t="s">
        <v>17</v>
      </c>
      <c r="E3678" t="s">
        <v>18</v>
      </c>
      <c r="F3678" t="s">
        <v>19</v>
      </c>
      <c r="G3678" t="s">
        <v>20</v>
      </c>
      <c r="J3678" t="s">
        <v>17</v>
      </c>
      <c r="K3678" t="str">
        <f>"6925871612432"</f>
        <v>6925871612432</v>
      </c>
      <c r="L3678" t="str">
        <f>"22371243"</f>
        <v>22371243</v>
      </c>
      <c r="M3678" t="s">
        <v>21</v>
      </c>
      <c r="N3678" s="1">
        <v>44349.92291666667</v>
      </c>
      <c r="O3678" t="s">
        <v>19</v>
      </c>
    </row>
    <row r="3679" spans="1:15" x14ac:dyDescent="0.25">
      <c r="A3679" t="s">
        <v>3052</v>
      </c>
      <c r="B3679" t="s">
        <v>15</v>
      </c>
      <c r="C3679" t="s">
        <v>937</v>
      </c>
      <c r="D3679" t="s">
        <v>17</v>
      </c>
      <c r="E3679" t="s">
        <v>18</v>
      </c>
      <c r="F3679" t="s">
        <v>19</v>
      </c>
      <c r="G3679" t="s">
        <v>20</v>
      </c>
      <c r="J3679" t="s">
        <v>17</v>
      </c>
      <c r="K3679" t="str">
        <f>"6925871619820"</f>
        <v>6925871619820</v>
      </c>
      <c r="L3679" t="str">
        <f>"22741982"</f>
        <v>22741982</v>
      </c>
      <c r="M3679" t="s">
        <v>21</v>
      </c>
      <c r="N3679" s="1">
        <v>43707.800694444442</v>
      </c>
      <c r="O3679" t="s">
        <v>19</v>
      </c>
    </row>
    <row r="3680" spans="1:15" x14ac:dyDescent="0.25">
      <c r="A3680" t="s">
        <v>3053</v>
      </c>
      <c r="B3680" t="s">
        <v>15</v>
      </c>
      <c r="C3680" t="s">
        <v>937</v>
      </c>
      <c r="D3680" t="s">
        <v>17</v>
      </c>
      <c r="E3680" t="s">
        <v>18</v>
      </c>
      <c r="F3680" t="s">
        <v>19</v>
      </c>
      <c r="G3680" t="s">
        <v>20</v>
      </c>
      <c r="J3680" t="s">
        <v>17</v>
      </c>
      <c r="K3680" t="str">
        <f>"7809601111909"</f>
        <v>7809601111909</v>
      </c>
      <c r="L3680" t="str">
        <f>"92370010"</f>
        <v>92370010</v>
      </c>
      <c r="M3680" t="s">
        <v>21</v>
      </c>
      <c r="N3680" s="1">
        <v>44453.622916666667</v>
      </c>
      <c r="O3680" t="s">
        <v>19</v>
      </c>
    </row>
    <row r="3681" spans="1:15" x14ac:dyDescent="0.25">
      <c r="A3681" t="s">
        <v>3054</v>
      </c>
      <c r="B3681" t="s">
        <v>15</v>
      </c>
      <c r="C3681" t="s">
        <v>937</v>
      </c>
      <c r="D3681" t="s">
        <v>17</v>
      </c>
      <c r="E3681" t="s">
        <v>18</v>
      </c>
      <c r="F3681" t="s">
        <v>19</v>
      </c>
      <c r="G3681" t="s">
        <v>20</v>
      </c>
      <c r="J3681" t="s">
        <v>17</v>
      </c>
      <c r="K3681" t="str">
        <f>"7809601112418"</f>
        <v>7809601112418</v>
      </c>
      <c r="L3681" t="str">
        <f>"92370002"</f>
        <v>92370002</v>
      </c>
      <c r="M3681" t="s">
        <v>21</v>
      </c>
      <c r="N3681" s="1">
        <v>44453.623611111114</v>
      </c>
      <c r="O3681" t="s">
        <v>19</v>
      </c>
    </row>
    <row r="3682" spans="1:15" x14ac:dyDescent="0.25">
      <c r="A3682" t="s">
        <v>3055</v>
      </c>
      <c r="B3682" t="s">
        <v>15</v>
      </c>
      <c r="C3682" t="s">
        <v>941</v>
      </c>
      <c r="D3682" t="s">
        <v>17</v>
      </c>
      <c r="E3682" t="s">
        <v>18</v>
      </c>
      <c r="F3682" t="s">
        <v>19</v>
      </c>
      <c r="G3682" t="s">
        <v>20</v>
      </c>
      <c r="J3682" t="s">
        <v>17</v>
      </c>
      <c r="K3682" t="str">
        <f>"6956822464640"</f>
        <v>6956822464640</v>
      </c>
      <c r="L3682" t="str">
        <f>"76370010"</f>
        <v>76370010</v>
      </c>
      <c r="M3682" t="s">
        <v>21</v>
      </c>
      <c r="N3682" s="1">
        <v>44211.645138888889</v>
      </c>
      <c r="O3682" t="s">
        <v>19</v>
      </c>
    </row>
    <row r="3683" spans="1:15" x14ac:dyDescent="0.25">
      <c r="A3683" t="s">
        <v>3056</v>
      </c>
      <c r="B3683" t="s">
        <v>15</v>
      </c>
      <c r="C3683" t="s">
        <v>941</v>
      </c>
      <c r="D3683" t="s">
        <v>17</v>
      </c>
      <c r="E3683" t="s">
        <v>18</v>
      </c>
      <c r="F3683" t="s">
        <v>19</v>
      </c>
      <c r="G3683" t="s">
        <v>20</v>
      </c>
      <c r="J3683" t="s">
        <v>17</v>
      </c>
      <c r="K3683" t="str">
        <f>"7858816081514"</f>
        <v>7858816081514</v>
      </c>
      <c r="L3683" t="str">
        <f>"87378151"</f>
        <v>87378151</v>
      </c>
      <c r="M3683" t="s">
        <v>21</v>
      </c>
      <c r="N3683" s="1">
        <v>44211.84097222222</v>
      </c>
      <c r="O3683" t="s">
        <v>19</v>
      </c>
    </row>
    <row r="3684" spans="1:15" x14ac:dyDescent="0.25">
      <c r="A3684" t="s">
        <v>3057</v>
      </c>
      <c r="B3684" t="s">
        <v>15</v>
      </c>
      <c r="C3684" t="s">
        <v>937</v>
      </c>
      <c r="D3684" t="s">
        <v>17</v>
      </c>
      <c r="E3684" t="s">
        <v>18</v>
      </c>
      <c r="F3684" t="s">
        <v>19</v>
      </c>
      <c r="G3684" t="s">
        <v>20</v>
      </c>
      <c r="J3684" t="s">
        <v>17</v>
      </c>
      <c r="K3684" t="str">
        <f>"7858816081538"</f>
        <v>7858816081538</v>
      </c>
      <c r="L3684" t="str">
        <f>"87748153"</f>
        <v>87748153</v>
      </c>
      <c r="M3684" t="s">
        <v>21</v>
      </c>
      <c r="N3684" s="1">
        <v>44371.663888888892</v>
      </c>
      <c r="O3684" t="s">
        <v>19</v>
      </c>
    </row>
    <row r="3685" spans="1:15" x14ac:dyDescent="0.25">
      <c r="A3685" t="s">
        <v>3058</v>
      </c>
      <c r="B3685" t="s">
        <v>15</v>
      </c>
      <c r="C3685" t="s">
        <v>937</v>
      </c>
      <c r="D3685" t="s">
        <v>17</v>
      </c>
      <c r="E3685" t="s">
        <v>18</v>
      </c>
      <c r="F3685" t="s">
        <v>19</v>
      </c>
      <c r="G3685" t="s">
        <v>20</v>
      </c>
      <c r="J3685" t="s">
        <v>17</v>
      </c>
      <c r="K3685" t="str">
        <f>"6925281948497"</f>
        <v>6925281948497</v>
      </c>
      <c r="L3685" t="str">
        <f>"92370115"</f>
        <v>92370115</v>
      </c>
      <c r="M3685" t="s">
        <v>21</v>
      </c>
      <c r="N3685" s="1">
        <v>43066.728472222225</v>
      </c>
      <c r="O3685" t="s">
        <v>19</v>
      </c>
    </row>
    <row r="3686" spans="1:15" x14ac:dyDescent="0.25">
      <c r="A3686" t="s">
        <v>3059</v>
      </c>
      <c r="B3686" t="s">
        <v>15</v>
      </c>
      <c r="C3686" t="s">
        <v>937</v>
      </c>
      <c r="D3686" t="s">
        <v>17</v>
      </c>
      <c r="E3686" t="s">
        <v>18</v>
      </c>
      <c r="F3686" t="s">
        <v>19</v>
      </c>
      <c r="G3686" t="s">
        <v>20</v>
      </c>
      <c r="J3686" t="s">
        <v>17</v>
      </c>
      <c r="K3686" t="str">
        <f>"10122715"</f>
        <v>10122715</v>
      </c>
      <c r="L3686" t="str">
        <f>"10122715"</f>
        <v>10122715</v>
      </c>
      <c r="M3686" t="s">
        <v>21</v>
      </c>
      <c r="N3686" s="1">
        <v>44371.813194444447</v>
      </c>
      <c r="O3686" t="s">
        <v>19</v>
      </c>
    </row>
    <row r="3687" spans="1:15" x14ac:dyDescent="0.25">
      <c r="A3687" t="s">
        <v>3060</v>
      </c>
      <c r="B3687" t="s">
        <v>15</v>
      </c>
      <c r="C3687" t="s">
        <v>937</v>
      </c>
      <c r="D3687" t="s">
        <v>17</v>
      </c>
      <c r="E3687" t="s">
        <v>18</v>
      </c>
      <c r="F3687" t="s">
        <v>19</v>
      </c>
      <c r="G3687" t="s">
        <v>20</v>
      </c>
      <c r="J3687" t="s">
        <v>17</v>
      </c>
      <c r="K3687" t="str">
        <f>"76071019"</f>
        <v>76071019</v>
      </c>
      <c r="L3687" t="str">
        <f>"76071019"</f>
        <v>76071019</v>
      </c>
      <c r="M3687" t="s">
        <v>21</v>
      </c>
      <c r="N3687" s="1">
        <v>43147.724305555559</v>
      </c>
      <c r="O3687" t="s">
        <v>19</v>
      </c>
    </row>
    <row r="3688" spans="1:15" x14ac:dyDescent="0.25">
      <c r="A3688" t="s">
        <v>3061</v>
      </c>
      <c r="B3688" t="s">
        <v>15</v>
      </c>
      <c r="C3688" t="s">
        <v>937</v>
      </c>
      <c r="D3688" t="s">
        <v>17</v>
      </c>
      <c r="E3688" t="s">
        <v>18</v>
      </c>
      <c r="F3688" t="s">
        <v>19</v>
      </c>
      <c r="G3688" t="s">
        <v>20</v>
      </c>
      <c r="J3688" t="s">
        <v>17</v>
      </c>
      <c r="K3688" t="str">
        <f>"7808748510958"</f>
        <v>7808748510958</v>
      </c>
      <c r="L3688" t="str">
        <f>"98370958"</f>
        <v>98370958</v>
      </c>
      <c r="M3688" t="s">
        <v>21</v>
      </c>
      <c r="N3688" s="1">
        <v>43839.720833333333</v>
      </c>
      <c r="O3688" t="s">
        <v>19</v>
      </c>
    </row>
    <row r="3689" spans="1:15" x14ac:dyDescent="0.25">
      <c r="A3689" t="s">
        <v>3062</v>
      </c>
      <c r="B3689" t="s">
        <v>15</v>
      </c>
      <c r="C3689" t="s">
        <v>937</v>
      </c>
      <c r="D3689" t="s">
        <v>17</v>
      </c>
      <c r="E3689" t="s">
        <v>18</v>
      </c>
      <c r="F3689" t="s">
        <v>19</v>
      </c>
      <c r="G3689" t="s">
        <v>20</v>
      </c>
      <c r="J3689" t="s">
        <v>17</v>
      </c>
      <c r="K3689" t="str">
        <f>"763700127"</f>
        <v>763700127</v>
      </c>
      <c r="L3689" t="str">
        <f>"763700127"</f>
        <v>763700127</v>
      </c>
      <c r="M3689" t="s">
        <v>75</v>
      </c>
      <c r="N3689" s="1">
        <v>42872.849305555559</v>
      </c>
      <c r="O3689" t="s">
        <v>19</v>
      </c>
    </row>
    <row r="3690" spans="1:15" x14ac:dyDescent="0.25">
      <c r="A3690" t="s">
        <v>3063</v>
      </c>
      <c r="B3690" t="s">
        <v>15</v>
      </c>
      <c r="C3690" t="s">
        <v>937</v>
      </c>
      <c r="D3690" t="s">
        <v>17</v>
      </c>
      <c r="E3690" t="s">
        <v>18</v>
      </c>
      <c r="F3690" t="s">
        <v>19</v>
      </c>
      <c r="G3690" t="s">
        <v>20</v>
      </c>
      <c r="J3690" t="s">
        <v>17</v>
      </c>
      <c r="K3690" t="str">
        <f>"10002737"</f>
        <v>10002737</v>
      </c>
      <c r="L3690" t="str">
        <f>"10002737"</f>
        <v>10002737</v>
      </c>
      <c r="M3690" t="s">
        <v>75</v>
      </c>
      <c r="N3690" s="1">
        <v>42872.839583333334</v>
      </c>
      <c r="O3690" t="s">
        <v>19</v>
      </c>
    </row>
    <row r="3691" spans="1:15" x14ac:dyDescent="0.25">
      <c r="A3691" t="s">
        <v>3064</v>
      </c>
      <c r="B3691" t="s">
        <v>15</v>
      </c>
      <c r="C3691" t="s">
        <v>941</v>
      </c>
      <c r="D3691" t="s">
        <v>17</v>
      </c>
      <c r="E3691" t="s">
        <v>18</v>
      </c>
      <c r="F3691" t="s">
        <v>19</v>
      </c>
      <c r="G3691" t="s">
        <v>20</v>
      </c>
      <c r="J3691" t="s">
        <v>17</v>
      </c>
      <c r="K3691" t="str">
        <f>"816479015731"</f>
        <v>816479015731</v>
      </c>
      <c r="L3691" t="str">
        <f>"10002886"</f>
        <v>10002886</v>
      </c>
      <c r="M3691" t="s">
        <v>21</v>
      </c>
      <c r="N3691" s="1">
        <v>43612.643055555556</v>
      </c>
      <c r="O3691" t="s">
        <v>19</v>
      </c>
    </row>
    <row r="3692" spans="1:15" x14ac:dyDescent="0.25">
      <c r="A3692" t="s">
        <v>3065</v>
      </c>
      <c r="B3692" t="s">
        <v>15</v>
      </c>
      <c r="C3692" t="s">
        <v>937</v>
      </c>
      <c r="D3692" t="s">
        <v>17</v>
      </c>
      <c r="E3692" t="s">
        <v>18</v>
      </c>
      <c r="F3692" t="s">
        <v>19</v>
      </c>
      <c r="G3692" t="s">
        <v>20</v>
      </c>
      <c r="J3692" t="s">
        <v>17</v>
      </c>
      <c r="K3692" t="str">
        <f>"7804625561129"</f>
        <v>7804625561129</v>
      </c>
      <c r="L3692" t="str">
        <f>"42140706"</f>
        <v>42140706</v>
      </c>
      <c r="M3692" t="s">
        <v>21</v>
      </c>
      <c r="N3692" s="1">
        <v>42872.839583333334</v>
      </c>
      <c r="O3692" t="s">
        <v>19</v>
      </c>
    </row>
    <row r="3693" spans="1:15" x14ac:dyDescent="0.25">
      <c r="A3693" t="s">
        <v>3066</v>
      </c>
      <c r="B3693" t="s">
        <v>15</v>
      </c>
      <c r="C3693" t="s">
        <v>937</v>
      </c>
      <c r="D3693" t="s">
        <v>17</v>
      </c>
      <c r="E3693" t="s">
        <v>18</v>
      </c>
      <c r="F3693" t="s">
        <v>19</v>
      </c>
      <c r="G3693" t="s">
        <v>20</v>
      </c>
      <c r="J3693" t="s">
        <v>17</v>
      </c>
      <c r="K3693" t="str">
        <f>"6925871682022"</f>
        <v>6925871682022</v>
      </c>
      <c r="L3693" t="str">
        <f>"22378202"</f>
        <v>22378202</v>
      </c>
      <c r="M3693" t="s">
        <v>84</v>
      </c>
      <c r="N3693" s="1">
        <v>43446.677777777775</v>
      </c>
      <c r="O3693" t="s">
        <v>19</v>
      </c>
    </row>
    <row r="3694" spans="1:15" x14ac:dyDescent="0.25">
      <c r="A3694" t="s">
        <v>3067</v>
      </c>
      <c r="B3694" t="s">
        <v>15</v>
      </c>
      <c r="C3694" t="s">
        <v>937</v>
      </c>
      <c r="D3694" t="s">
        <v>17</v>
      </c>
      <c r="E3694" t="s">
        <v>18</v>
      </c>
      <c r="F3694" t="s">
        <v>19</v>
      </c>
      <c r="G3694" t="s">
        <v>20</v>
      </c>
      <c r="J3694" t="s">
        <v>17</v>
      </c>
      <c r="K3694" t="str">
        <f>"6925871682039"</f>
        <v>6925871682039</v>
      </c>
      <c r="L3694" t="str">
        <f>"22378203"</f>
        <v>22378203</v>
      </c>
      <c r="M3694" t="s">
        <v>84</v>
      </c>
      <c r="N3694" s="1">
        <v>43446.677777777775</v>
      </c>
      <c r="O3694" t="s">
        <v>19</v>
      </c>
    </row>
    <row r="3695" spans="1:15" x14ac:dyDescent="0.25">
      <c r="A3695" t="s">
        <v>3068</v>
      </c>
      <c r="B3695" t="s">
        <v>15</v>
      </c>
      <c r="C3695" t="s">
        <v>937</v>
      </c>
      <c r="D3695" t="s">
        <v>17</v>
      </c>
      <c r="E3695" t="s">
        <v>18</v>
      </c>
      <c r="F3695" t="s">
        <v>19</v>
      </c>
      <c r="G3695" t="s">
        <v>20</v>
      </c>
      <c r="J3695" t="s">
        <v>17</v>
      </c>
      <c r="K3695" t="str">
        <f>"10001019"</f>
        <v>10001019</v>
      </c>
      <c r="L3695" t="str">
        <f>"10001019"</f>
        <v>10001019</v>
      </c>
      <c r="M3695" t="s">
        <v>75</v>
      </c>
      <c r="N3695" s="1">
        <v>42872.839583333334</v>
      </c>
      <c r="O3695" t="s">
        <v>19</v>
      </c>
    </row>
    <row r="3696" spans="1:15" x14ac:dyDescent="0.25">
      <c r="A3696" t="s">
        <v>3069</v>
      </c>
      <c r="B3696" t="s">
        <v>15</v>
      </c>
      <c r="C3696" t="s">
        <v>937</v>
      </c>
      <c r="D3696" t="s">
        <v>17</v>
      </c>
      <c r="E3696" t="s">
        <v>18</v>
      </c>
      <c r="F3696" t="s">
        <v>19</v>
      </c>
      <c r="G3696" t="s">
        <v>20</v>
      </c>
      <c r="J3696" t="s">
        <v>17</v>
      </c>
      <c r="K3696" t="str">
        <f>"66000465"</f>
        <v>66000465</v>
      </c>
      <c r="L3696" t="str">
        <f>"66000465"</f>
        <v>66000465</v>
      </c>
      <c r="M3696" t="s">
        <v>75</v>
      </c>
      <c r="N3696" s="1">
        <v>42872.839583333334</v>
      </c>
      <c r="O3696" t="s">
        <v>19</v>
      </c>
    </row>
    <row r="3697" spans="1:15" x14ac:dyDescent="0.25">
      <c r="A3697" t="s">
        <v>3070</v>
      </c>
      <c r="B3697" t="s">
        <v>15</v>
      </c>
      <c r="C3697" t="s">
        <v>941</v>
      </c>
      <c r="D3697" t="s">
        <v>17</v>
      </c>
      <c r="E3697" t="s">
        <v>18</v>
      </c>
      <c r="F3697" t="s">
        <v>19</v>
      </c>
      <c r="G3697" t="s">
        <v>20</v>
      </c>
      <c r="J3697" t="s">
        <v>17</v>
      </c>
      <c r="K3697" t="str">
        <f>"10002866"</f>
        <v>10002866</v>
      </c>
      <c r="L3697" t="str">
        <f>"10002866"</f>
        <v>10002866</v>
      </c>
      <c r="M3697" t="s">
        <v>84</v>
      </c>
      <c r="N3697" s="1">
        <v>43577.902777777781</v>
      </c>
      <c r="O3697" t="s">
        <v>19</v>
      </c>
    </row>
    <row r="3698" spans="1:15" x14ac:dyDescent="0.25">
      <c r="A3698" t="s">
        <v>3071</v>
      </c>
      <c r="B3698" t="s">
        <v>15</v>
      </c>
      <c r="C3698" t="s">
        <v>937</v>
      </c>
      <c r="D3698" t="s">
        <v>17</v>
      </c>
      <c r="E3698" t="s">
        <v>18</v>
      </c>
      <c r="F3698" t="s">
        <v>19</v>
      </c>
      <c r="G3698" t="s">
        <v>20</v>
      </c>
      <c r="J3698" t="s">
        <v>17</v>
      </c>
      <c r="K3698" t="str">
        <f>"1000001075563"</f>
        <v>1000001075563</v>
      </c>
      <c r="L3698" t="str">
        <f>"76370207"</f>
        <v>76370207</v>
      </c>
      <c r="M3698" t="s">
        <v>75</v>
      </c>
      <c r="N3698" s="1">
        <v>43147.723611111112</v>
      </c>
      <c r="O3698" t="s">
        <v>19</v>
      </c>
    </row>
    <row r="3699" spans="1:15" x14ac:dyDescent="0.25">
      <c r="A3699" t="s">
        <v>3072</v>
      </c>
      <c r="B3699" t="s">
        <v>15</v>
      </c>
      <c r="C3699" t="s">
        <v>937</v>
      </c>
      <c r="D3699" t="s">
        <v>17</v>
      </c>
      <c r="E3699" t="s">
        <v>18</v>
      </c>
      <c r="F3699" t="s">
        <v>19</v>
      </c>
      <c r="G3699" t="s">
        <v>20</v>
      </c>
      <c r="J3699" t="s">
        <v>17</v>
      </c>
      <c r="K3699" t="str">
        <f>"66000456"</f>
        <v>66000456</v>
      </c>
      <c r="L3699" t="str">
        <f>"66000456"</f>
        <v>66000456</v>
      </c>
      <c r="M3699" t="s">
        <v>75</v>
      </c>
      <c r="N3699" s="1">
        <v>42872.839583333334</v>
      </c>
      <c r="O3699" t="s">
        <v>19</v>
      </c>
    </row>
    <row r="3700" spans="1:15" x14ac:dyDescent="0.25">
      <c r="A3700" t="s">
        <v>3073</v>
      </c>
      <c r="B3700" t="s">
        <v>15</v>
      </c>
      <c r="C3700" t="s">
        <v>937</v>
      </c>
      <c r="D3700" t="s">
        <v>17</v>
      </c>
      <c r="E3700" t="s">
        <v>18</v>
      </c>
      <c r="F3700" t="s">
        <v>19</v>
      </c>
      <c r="G3700" t="s">
        <v>20</v>
      </c>
      <c r="J3700" t="s">
        <v>17</v>
      </c>
      <c r="K3700" t="str">
        <f>"76070035"</f>
        <v>76070035</v>
      </c>
      <c r="L3700" t="str">
        <f>"76070035"</f>
        <v>76070035</v>
      </c>
      <c r="M3700" t="s">
        <v>21</v>
      </c>
      <c r="N3700" s="1">
        <v>43045.829861111109</v>
      </c>
      <c r="O3700" t="s">
        <v>19</v>
      </c>
    </row>
    <row r="3701" spans="1:15" x14ac:dyDescent="0.25">
      <c r="A3701" t="s">
        <v>3074</v>
      </c>
      <c r="B3701" t="s">
        <v>15</v>
      </c>
      <c r="C3701" t="s">
        <v>937</v>
      </c>
      <c r="D3701" t="s">
        <v>17</v>
      </c>
      <c r="E3701" t="s">
        <v>18</v>
      </c>
      <c r="F3701" t="s">
        <v>19</v>
      </c>
      <c r="G3701" t="s">
        <v>20</v>
      </c>
      <c r="J3701" t="s">
        <v>17</v>
      </c>
      <c r="K3701" t="str">
        <f>"6931326001546"</f>
        <v>6931326001546</v>
      </c>
      <c r="L3701" t="str">
        <f>"40370009"</f>
        <v>40370009</v>
      </c>
      <c r="M3701" t="s">
        <v>21</v>
      </c>
      <c r="N3701" s="1">
        <v>44225.875694444447</v>
      </c>
      <c r="O3701" t="s">
        <v>19</v>
      </c>
    </row>
    <row r="3702" spans="1:15" x14ac:dyDescent="0.25">
      <c r="A3702" t="s">
        <v>3075</v>
      </c>
      <c r="B3702" t="s">
        <v>15</v>
      </c>
      <c r="C3702" t="s">
        <v>937</v>
      </c>
      <c r="D3702" t="s">
        <v>17</v>
      </c>
      <c r="E3702" t="s">
        <v>18</v>
      </c>
      <c r="F3702" t="s">
        <v>19</v>
      </c>
      <c r="G3702" t="s">
        <v>20</v>
      </c>
      <c r="J3702" t="s">
        <v>17</v>
      </c>
      <c r="K3702" t="str">
        <f>"87001777"</f>
        <v>87001777</v>
      </c>
      <c r="L3702" t="str">
        <f>"87001777"</f>
        <v>87001777</v>
      </c>
      <c r="M3702" t="s">
        <v>75</v>
      </c>
      <c r="N3702" s="1">
        <v>42872.847222222219</v>
      </c>
      <c r="O3702" t="s">
        <v>19</v>
      </c>
    </row>
    <row r="3703" spans="1:15" x14ac:dyDescent="0.25">
      <c r="A3703" t="s">
        <v>3076</v>
      </c>
      <c r="B3703" t="s">
        <v>15</v>
      </c>
      <c r="C3703" t="s">
        <v>937</v>
      </c>
      <c r="D3703" t="s">
        <v>17</v>
      </c>
      <c r="E3703" t="s">
        <v>18</v>
      </c>
      <c r="F3703" t="s">
        <v>19</v>
      </c>
      <c r="G3703" t="s">
        <v>20</v>
      </c>
      <c r="J3703" t="s">
        <v>17</v>
      </c>
      <c r="K3703" t="str">
        <f>"8669885010256"</f>
        <v>8669885010256</v>
      </c>
      <c r="L3703" t="str">
        <f>"66378602"</f>
        <v>66378602</v>
      </c>
      <c r="M3703" t="s">
        <v>75</v>
      </c>
      <c r="N3703" s="1">
        <v>43147.68472222222</v>
      </c>
      <c r="O3703" t="s">
        <v>19</v>
      </c>
    </row>
    <row r="3704" spans="1:15" x14ac:dyDescent="0.25">
      <c r="A3704" t="s">
        <v>3077</v>
      </c>
      <c r="B3704" t="s">
        <v>15</v>
      </c>
      <c r="C3704" t="s">
        <v>937</v>
      </c>
      <c r="D3704" t="s">
        <v>17</v>
      </c>
      <c r="E3704" t="s">
        <v>18</v>
      </c>
      <c r="F3704" t="s">
        <v>19</v>
      </c>
      <c r="G3704" t="s">
        <v>20</v>
      </c>
      <c r="J3704" t="s">
        <v>17</v>
      </c>
      <c r="K3704" t="str">
        <f>"8669885010317"</f>
        <v>8669885010317</v>
      </c>
      <c r="L3704" t="str">
        <f>"66378613"</f>
        <v>66378613</v>
      </c>
      <c r="M3704" t="s">
        <v>75</v>
      </c>
      <c r="N3704" s="1">
        <v>43147.685416666667</v>
      </c>
      <c r="O3704" t="s">
        <v>19</v>
      </c>
    </row>
    <row r="3705" spans="1:15" x14ac:dyDescent="0.25">
      <c r="A3705" t="s">
        <v>3078</v>
      </c>
      <c r="B3705" t="s">
        <v>15</v>
      </c>
      <c r="C3705" t="s">
        <v>937</v>
      </c>
      <c r="D3705" t="s">
        <v>17</v>
      </c>
      <c r="E3705" t="s">
        <v>18</v>
      </c>
      <c r="F3705" t="s">
        <v>19</v>
      </c>
      <c r="G3705" t="s">
        <v>20</v>
      </c>
      <c r="J3705" t="s">
        <v>17</v>
      </c>
      <c r="K3705" t="str">
        <f>"79371020"</f>
        <v>79371020</v>
      </c>
      <c r="L3705" t="str">
        <f>"79371020"</f>
        <v>79371020</v>
      </c>
      <c r="M3705" t="s">
        <v>75</v>
      </c>
      <c r="N3705" s="1">
        <v>42872.847222222219</v>
      </c>
      <c r="O3705" t="s">
        <v>19</v>
      </c>
    </row>
    <row r="3706" spans="1:15" x14ac:dyDescent="0.25">
      <c r="A3706" t="s">
        <v>3079</v>
      </c>
      <c r="B3706" t="s">
        <v>15</v>
      </c>
      <c r="C3706" t="s">
        <v>937</v>
      </c>
      <c r="D3706" t="s">
        <v>17</v>
      </c>
      <c r="E3706" t="s">
        <v>18</v>
      </c>
      <c r="F3706" t="s">
        <v>19</v>
      </c>
      <c r="G3706" t="s">
        <v>20</v>
      </c>
      <c r="J3706" t="s">
        <v>17</v>
      </c>
      <c r="K3706" t="str">
        <f>"9651236735252"</f>
        <v>9651236735252</v>
      </c>
      <c r="L3706" t="str">
        <f>"32PRXP295A"</f>
        <v>32PRXP295A</v>
      </c>
      <c r="M3706" t="s">
        <v>21</v>
      </c>
      <c r="N3706" s="1">
        <v>43805.722222222219</v>
      </c>
      <c r="O3706" t="s">
        <v>19</v>
      </c>
    </row>
    <row r="3707" spans="1:15" x14ac:dyDescent="0.25">
      <c r="A3707" t="s">
        <v>3080</v>
      </c>
      <c r="B3707" t="s">
        <v>15</v>
      </c>
      <c r="C3707" t="s">
        <v>937</v>
      </c>
      <c r="D3707" t="s">
        <v>17</v>
      </c>
      <c r="E3707" t="s">
        <v>18</v>
      </c>
      <c r="F3707" t="s">
        <v>19</v>
      </c>
      <c r="G3707" t="s">
        <v>20</v>
      </c>
      <c r="J3707" t="s">
        <v>17</v>
      </c>
      <c r="K3707" t="str">
        <f>"88370000"</f>
        <v>88370000</v>
      </c>
      <c r="L3707" t="str">
        <f>"88370000"</f>
        <v>88370000</v>
      </c>
      <c r="M3707" t="s">
        <v>75</v>
      </c>
      <c r="N3707" s="1">
        <v>42872.847222222219</v>
      </c>
      <c r="O3707" t="s">
        <v>19</v>
      </c>
    </row>
    <row r="3708" spans="1:15" x14ac:dyDescent="0.25">
      <c r="A3708" t="s">
        <v>3081</v>
      </c>
      <c r="B3708" t="s">
        <v>15</v>
      </c>
      <c r="C3708" t="s">
        <v>937</v>
      </c>
      <c r="D3708" t="s">
        <v>17</v>
      </c>
      <c r="E3708" t="s">
        <v>18</v>
      </c>
      <c r="F3708" t="s">
        <v>19</v>
      </c>
      <c r="G3708" t="s">
        <v>20</v>
      </c>
      <c r="J3708" t="s">
        <v>17</v>
      </c>
      <c r="K3708" t="str">
        <f>"7168232745021"</f>
        <v>7168232745021</v>
      </c>
      <c r="L3708" t="str">
        <f>"32PRXP450A"</f>
        <v>32PRXP450A</v>
      </c>
      <c r="M3708" t="s">
        <v>21</v>
      </c>
      <c r="N3708" s="1">
        <v>43805.717361111114</v>
      </c>
      <c r="O3708" t="s">
        <v>19</v>
      </c>
    </row>
    <row r="3709" spans="1:15" x14ac:dyDescent="0.25">
      <c r="A3709" t="s">
        <v>3082</v>
      </c>
      <c r="B3709" t="s">
        <v>15</v>
      </c>
      <c r="C3709" t="s">
        <v>937</v>
      </c>
      <c r="D3709" t="s">
        <v>17</v>
      </c>
      <c r="E3709" t="s">
        <v>18</v>
      </c>
      <c r="F3709" t="s">
        <v>19</v>
      </c>
      <c r="G3709" t="s">
        <v>20</v>
      </c>
      <c r="J3709" t="s">
        <v>17</v>
      </c>
      <c r="K3709" t="str">
        <f>"7168232745038"</f>
        <v>7168232745038</v>
      </c>
      <c r="L3709" t="str">
        <f>"32PRXP450D"</f>
        <v>32PRXP450D</v>
      </c>
      <c r="M3709" t="s">
        <v>21</v>
      </c>
      <c r="N3709" s="1">
        <v>43805.71875</v>
      </c>
      <c r="O3709" t="s">
        <v>19</v>
      </c>
    </row>
    <row r="3710" spans="1:15" x14ac:dyDescent="0.25">
      <c r="A3710" t="s">
        <v>3083</v>
      </c>
      <c r="B3710" t="s">
        <v>15</v>
      </c>
      <c r="C3710" t="s">
        <v>937</v>
      </c>
      <c r="D3710" t="s">
        <v>17</v>
      </c>
      <c r="E3710" t="s">
        <v>18</v>
      </c>
      <c r="F3710" t="s">
        <v>19</v>
      </c>
      <c r="G3710" t="s">
        <v>20</v>
      </c>
      <c r="J3710" t="s">
        <v>17</v>
      </c>
      <c r="K3710" t="str">
        <f>"7168232745007"</f>
        <v>7168232745007</v>
      </c>
      <c r="L3710" t="str">
        <f>"32PRXP450M"</f>
        <v>32PRXP450M</v>
      </c>
      <c r="M3710" t="s">
        <v>21</v>
      </c>
      <c r="N3710" s="1">
        <v>43805.718055555553</v>
      </c>
      <c r="O3710" t="s">
        <v>19</v>
      </c>
    </row>
    <row r="3711" spans="1:15" x14ac:dyDescent="0.25">
      <c r="A3711" t="s">
        <v>3084</v>
      </c>
      <c r="B3711" t="s">
        <v>15</v>
      </c>
      <c r="C3711" t="s">
        <v>937</v>
      </c>
      <c r="D3711" t="s">
        <v>17</v>
      </c>
      <c r="E3711" t="s">
        <v>18</v>
      </c>
      <c r="F3711" t="s">
        <v>19</v>
      </c>
      <c r="G3711" t="s">
        <v>20</v>
      </c>
      <c r="J3711" t="s">
        <v>17</v>
      </c>
      <c r="K3711" t="str">
        <f>"7168232745069"</f>
        <v>7168232745069</v>
      </c>
      <c r="L3711" t="str">
        <f>"32PRXP450N"</f>
        <v>32PRXP450N</v>
      </c>
      <c r="M3711" t="s">
        <v>21</v>
      </c>
      <c r="N3711" s="1">
        <v>43805.71597222222</v>
      </c>
      <c r="O3711" t="s">
        <v>19</v>
      </c>
    </row>
    <row r="3712" spans="1:15" x14ac:dyDescent="0.25">
      <c r="A3712" t="s">
        <v>3085</v>
      </c>
      <c r="B3712" t="s">
        <v>15</v>
      </c>
      <c r="C3712" t="s">
        <v>937</v>
      </c>
      <c r="D3712" t="s">
        <v>17</v>
      </c>
      <c r="E3712" t="s">
        <v>18</v>
      </c>
      <c r="F3712" t="s">
        <v>19</v>
      </c>
      <c r="G3712" t="s">
        <v>20</v>
      </c>
      <c r="J3712" t="s">
        <v>17</v>
      </c>
      <c r="K3712" t="str">
        <f>"7168232745076"</f>
        <v>7168232745076</v>
      </c>
      <c r="L3712" t="str">
        <f>"32PRXP450R"</f>
        <v>32PRXP450R</v>
      </c>
      <c r="M3712" t="s">
        <v>21</v>
      </c>
      <c r="N3712" s="1">
        <v>43805.716666666667</v>
      </c>
      <c r="O3712" t="s">
        <v>19</v>
      </c>
    </row>
    <row r="3713" spans="1:15" x14ac:dyDescent="0.25">
      <c r="A3713" t="s">
        <v>3086</v>
      </c>
      <c r="B3713" t="s">
        <v>15</v>
      </c>
      <c r="C3713" t="s">
        <v>937</v>
      </c>
      <c r="D3713" t="s">
        <v>17</v>
      </c>
      <c r="E3713" t="s">
        <v>18</v>
      </c>
      <c r="F3713" t="s">
        <v>19</v>
      </c>
      <c r="G3713" t="s">
        <v>20</v>
      </c>
      <c r="J3713" t="s">
        <v>17</v>
      </c>
      <c r="K3713" t="str">
        <f>"7168232793565"</f>
        <v>7168232793565</v>
      </c>
      <c r="L3713" t="str">
        <f>"32PLCPX35N"</f>
        <v>32PLCPX35N</v>
      </c>
      <c r="M3713" t="s">
        <v>21</v>
      </c>
      <c r="N3713" s="1">
        <v>43805.727777777778</v>
      </c>
      <c r="O3713" t="s">
        <v>19</v>
      </c>
    </row>
    <row r="3714" spans="1:15" x14ac:dyDescent="0.25">
      <c r="A3714" t="s">
        <v>3087</v>
      </c>
      <c r="B3714" t="s">
        <v>15</v>
      </c>
      <c r="C3714" t="s">
        <v>941</v>
      </c>
      <c r="D3714" t="s">
        <v>17</v>
      </c>
      <c r="E3714" t="s">
        <v>18</v>
      </c>
      <c r="F3714" t="s">
        <v>19</v>
      </c>
      <c r="G3714" t="s">
        <v>20</v>
      </c>
      <c r="J3714" t="s">
        <v>17</v>
      </c>
      <c r="K3714" t="str">
        <f>"94001561"</f>
        <v>94001561</v>
      </c>
      <c r="L3714" t="str">
        <f>"94001561"</f>
        <v>94001561</v>
      </c>
      <c r="M3714" t="s">
        <v>75</v>
      </c>
      <c r="N3714" s="1">
        <v>42872.847222222219</v>
      </c>
      <c r="O3714" t="s">
        <v>19</v>
      </c>
    </row>
    <row r="3715" spans="1:15" x14ac:dyDescent="0.25">
      <c r="A3715" t="s">
        <v>3088</v>
      </c>
      <c r="B3715" t="s">
        <v>15</v>
      </c>
      <c r="C3715" t="s">
        <v>941</v>
      </c>
      <c r="D3715" t="s">
        <v>17</v>
      </c>
      <c r="E3715" t="s">
        <v>18</v>
      </c>
      <c r="F3715" t="s">
        <v>19</v>
      </c>
      <c r="G3715" t="s">
        <v>20</v>
      </c>
      <c r="J3715" t="s">
        <v>17</v>
      </c>
      <c r="K3715" t="str">
        <f>"6925871621502"</f>
        <v>6925871621502</v>
      </c>
      <c r="L3715" t="str">
        <f>"22072150"</f>
        <v>22072150</v>
      </c>
      <c r="M3715" t="s">
        <v>84</v>
      </c>
      <c r="N3715" s="1">
        <v>43314.71875</v>
      </c>
      <c r="O3715" t="s">
        <v>19</v>
      </c>
    </row>
    <row r="3716" spans="1:15" x14ac:dyDescent="0.25">
      <c r="A3716" t="s">
        <v>3089</v>
      </c>
      <c r="B3716" t="s">
        <v>15</v>
      </c>
      <c r="C3716" t="s">
        <v>937</v>
      </c>
      <c r="D3716" t="s">
        <v>17</v>
      </c>
      <c r="E3716" t="s">
        <v>18</v>
      </c>
      <c r="F3716" t="s">
        <v>19</v>
      </c>
      <c r="G3716" t="s">
        <v>20</v>
      </c>
      <c r="J3716" t="s">
        <v>17</v>
      </c>
      <c r="K3716" t="str">
        <f>"22001551"</f>
        <v>22001551</v>
      </c>
      <c r="L3716" t="str">
        <f>"22001551"</f>
        <v>22001551</v>
      </c>
      <c r="M3716" t="s">
        <v>75</v>
      </c>
      <c r="N3716" s="1">
        <v>42872.839583333334</v>
      </c>
      <c r="O3716" t="s">
        <v>19</v>
      </c>
    </row>
    <row r="3717" spans="1:15" x14ac:dyDescent="0.25">
      <c r="A3717" t="s">
        <v>3090</v>
      </c>
      <c r="B3717" t="s">
        <v>15</v>
      </c>
      <c r="C3717" t="s">
        <v>937</v>
      </c>
      <c r="D3717" t="s">
        <v>17</v>
      </c>
      <c r="E3717" t="s">
        <v>18</v>
      </c>
      <c r="F3717" t="s">
        <v>19</v>
      </c>
      <c r="G3717" t="s">
        <v>20</v>
      </c>
      <c r="J3717" t="s">
        <v>17</v>
      </c>
      <c r="K3717" t="str">
        <f>"66000505"</f>
        <v>66000505</v>
      </c>
      <c r="L3717" t="str">
        <f>"66000505"</f>
        <v>66000505</v>
      </c>
      <c r="M3717" t="s">
        <v>75</v>
      </c>
      <c r="N3717" s="1">
        <v>42872.839583333334</v>
      </c>
      <c r="O3717" t="s">
        <v>19</v>
      </c>
    </row>
    <row r="3718" spans="1:15" x14ac:dyDescent="0.25">
      <c r="A3718" t="s">
        <v>3091</v>
      </c>
      <c r="B3718" t="s">
        <v>15</v>
      </c>
      <c r="C3718" t="s">
        <v>937</v>
      </c>
      <c r="D3718" t="s">
        <v>17</v>
      </c>
      <c r="E3718" t="s">
        <v>18</v>
      </c>
      <c r="F3718" t="s">
        <v>19</v>
      </c>
      <c r="G3718" t="s">
        <v>20</v>
      </c>
      <c r="J3718" t="s">
        <v>17</v>
      </c>
      <c r="K3718" t="str">
        <f>"66032200"</f>
        <v>66032200</v>
      </c>
      <c r="L3718" t="str">
        <f>"66032200"</f>
        <v>66032200</v>
      </c>
      <c r="M3718" t="s">
        <v>75</v>
      </c>
      <c r="N3718" s="1">
        <v>42872.847222222219</v>
      </c>
      <c r="O3718" t="s">
        <v>19</v>
      </c>
    </row>
    <row r="3719" spans="1:15" x14ac:dyDescent="0.25">
      <c r="A3719" t="s">
        <v>3092</v>
      </c>
      <c r="B3719" t="s">
        <v>15</v>
      </c>
      <c r="C3719" t="s">
        <v>937</v>
      </c>
      <c r="D3719" t="s">
        <v>17</v>
      </c>
      <c r="E3719" t="s">
        <v>18</v>
      </c>
      <c r="F3719" t="s">
        <v>19</v>
      </c>
      <c r="G3719" t="s">
        <v>20</v>
      </c>
      <c r="J3719" t="s">
        <v>17</v>
      </c>
      <c r="K3719" t="str">
        <f>"87000711"</f>
        <v>87000711</v>
      </c>
      <c r="L3719" t="str">
        <f>"87000711"</f>
        <v>87000711</v>
      </c>
      <c r="M3719" t="s">
        <v>75</v>
      </c>
      <c r="N3719" s="1">
        <v>42872.847222222219</v>
      </c>
      <c r="O3719" t="s">
        <v>19</v>
      </c>
    </row>
    <row r="3720" spans="1:15" x14ac:dyDescent="0.25">
      <c r="A3720" t="s">
        <v>3093</v>
      </c>
      <c r="B3720" t="s">
        <v>15</v>
      </c>
      <c r="C3720" t="s">
        <v>937</v>
      </c>
      <c r="D3720" t="s">
        <v>17</v>
      </c>
      <c r="E3720" t="s">
        <v>18</v>
      </c>
      <c r="F3720" t="s">
        <v>19</v>
      </c>
      <c r="G3720" t="s">
        <v>20</v>
      </c>
      <c r="J3720" t="s">
        <v>17</v>
      </c>
      <c r="K3720" t="str">
        <f>"10000709"</f>
        <v>10000709</v>
      </c>
      <c r="L3720" t="str">
        <f>"10000709"</f>
        <v>10000709</v>
      </c>
      <c r="M3720" t="s">
        <v>75</v>
      </c>
      <c r="N3720" s="1">
        <v>42872.839583333334</v>
      </c>
      <c r="O3720" t="s">
        <v>19</v>
      </c>
    </row>
    <row r="3721" spans="1:15" x14ac:dyDescent="0.25">
      <c r="A3721" t="s">
        <v>3094</v>
      </c>
      <c r="B3721" t="s">
        <v>15</v>
      </c>
      <c r="C3721" t="s">
        <v>937</v>
      </c>
      <c r="D3721" t="s">
        <v>17</v>
      </c>
      <c r="E3721" t="s">
        <v>18</v>
      </c>
      <c r="F3721" t="s">
        <v>19</v>
      </c>
      <c r="G3721" t="s">
        <v>20</v>
      </c>
      <c r="J3721" t="s">
        <v>17</v>
      </c>
      <c r="K3721" t="str">
        <f>"6925871615839"</f>
        <v>6925871615839</v>
      </c>
      <c r="L3721" t="str">
        <f>"22071583"</f>
        <v>22071583</v>
      </c>
      <c r="M3721" t="s">
        <v>75</v>
      </c>
      <c r="N3721" s="1">
        <v>43110.734722222223</v>
      </c>
      <c r="O3721" t="s">
        <v>19</v>
      </c>
    </row>
    <row r="3722" spans="1:15" x14ac:dyDescent="0.25">
      <c r="A3722" t="s">
        <v>3095</v>
      </c>
      <c r="B3722" t="s">
        <v>15</v>
      </c>
      <c r="C3722" t="s">
        <v>941</v>
      </c>
      <c r="D3722" t="s">
        <v>17</v>
      </c>
      <c r="E3722" t="s">
        <v>18</v>
      </c>
      <c r="F3722" t="s">
        <v>19</v>
      </c>
      <c r="G3722" t="s">
        <v>20</v>
      </c>
      <c r="J3722" t="s">
        <v>17</v>
      </c>
      <c r="K3722" t="str">
        <f>"6925871616393"</f>
        <v>6925871616393</v>
      </c>
      <c r="L3722" t="str">
        <f>"22071639"</f>
        <v>22071639</v>
      </c>
      <c r="M3722" t="s">
        <v>75</v>
      </c>
      <c r="N3722" s="1">
        <v>42941.647916666669</v>
      </c>
      <c r="O3722" t="s">
        <v>19</v>
      </c>
    </row>
    <row r="3723" spans="1:15" x14ac:dyDescent="0.25">
      <c r="A3723" t="s">
        <v>3096</v>
      </c>
      <c r="B3723" t="s">
        <v>15</v>
      </c>
      <c r="C3723" t="s">
        <v>937</v>
      </c>
      <c r="D3723" t="s">
        <v>17</v>
      </c>
      <c r="E3723" t="s">
        <v>18</v>
      </c>
      <c r="F3723" t="s">
        <v>19</v>
      </c>
      <c r="G3723" t="s">
        <v>20</v>
      </c>
      <c r="J3723" t="s">
        <v>17</v>
      </c>
      <c r="K3723" t="str">
        <f>"6925871616270"</f>
        <v>6925871616270</v>
      </c>
      <c r="L3723" t="str">
        <f>"22071627"</f>
        <v>22071627</v>
      </c>
      <c r="M3723" t="s">
        <v>75</v>
      </c>
      <c r="N3723" s="1">
        <v>43063.856249999997</v>
      </c>
      <c r="O3723" t="s">
        <v>19</v>
      </c>
    </row>
    <row r="3724" spans="1:15" x14ac:dyDescent="0.25">
      <c r="A3724" t="s">
        <v>3097</v>
      </c>
      <c r="B3724" t="s">
        <v>15</v>
      </c>
      <c r="C3724" t="s">
        <v>937</v>
      </c>
      <c r="D3724" t="s">
        <v>17</v>
      </c>
      <c r="E3724" t="s">
        <v>18</v>
      </c>
      <c r="F3724" t="s">
        <v>19</v>
      </c>
      <c r="G3724" t="s">
        <v>20</v>
      </c>
      <c r="J3724" t="s">
        <v>17</v>
      </c>
      <c r="K3724" t="str">
        <f>"6925871616355"</f>
        <v>6925871616355</v>
      </c>
      <c r="L3724" t="str">
        <f>"22071635"</f>
        <v>22071635</v>
      </c>
      <c r="M3724" t="s">
        <v>75</v>
      </c>
      <c r="N3724" s="1">
        <v>42941.65625</v>
      </c>
      <c r="O3724" t="s">
        <v>19</v>
      </c>
    </row>
    <row r="3725" spans="1:15" x14ac:dyDescent="0.25">
      <c r="A3725" t="s">
        <v>3098</v>
      </c>
      <c r="B3725" t="s">
        <v>15</v>
      </c>
      <c r="C3725" t="s">
        <v>937</v>
      </c>
      <c r="D3725" t="s">
        <v>17</v>
      </c>
      <c r="E3725" t="s">
        <v>18</v>
      </c>
      <c r="F3725" t="s">
        <v>19</v>
      </c>
      <c r="G3725" t="s">
        <v>20</v>
      </c>
      <c r="J3725" t="s">
        <v>17</v>
      </c>
      <c r="K3725" t="str">
        <f>"6925871618410"</f>
        <v>6925871618410</v>
      </c>
      <c r="L3725" t="str">
        <f>"22071841"</f>
        <v>22071841</v>
      </c>
      <c r="M3725" t="s">
        <v>84</v>
      </c>
      <c r="N3725" s="1">
        <v>43404.772916666669</v>
      </c>
      <c r="O3725" t="s">
        <v>19</v>
      </c>
    </row>
    <row r="3726" spans="1:15" x14ac:dyDescent="0.25">
      <c r="A3726" t="s">
        <v>3099</v>
      </c>
      <c r="B3726" t="s">
        <v>15</v>
      </c>
      <c r="C3726" t="s">
        <v>937</v>
      </c>
      <c r="D3726" t="s">
        <v>17</v>
      </c>
      <c r="E3726" t="s">
        <v>18</v>
      </c>
      <c r="F3726" t="s">
        <v>19</v>
      </c>
      <c r="G3726" t="s">
        <v>20</v>
      </c>
      <c r="J3726" t="s">
        <v>17</v>
      </c>
      <c r="K3726" t="str">
        <f>"6925871618748"</f>
        <v>6925871618748</v>
      </c>
      <c r="L3726" t="str">
        <f>"22071874"</f>
        <v>22071874</v>
      </c>
      <c r="M3726" t="s">
        <v>75</v>
      </c>
      <c r="N3726" s="1">
        <v>43125.84652777778</v>
      </c>
      <c r="O3726" t="s">
        <v>19</v>
      </c>
    </row>
    <row r="3727" spans="1:15" x14ac:dyDescent="0.25">
      <c r="A3727" t="s">
        <v>3100</v>
      </c>
      <c r="B3727" t="s">
        <v>15</v>
      </c>
      <c r="C3727" t="s">
        <v>941</v>
      </c>
      <c r="D3727" t="s">
        <v>17</v>
      </c>
      <c r="E3727" t="s">
        <v>18</v>
      </c>
      <c r="F3727" t="s">
        <v>19</v>
      </c>
      <c r="G3727" t="s">
        <v>20</v>
      </c>
      <c r="J3727" t="s">
        <v>17</v>
      </c>
      <c r="K3727" t="str">
        <f>"6925871624565"</f>
        <v>6925871624565</v>
      </c>
      <c r="L3727" t="str">
        <f>"22070456"</f>
        <v>22070456</v>
      </c>
      <c r="M3727" t="s">
        <v>75</v>
      </c>
      <c r="N3727" s="1">
        <v>43125.847916666666</v>
      </c>
      <c r="O3727" t="s">
        <v>19</v>
      </c>
    </row>
    <row r="3728" spans="1:15" x14ac:dyDescent="0.25">
      <c r="A3728" t="s">
        <v>3101</v>
      </c>
      <c r="B3728" t="s">
        <v>15</v>
      </c>
      <c r="C3728" t="s">
        <v>937</v>
      </c>
      <c r="D3728" t="s">
        <v>17</v>
      </c>
      <c r="E3728" t="s">
        <v>18</v>
      </c>
      <c r="F3728" t="s">
        <v>19</v>
      </c>
      <c r="G3728" t="s">
        <v>20</v>
      </c>
      <c r="J3728" t="s">
        <v>17</v>
      </c>
      <c r="K3728" t="str">
        <f>"873701105"</f>
        <v>873701105</v>
      </c>
      <c r="L3728" t="str">
        <f>"873701105"</f>
        <v>873701105</v>
      </c>
      <c r="M3728" t="s">
        <v>75</v>
      </c>
      <c r="N3728" s="1">
        <v>42872.849305555559</v>
      </c>
      <c r="O3728" t="s">
        <v>19</v>
      </c>
    </row>
    <row r="3729" spans="1:15" x14ac:dyDescent="0.25">
      <c r="A3729" t="s">
        <v>3102</v>
      </c>
      <c r="B3729" t="s">
        <v>15</v>
      </c>
      <c r="C3729" t="s">
        <v>937</v>
      </c>
      <c r="D3729" t="s">
        <v>17</v>
      </c>
      <c r="E3729" t="s">
        <v>18</v>
      </c>
      <c r="F3729" t="s">
        <v>19</v>
      </c>
      <c r="G3729" t="s">
        <v>20</v>
      </c>
      <c r="J3729" t="s">
        <v>17</v>
      </c>
      <c r="K3729" t="str">
        <f>"42102470"</f>
        <v>42102470</v>
      </c>
      <c r="L3729" t="str">
        <f>"42102470"</f>
        <v>42102470</v>
      </c>
      <c r="M3729" t="s">
        <v>75</v>
      </c>
      <c r="N3729" s="1">
        <v>42872.839583333334</v>
      </c>
      <c r="O3729" t="s">
        <v>19</v>
      </c>
    </row>
    <row r="3730" spans="1:15" x14ac:dyDescent="0.25">
      <c r="A3730" t="s">
        <v>3103</v>
      </c>
      <c r="B3730" t="s">
        <v>15</v>
      </c>
      <c r="C3730" t="s">
        <v>937</v>
      </c>
      <c r="D3730" t="s">
        <v>17</v>
      </c>
      <c r="E3730" t="s">
        <v>18</v>
      </c>
      <c r="F3730" t="s">
        <v>19</v>
      </c>
      <c r="G3730" t="s">
        <v>20</v>
      </c>
      <c r="J3730" t="s">
        <v>17</v>
      </c>
      <c r="K3730" t="str">
        <f>"94002159"</f>
        <v>94002159</v>
      </c>
      <c r="L3730" t="str">
        <f>"94002159"</f>
        <v>94002159</v>
      </c>
      <c r="M3730" t="s">
        <v>75</v>
      </c>
      <c r="N3730" s="1">
        <v>42872.847222222219</v>
      </c>
      <c r="O3730" t="s">
        <v>19</v>
      </c>
    </row>
    <row r="3731" spans="1:15" x14ac:dyDescent="0.25">
      <c r="A3731" t="s">
        <v>3104</v>
      </c>
      <c r="B3731" t="s">
        <v>15</v>
      </c>
      <c r="C3731" t="s">
        <v>937</v>
      </c>
      <c r="D3731" t="s">
        <v>17</v>
      </c>
      <c r="E3731" t="s">
        <v>18</v>
      </c>
      <c r="F3731" t="s">
        <v>19</v>
      </c>
      <c r="G3731" t="s">
        <v>20</v>
      </c>
      <c r="J3731" t="s">
        <v>17</v>
      </c>
      <c r="K3731" t="str">
        <f>"6925871619325"</f>
        <v>6925871619325</v>
      </c>
      <c r="L3731" t="str">
        <f>"22071932"</f>
        <v>22071932</v>
      </c>
      <c r="M3731" t="s">
        <v>84</v>
      </c>
      <c r="N3731" s="1">
        <v>43404.773611111108</v>
      </c>
      <c r="O3731" t="s">
        <v>19</v>
      </c>
    </row>
    <row r="3732" spans="1:15" x14ac:dyDescent="0.25">
      <c r="A3732" t="s">
        <v>3105</v>
      </c>
      <c r="B3732" t="s">
        <v>15</v>
      </c>
      <c r="C3732" t="s">
        <v>937</v>
      </c>
      <c r="D3732" t="s">
        <v>17</v>
      </c>
      <c r="E3732" t="s">
        <v>18</v>
      </c>
      <c r="F3732" t="s">
        <v>19</v>
      </c>
      <c r="G3732" t="s">
        <v>20</v>
      </c>
      <c r="J3732" t="s">
        <v>17</v>
      </c>
      <c r="K3732" t="str">
        <f>"65370056"</f>
        <v>65370056</v>
      </c>
      <c r="L3732" t="str">
        <f>"65370056"</f>
        <v>65370056</v>
      </c>
      <c r="M3732" t="s">
        <v>75</v>
      </c>
      <c r="N3732" s="1">
        <v>43029.705555555556</v>
      </c>
      <c r="O3732" t="s">
        <v>19</v>
      </c>
    </row>
    <row r="3733" spans="1:15" x14ac:dyDescent="0.25">
      <c r="A3733" t="s">
        <v>3106</v>
      </c>
      <c r="B3733" t="s">
        <v>15</v>
      </c>
      <c r="C3733" t="s">
        <v>937</v>
      </c>
      <c r="D3733" t="s">
        <v>17</v>
      </c>
      <c r="E3733" t="s">
        <v>18</v>
      </c>
      <c r="F3733" t="s">
        <v>19</v>
      </c>
      <c r="G3733" t="s">
        <v>20</v>
      </c>
      <c r="J3733" t="s">
        <v>17</v>
      </c>
      <c r="K3733" t="str">
        <f>"66000180"</f>
        <v>66000180</v>
      </c>
      <c r="L3733" t="str">
        <f>"66000180"</f>
        <v>66000180</v>
      </c>
      <c r="M3733" t="s">
        <v>75</v>
      </c>
      <c r="N3733" s="1">
        <v>42872.839583333334</v>
      </c>
      <c r="O3733" t="s">
        <v>19</v>
      </c>
    </row>
    <row r="3734" spans="1:15" x14ac:dyDescent="0.25">
      <c r="A3734" t="s">
        <v>3107</v>
      </c>
      <c r="B3734" t="s">
        <v>15</v>
      </c>
      <c r="C3734" t="s">
        <v>937</v>
      </c>
      <c r="D3734" t="s">
        <v>17</v>
      </c>
      <c r="E3734" t="s">
        <v>18</v>
      </c>
      <c r="F3734" t="s">
        <v>19</v>
      </c>
      <c r="G3734" t="s">
        <v>20</v>
      </c>
      <c r="J3734" t="s">
        <v>17</v>
      </c>
      <c r="K3734" t="str">
        <f>"66000441"</f>
        <v>66000441</v>
      </c>
      <c r="L3734" t="str">
        <f>"66000441"</f>
        <v>66000441</v>
      </c>
      <c r="M3734" t="s">
        <v>75</v>
      </c>
      <c r="N3734" s="1">
        <v>42872.839583333334</v>
      </c>
      <c r="O3734" t="s">
        <v>19</v>
      </c>
    </row>
    <row r="3735" spans="1:15" x14ac:dyDescent="0.25">
      <c r="A3735" t="s">
        <v>3108</v>
      </c>
      <c r="B3735" t="s">
        <v>15</v>
      </c>
      <c r="C3735" t="s">
        <v>937</v>
      </c>
      <c r="D3735" t="s">
        <v>17</v>
      </c>
      <c r="E3735" t="s">
        <v>18</v>
      </c>
      <c r="F3735" t="s">
        <v>19</v>
      </c>
      <c r="G3735" t="s">
        <v>20</v>
      </c>
      <c r="J3735" t="s">
        <v>17</v>
      </c>
      <c r="K3735" t="str">
        <f>"76370002"</f>
        <v>76370002</v>
      </c>
      <c r="L3735" t="str">
        <f>"76370002"</f>
        <v>76370002</v>
      </c>
      <c r="M3735" t="s">
        <v>21</v>
      </c>
      <c r="N3735" s="1">
        <v>43665.692361111112</v>
      </c>
      <c r="O3735" t="s">
        <v>19</v>
      </c>
    </row>
    <row r="3736" spans="1:15" x14ac:dyDescent="0.25">
      <c r="A3736" t="s">
        <v>3109</v>
      </c>
      <c r="B3736" t="s">
        <v>15</v>
      </c>
      <c r="C3736" t="s">
        <v>937</v>
      </c>
      <c r="D3736" t="s">
        <v>17</v>
      </c>
      <c r="E3736" t="s">
        <v>18</v>
      </c>
      <c r="F3736" t="s">
        <v>19</v>
      </c>
      <c r="G3736" t="s">
        <v>20</v>
      </c>
      <c r="J3736" t="s">
        <v>17</v>
      </c>
      <c r="K3736" t="str">
        <f>"76370008"</f>
        <v>76370008</v>
      </c>
      <c r="L3736" t="str">
        <f>"76370008"</f>
        <v>76370008</v>
      </c>
      <c r="M3736" t="s">
        <v>21</v>
      </c>
      <c r="N3736" s="1">
        <v>43665.690972222219</v>
      </c>
      <c r="O3736" t="s">
        <v>19</v>
      </c>
    </row>
    <row r="3737" spans="1:15" x14ac:dyDescent="0.25">
      <c r="A3737" t="s">
        <v>3110</v>
      </c>
      <c r="B3737" t="s">
        <v>15</v>
      </c>
      <c r="C3737" t="s">
        <v>64</v>
      </c>
      <c r="D3737" t="s">
        <v>17</v>
      </c>
      <c r="E3737" t="s">
        <v>18</v>
      </c>
      <c r="F3737" t="s">
        <v>19</v>
      </c>
      <c r="G3737" t="s">
        <v>20</v>
      </c>
      <c r="J3737" t="s">
        <v>17</v>
      </c>
      <c r="K3737" t="str">
        <f>"40370015"</f>
        <v>40370015</v>
      </c>
      <c r="L3737" t="str">
        <f>"40370015"</f>
        <v>40370015</v>
      </c>
      <c r="M3737" t="s">
        <v>21</v>
      </c>
      <c r="N3737" s="1">
        <v>42894.744444444441</v>
      </c>
      <c r="O3737" t="s">
        <v>19</v>
      </c>
    </row>
    <row r="3738" spans="1:15" x14ac:dyDescent="0.25">
      <c r="A3738" t="s">
        <v>3111</v>
      </c>
      <c r="B3738" t="s">
        <v>15</v>
      </c>
      <c r="C3738" t="s">
        <v>937</v>
      </c>
      <c r="D3738" t="s">
        <v>17</v>
      </c>
      <c r="E3738" t="s">
        <v>18</v>
      </c>
      <c r="F3738" t="s">
        <v>19</v>
      </c>
      <c r="G3738" t="s">
        <v>20</v>
      </c>
      <c r="J3738" t="s">
        <v>17</v>
      </c>
      <c r="K3738" t="str">
        <f>"87271257"</f>
        <v>87271257</v>
      </c>
      <c r="L3738" t="str">
        <f>"87271257"</f>
        <v>87271257</v>
      </c>
      <c r="M3738" t="s">
        <v>75</v>
      </c>
      <c r="N3738" s="1">
        <v>42872.847222222219</v>
      </c>
      <c r="O3738" t="s">
        <v>19</v>
      </c>
    </row>
    <row r="3739" spans="1:15" x14ac:dyDescent="0.25">
      <c r="A3739" t="s">
        <v>3112</v>
      </c>
      <c r="B3739" t="s">
        <v>15</v>
      </c>
      <c r="C3739" t="s">
        <v>937</v>
      </c>
      <c r="D3739" t="s">
        <v>17</v>
      </c>
      <c r="E3739" t="s">
        <v>18</v>
      </c>
      <c r="F3739" t="s">
        <v>19</v>
      </c>
      <c r="G3739" t="s">
        <v>20</v>
      </c>
      <c r="J3739" t="s">
        <v>17</v>
      </c>
      <c r="K3739" t="str">
        <f>"6972431710619"</f>
        <v>6972431710619</v>
      </c>
      <c r="L3739" t="str">
        <f>"98146000"</f>
        <v>98146000</v>
      </c>
      <c r="M3739" t="s">
        <v>21</v>
      </c>
      <c r="N3739" s="1">
        <v>44321.853472222225</v>
      </c>
      <c r="O3739" t="s">
        <v>19</v>
      </c>
    </row>
    <row r="3740" spans="1:15" x14ac:dyDescent="0.25">
      <c r="A3740" t="s">
        <v>3113</v>
      </c>
      <c r="B3740" t="s">
        <v>15</v>
      </c>
      <c r="C3740" t="s">
        <v>937</v>
      </c>
      <c r="D3740" t="s">
        <v>17</v>
      </c>
      <c r="E3740" t="s">
        <v>18</v>
      </c>
      <c r="F3740" t="s">
        <v>19</v>
      </c>
      <c r="G3740" t="s">
        <v>20</v>
      </c>
      <c r="J3740" t="s">
        <v>17</v>
      </c>
      <c r="K3740" t="str">
        <f>"7796941037757"</f>
        <v>7796941037757</v>
      </c>
      <c r="L3740" t="str">
        <f>"42140200"</f>
        <v>42140200</v>
      </c>
      <c r="M3740" t="s">
        <v>75</v>
      </c>
      <c r="N3740" s="1">
        <v>42889.696527777778</v>
      </c>
      <c r="O3740" t="s">
        <v>19</v>
      </c>
    </row>
    <row r="3741" spans="1:15" x14ac:dyDescent="0.25">
      <c r="A3741" t="s">
        <v>3114</v>
      </c>
      <c r="B3741" t="s">
        <v>15</v>
      </c>
      <c r="C3741" t="s">
        <v>937</v>
      </c>
      <c r="D3741" t="s">
        <v>17</v>
      </c>
      <c r="E3741" t="s">
        <v>18</v>
      </c>
      <c r="F3741" t="s">
        <v>19</v>
      </c>
      <c r="G3741" t="s">
        <v>20</v>
      </c>
      <c r="J3741" t="s">
        <v>17</v>
      </c>
      <c r="K3741" t="str">
        <f>"10073421"</f>
        <v>10073421</v>
      </c>
      <c r="L3741" t="str">
        <f>"10073421"</f>
        <v>10073421</v>
      </c>
      <c r="M3741" t="s">
        <v>75</v>
      </c>
      <c r="N3741" s="1">
        <v>42924.695138888892</v>
      </c>
      <c r="O3741" t="s">
        <v>19</v>
      </c>
    </row>
    <row r="3742" spans="1:15" x14ac:dyDescent="0.25">
      <c r="A3742" t="s">
        <v>3115</v>
      </c>
      <c r="B3742" t="s">
        <v>15</v>
      </c>
      <c r="C3742" t="s">
        <v>937</v>
      </c>
      <c r="D3742" t="s">
        <v>17</v>
      </c>
      <c r="E3742" t="s">
        <v>18</v>
      </c>
      <c r="F3742" t="s">
        <v>19</v>
      </c>
      <c r="G3742" t="s">
        <v>20</v>
      </c>
      <c r="J3742" t="s">
        <v>17</v>
      </c>
      <c r="K3742" t="str">
        <f>"10072375"</f>
        <v>10072375</v>
      </c>
      <c r="L3742" t="str">
        <f>"10072375"</f>
        <v>10072375</v>
      </c>
      <c r="M3742" t="s">
        <v>75</v>
      </c>
      <c r="N3742" s="1">
        <v>42924.692361111112</v>
      </c>
      <c r="O3742" t="s">
        <v>19</v>
      </c>
    </row>
    <row r="3743" spans="1:15" x14ac:dyDescent="0.25">
      <c r="A3743" t="s">
        <v>3116</v>
      </c>
      <c r="B3743" t="s">
        <v>15</v>
      </c>
      <c r="C3743" t="s">
        <v>937</v>
      </c>
      <c r="D3743" t="s">
        <v>17</v>
      </c>
      <c r="E3743" t="s">
        <v>18</v>
      </c>
      <c r="F3743" t="s">
        <v>19</v>
      </c>
      <c r="G3743" t="s">
        <v>20</v>
      </c>
      <c r="J3743" t="s">
        <v>17</v>
      </c>
      <c r="K3743" t="str">
        <f>"10070698"</f>
        <v>10070698</v>
      </c>
      <c r="L3743" t="str">
        <f>"10070698"</f>
        <v>10070698</v>
      </c>
      <c r="M3743" t="s">
        <v>75</v>
      </c>
      <c r="N3743" s="1">
        <v>42924.693749999999</v>
      </c>
      <c r="O3743" t="s">
        <v>19</v>
      </c>
    </row>
    <row r="3744" spans="1:15" x14ac:dyDescent="0.25">
      <c r="A3744" t="s">
        <v>3117</v>
      </c>
      <c r="B3744" t="s">
        <v>15</v>
      </c>
      <c r="C3744" t="s">
        <v>937</v>
      </c>
      <c r="D3744" t="s">
        <v>17</v>
      </c>
      <c r="E3744" t="s">
        <v>18</v>
      </c>
      <c r="F3744" t="s">
        <v>19</v>
      </c>
      <c r="G3744" t="s">
        <v>20</v>
      </c>
      <c r="J3744" t="s">
        <v>17</v>
      </c>
      <c r="K3744" t="str">
        <f>"42141436"</f>
        <v>42141436</v>
      </c>
      <c r="L3744" t="str">
        <f>"42141436"</f>
        <v>42141436</v>
      </c>
      <c r="M3744" t="s">
        <v>75</v>
      </c>
      <c r="N3744" s="1">
        <v>42872.839583333334</v>
      </c>
      <c r="O3744" t="s">
        <v>19</v>
      </c>
    </row>
    <row r="3745" spans="1:15" x14ac:dyDescent="0.25">
      <c r="A3745" t="s">
        <v>3118</v>
      </c>
      <c r="B3745" t="s">
        <v>15</v>
      </c>
      <c r="C3745" t="s">
        <v>937</v>
      </c>
      <c r="D3745" t="s">
        <v>17</v>
      </c>
      <c r="E3745" t="s">
        <v>18</v>
      </c>
      <c r="F3745" t="s">
        <v>19</v>
      </c>
      <c r="G3745" t="s">
        <v>20</v>
      </c>
      <c r="J3745" t="s">
        <v>17</v>
      </c>
      <c r="K3745" t="str">
        <f>"10110000"</f>
        <v>10110000</v>
      </c>
      <c r="L3745" t="str">
        <f>"10110000"</f>
        <v>10110000</v>
      </c>
      <c r="M3745" t="s">
        <v>21</v>
      </c>
      <c r="N3745" s="1">
        <v>43917.807638888888</v>
      </c>
      <c r="O3745" t="s">
        <v>19</v>
      </c>
    </row>
    <row r="3746" spans="1:15" x14ac:dyDescent="0.25">
      <c r="A3746" t="s">
        <v>3119</v>
      </c>
      <c r="B3746" t="s">
        <v>15</v>
      </c>
      <c r="C3746" t="s">
        <v>937</v>
      </c>
      <c r="D3746" t="s">
        <v>17</v>
      </c>
      <c r="E3746" t="s">
        <v>18</v>
      </c>
      <c r="F3746" t="s">
        <v>19</v>
      </c>
      <c r="G3746" t="s">
        <v>20</v>
      </c>
      <c r="J3746" t="s">
        <v>17</v>
      </c>
      <c r="K3746" t="str">
        <f>"66000464"</f>
        <v>66000464</v>
      </c>
      <c r="L3746" t="str">
        <f>"66000464"</f>
        <v>66000464</v>
      </c>
      <c r="M3746" t="s">
        <v>75</v>
      </c>
      <c r="N3746" s="1">
        <v>42872.839583333334</v>
      </c>
      <c r="O3746" t="s">
        <v>19</v>
      </c>
    </row>
    <row r="3747" spans="1:15" x14ac:dyDescent="0.25">
      <c r="A3747" t="s">
        <v>3119</v>
      </c>
      <c r="B3747" t="s">
        <v>15</v>
      </c>
      <c r="C3747" t="s">
        <v>937</v>
      </c>
      <c r="D3747" t="s">
        <v>17</v>
      </c>
      <c r="E3747" t="s">
        <v>18</v>
      </c>
      <c r="F3747" t="s">
        <v>19</v>
      </c>
      <c r="G3747" t="s">
        <v>20</v>
      </c>
      <c r="J3747" t="s">
        <v>17</v>
      </c>
      <c r="K3747" t="str">
        <f>"87271791"</f>
        <v>87271791</v>
      </c>
      <c r="L3747" t="str">
        <f>"87271791"</f>
        <v>87271791</v>
      </c>
      <c r="M3747" t="s">
        <v>75</v>
      </c>
      <c r="N3747" s="1">
        <v>42872.847222222219</v>
      </c>
      <c r="O3747" t="s">
        <v>19</v>
      </c>
    </row>
    <row r="3748" spans="1:15" x14ac:dyDescent="0.25">
      <c r="A3748" t="s">
        <v>3120</v>
      </c>
      <c r="B3748" t="s">
        <v>15</v>
      </c>
      <c r="C3748" t="s">
        <v>937</v>
      </c>
      <c r="D3748" t="s">
        <v>17</v>
      </c>
      <c r="E3748" t="s">
        <v>18</v>
      </c>
      <c r="F3748" t="s">
        <v>19</v>
      </c>
      <c r="G3748" t="s">
        <v>20</v>
      </c>
      <c r="J3748" t="s">
        <v>17</v>
      </c>
      <c r="K3748" t="str">
        <f>"66000466"</f>
        <v>66000466</v>
      </c>
      <c r="L3748" t="str">
        <f>"66000466"</f>
        <v>66000466</v>
      </c>
      <c r="M3748" t="s">
        <v>75</v>
      </c>
      <c r="N3748" s="1">
        <v>42872.839583333334</v>
      </c>
      <c r="O3748" t="s">
        <v>19</v>
      </c>
    </row>
    <row r="3749" spans="1:15" x14ac:dyDescent="0.25">
      <c r="A3749" t="s">
        <v>3121</v>
      </c>
      <c r="B3749" t="s">
        <v>15</v>
      </c>
      <c r="C3749" t="s">
        <v>937</v>
      </c>
      <c r="D3749" t="s">
        <v>17</v>
      </c>
      <c r="E3749" t="s">
        <v>18</v>
      </c>
      <c r="F3749" t="s">
        <v>19</v>
      </c>
      <c r="G3749" t="s">
        <v>20</v>
      </c>
      <c r="J3749" t="s">
        <v>17</v>
      </c>
      <c r="K3749" t="str">
        <f>"87271790"</f>
        <v>87271790</v>
      </c>
      <c r="L3749" t="str">
        <f>"87271790"</f>
        <v>87271790</v>
      </c>
      <c r="M3749" t="s">
        <v>75</v>
      </c>
      <c r="N3749" s="1">
        <v>42872.847222222219</v>
      </c>
      <c r="O3749" t="s">
        <v>19</v>
      </c>
    </row>
    <row r="3750" spans="1:15" x14ac:dyDescent="0.25">
      <c r="A3750" t="s">
        <v>3122</v>
      </c>
      <c r="B3750" t="s">
        <v>15</v>
      </c>
      <c r="C3750" t="s">
        <v>937</v>
      </c>
      <c r="D3750" t="s">
        <v>17</v>
      </c>
      <c r="E3750" t="s">
        <v>18</v>
      </c>
      <c r="F3750" t="s">
        <v>19</v>
      </c>
      <c r="G3750" t="s">
        <v>20</v>
      </c>
      <c r="J3750" t="s">
        <v>17</v>
      </c>
      <c r="K3750" t="str">
        <f>"9651236735238"</f>
        <v>9651236735238</v>
      </c>
      <c r="L3750" t="str">
        <f>"32PRXP295N"</f>
        <v>32PRXP295N</v>
      </c>
      <c r="M3750" t="s">
        <v>21</v>
      </c>
      <c r="N3750" s="1">
        <v>43805.72152777778</v>
      </c>
      <c r="O3750" t="s">
        <v>19</v>
      </c>
    </row>
    <row r="3751" spans="1:15" x14ac:dyDescent="0.25">
      <c r="A3751" t="s">
        <v>3123</v>
      </c>
      <c r="B3751" t="s">
        <v>15</v>
      </c>
      <c r="C3751" t="s">
        <v>937</v>
      </c>
      <c r="D3751" t="s">
        <v>17</v>
      </c>
      <c r="E3751" t="s">
        <v>18</v>
      </c>
      <c r="F3751" t="s">
        <v>19</v>
      </c>
      <c r="G3751" t="s">
        <v>20</v>
      </c>
      <c r="J3751" t="s">
        <v>17</v>
      </c>
      <c r="K3751" t="str">
        <f>"9651236735269"</f>
        <v>9651236735269</v>
      </c>
      <c r="L3751" t="str">
        <f>"32PRXP295P"</f>
        <v>32PRXP295P</v>
      </c>
      <c r="M3751" t="s">
        <v>21</v>
      </c>
      <c r="N3751" s="1">
        <v>43805.722916666666</v>
      </c>
      <c r="O3751" t="s">
        <v>19</v>
      </c>
    </row>
    <row r="3752" spans="1:15" x14ac:dyDescent="0.25">
      <c r="A3752" t="s">
        <v>3124</v>
      </c>
      <c r="B3752" t="s">
        <v>15</v>
      </c>
      <c r="C3752" t="s">
        <v>937</v>
      </c>
      <c r="D3752" t="s">
        <v>17</v>
      </c>
      <c r="E3752" t="s">
        <v>18</v>
      </c>
      <c r="F3752" t="s">
        <v>19</v>
      </c>
      <c r="G3752" t="s">
        <v>20</v>
      </c>
      <c r="J3752" t="s">
        <v>17</v>
      </c>
      <c r="K3752" t="str">
        <f>"9651236735245"</f>
        <v>9651236735245</v>
      </c>
      <c r="L3752" t="str">
        <f>"32PRXP295R"</f>
        <v>32PRXP295R</v>
      </c>
      <c r="M3752" t="s">
        <v>21</v>
      </c>
      <c r="N3752" s="1">
        <v>43805.722916666666</v>
      </c>
      <c r="O3752" t="s">
        <v>19</v>
      </c>
    </row>
    <row r="3753" spans="1:15" x14ac:dyDescent="0.25">
      <c r="A3753" t="s">
        <v>3125</v>
      </c>
      <c r="B3753" t="s">
        <v>15</v>
      </c>
      <c r="C3753" t="s">
        <v>937</v>
      </c>
      <c r="D3753" t="s">
        <v>17</v>
      </c>
      <c r="E3753" t="s">
        <v>18</v>
      </c>
      <c r="F3753" t="s">
        <v>19</v>
      </c>
      <c r="G3753" t="s">
        <v>20</v>
      </c>
      <c r="J3753" t="s">
        <v>17</v>
      </c>
      <c r="K3753" t="str">
        <f>"91511644"</f>
        <v>91511644</v>
      </c>
      <c r="L3753" t="str">
        <f>"91511644"</f>
        <v>91511644</v>
      </c>
      <c r="M3753" t="s">
        <v>75</v>
      </c>
      <c r="N3753" s="1">
        <v>42872.847222222219</v>
      </c>
      <c r="O3753" t="s">
        <v>19</v>
      </c>
    </row>
    <row r="3754" spans="1:15" x14ac:dyDescent="0.25">
      <c r="A3754" t="s">
        <v>3126</v>
      </c>
      <c r="B3754" t="s">
        <v>15</v>
      </c>
      <c r="C3754" t="s">
        <v>937</v>
      </c>
      <c r="D3754" t="s">
        <v>17</v>
      </c>
      <c r="E3754" t="s">
        <v>18</v>
      </c>
      <c r="F3754" t="s">
        <v>19</v>
      </c>
      <c r="G3754" t="s">
        <v>20</v>
      </c>
      <c r="J3754" t="s">
        <v>17</v>
      </c>
      <c r="K3754" t="str">
        <f>"91511908"</f>
        <v>91511908</v>
      </c>
      <c r="L3754" t="str">
        <f>"91511908"</f>
        <v>91511908</v>
      </c>
      <c r="M3754" t="s">
        <v>75</v>
      </c>
      <c r="N3754" s="1">
        <v>42872.847222222219</v>
      </c>
      <c r="O3754" t="s">
        <v>19</v>
      </c>
    </row>
    <row r="3755" spans="1:15" x14ac:dyDescent="0.25">
      <c r="A3755" t="s">
        <v>3127</v>
      </c>
      <c r="B3755" t="s">
        <v>15</v>
      </c>
      <c r="C3755" t="s">
        <v>937</v>
      </c>
      <c r="D3755" t="s">
        <v>17</v>
      </c>
      <c r="E3755" t="s">
        <v>18</v>
      </c>
      <c r="F3755" t="s">
        <v>19</v>
      </c>
      <c r="G3755" t="s">
        <v>20</v>
      </c>
      <c r="J3755" t="s">
        <v>17</v>
      </c>
      <c r="K3755" t="str">
        <f>"10073196"</f>
        <v>10073196</v>
      </c>
      <c r="L3755" t="str">
        <f>"10073196"</f>
        <v>10073196</v>
      </c>
      <c r="M3755" t="s">
        <v>75</v>
      </c>
      <c r="N3755" s="1">
        <v>42924.7</v>
      </c>
      <c r="O3755" t="s">
        <v>19</v>
      </c>
    </row>
    <row r="3756" spans="1:15" x14ac:dyDescent="0.25">
      <c r="A3756" t="s">
        <v>3128</v>
      </c>
      <c r="B3756" t="s">
        <v>15</v>
      </c>
      <c r="C3756" t="s">
        <v>937</v>
      </c>
      <c r="D3756" t="s">
        <v>17</v>
      </c>
      <c r="E3756" t="s">
        <v>18</v>
      </c>
      <c r="F3756" t="s">
        <v>19</v>
      </c>
      <c r="G3756" t="s">
        <v>20</v>
      </c>
      <c r="J3756" t="s">
        <v>17</v>
      </c>
      <c r="K3756" t="str">
        <f>"10072670"</f>
        <v>10072670</v>
      </c>
      <c r="L3756" t="str">
        <f>"10072670"</f>
        <v>10072670</v>
      </c>
      <c r="M3756" t="s">
        <v>75</v>
      </c>
      <c r="N3756" s="1">
        <v>42924.650694444441</v>
      </c>
      <c r="O3756" t="s">
        <v>19</v>
      </c>
    </row>
    <row r="3757" spans="1:15" x14ac:dyDescent="0.25">
      <c r="A3757" t="s">
        <v>3129</v>
      </c>
      <c r="B3757" t="s">
        <v>15</v>
      </c>
      <c r="C3757" t="s">
        <v>937</v>
      </c>
      <c r="D3757" t="s">
        <v>17</v>
      </c>
      <c r="E3757" t="s">
        <v>18</v>
      </c>
      <c r="F3757" t="s">
        <v>19</v>
      </c>
      <c r="G3757" t="s">
        <v>20</v>
      </c>
      <c r="J3757" t="s">
        <v>17</v>
      </c>
      <c r="K3757" t="str">
        <f>"7808748508184"</f>
        <v>7808748508184</v>
      </c>
      <c r="L3757" t="str">
        <f>"98070002"</f>
        <v>98070002</v>
      </c>
      <c r="M3757" t="s">
        <v>21</v>
      </c>
      <c r="N3757" s="1">
        <v>43686.710416666669</v>
      </c>
      <c r="O3757" t="s">
        <v>19</v>
      </c>
    </row>
    <row r="3758" spans="1:15" x14ac:dyDescent="0.25">
      <c r="A3758" t="s">
        <v>3130</v>
      </c>
      <c r="B3758" t="s">
        <v>15</v>
      </c>
      <c r="C3758" t="s">
        <v>937</v>
      </c>
      <c r="D3758" t="s">
        <v>17</v>
      </c>
      <c r="E3758" t="s">
        <v>18</v>
      </c>
      <c r="F3758" t="s">
        <v>19</v>
      </c>
      <c r="G3758" t="s">
        <v>20</v>
      </c>
      <c r="J3758" t="s">
        <v>17</v>
      </c>
      <c r="K3758" t="str">
        <f>"173717156"</f>
        <v>173717156</v>
      </c>
      <c r="L3758" t="str">
        <f>"173717156"</f>
        <v>173717156</v>
      </c>
      <c r="M3758" t="s">
        <v>75</v>
      </c>
      <c r="N3758" s="1">
        <v>42872.849305555559</v>
      </c>
      <c r="O3758" t="s">
        <v>19</v>
      </c>
    </row>
    <row r="3759" spans="1:15" x14ac:dyDescent="0.25">
      <c r="A3759" t="s">
        <v>3131</v>
      </c>
      <c r="B3759" t="s">
        <v>15</v>
      </c>
      <c r="C3759" t="s">
        <v>937</v>
      </c>
      <c r="D3759" t="s">
        <v>17</v>
      </c>
      <c r="E3759" t="s">
        <v>18</v>
      </c>
      <c r="F3759" t="s">
        <v>19</v>
      </c>
      <c r="G3759" t="s">
        <v>20</v>
      </c>
      <c r="J3759" t="s">
        <v>17</v>
      </c>
      <c r="K3759" t="str">
        <f>"42140400"</f>
        <v>42140400</v>
      </c>
      <c r="L3759" t="str">
        <f>"42140400"</f>
        <v>42140400</v>
      </c>
      <c r="M3759" t="s">
        <v>75</v>
      </c>
      <c r="N3759" s="1">
        <v>42872.839583333334</v>
      </c>
      <c r="O3759" t="s">
        <v>19</v>
      </c>
    </row>
    <row r="3760" spans="1:15" x14ac:dyDescent="0.25">
      <c r="A3760" t="s">
        <v>3132</v>
      </c>
      <c r="B3760" t="s">
        <v>15</v>
      </c>
      <c r="C3760" t="s">
        <v>937</v>
      </c>
      <c r="D3760" t="s">
        <v>17</v>
      </c>
      <c r="E3760" t="s">
        <v>18</v>
      </c>
      <c r="F3760" t="s">
        <v>19</v>
      </c>
      <c r="G3760" t="s">
        <v>20</v>
      </c>
      <c r="J3760" t="s">
        <v>17</v>
      </c>
      <c r="K3760" t="str">
        <f>"873701126"</f>
        <v>873701126</v>
      </c>
      <c r="L3760" t="str">
        <f>"873701126"</f>
        <v>873701126</v>
      </c>
      <c r="M3760" t="s">
        <v>75</v>
      </c>
      <c r="N3760" s="1">
        <v>42872.849305555559</v>
      </c>
      <c r="O3760" t="s">
        <v>19</v>
      </c>
    </row>
    <row r="3761" spans="1:15" x14ac:dyDescent="0.25">
      <c r="A3761" t="s">
        <v>3133</v>
      </c>
      <c r="B3761" t="s">
        <v>15</v>
      </c>
      <c r="C3761" t="s">
        <v>937</v>
      </c>
      <c r="D3761" t="s">
        <v>17</v>
      </c>
      <c r="E3761" t="s">
        <v>18</v>
      </c>
      <c r="F3761" t="s">
        <v>19</v>
      </c>
      <c r="G3761" t="s">
        <v>20</v>
      </c>
      <c r="J3761" t="s">
        <v>17</v>
      </c>
      <c r="K3761" t="str">
        <f>"4710268251101"</f>
        <v>4710268251101</v>
      </c>
      <c r="L3761" t="str">
        <f>"98070160"</f>
        <v>98070160</v>
      </c>
      <c r="M3761" t="s">
        <v>84</v>
      </c>
      <c r="N3761" s="1">
        <v>43279.948611111111</v>
      </c>
      <c r="O3761" t="s">
        <v>19</v>
      </c>
    </row>
    <row r="3762" spans="1:15" x14ac:dyDescent="0.25">
      <c r="A3762" t="s">
        <v>3134</v>
      </c>
      <c r="B3762" t="s">
        <v>15</v>
      </c>
      <c r="C3762" t="s">
        <v>937</v>
      </c>
      <c r="D3762" t="s">
        <v>17</v>
      </c>
      <c r="E3762" t="s">
        <v>18</v>
      </c>
      <c r="F3762" t="s">
        <v>19</v>
      </c>
      <c r="G3762" t="s">
        <v>20</v>
      </c>
      <c r="J3762" t="s">
        <v>17</v>
      </c>
      <c r="K3762" t="str">
        <f>"10118568"</f>
        <v>10118568</v>
      </c>
      <c r="L3762" t="str">
        <f>"10118568"</f>
        <v>10118568</v>
      </c>
      <c r="M3762" t="s">
        <v>21</v>
      </c>
      <c r="N3762" s="1">
        <v>43335.879166666666</v>
      </c>
      <c r="O3762" t="s">
        <v>19</v>
      </c>
    </row>
    <row r="3763" spans="1:15" x14ac:dyDescent="0.25">
      <c r="A3763" t="s">
        <v>3135</v>
      </c>
      <c r="B3763" t="s">
        <v>15</v>
      </c>
      <c r="C3763" t="s">
        <v>64</v>
      </c>
      <c r="D3763" t="s">
        <v>17</v>
      </c>
      <c r="E3763" t="s">
        <v>18</v>
      </c>
      <c r="F3763" t="s">
        <v>19</v>
      </c>
      <c r="G3763" t="s">
        <v>20</v>
      </c>
      <c r="J3763" t="s">
        <v>17</v>
      </c>
      <c r="K3763" t="str">
        <f>"10119954"</f>
        <v>10119954</v>
      </c>
      <c r="L3763" t="str">
        <f>"10119954"</f>
        <v>10119954</v>
      </c>
      <c r="M3763" t="s">
        <v>21</v>
      </c>
      <c r="N3763" s="1">
        <v>44254.788888888892</v>
      </c>
      <c r="O3763" t="s">
        <v>19</v>
      </c>
    </row>
    <row r="3764" spans="1:15" x14ac:dyDescent="0.25">
      <c r="A3764" t="s">
        <v>3136</v>
      </c>
      <c r="B3764" t="s">
        <v>15</v>
      </c>
      <c r="C3764" t="s">
        <v>937</v>
      </c>
      <c r="D3764" t="s">
        <v>17</v>
      </c>
      <c r="E3764" t="s">
        <v>18</v>
      </c>
      <c r="F3764" t="s">
        <v>19</v>
      </c>
      <c r="G3764" t="s">
        <v>20</v>
      </c>
      <c r="J3764" t="s">
        <v>17</v>
      </c>
      <c r="K3764" t="str">
        <f>"6986698983242"</f>
        <v>6986698983242</v>
      </c>
      <c r="L3764" t="str">
        <f>"40370002"</f>
        <v>40370002</v>
      </c>
      <c r="M3764" t="s">
        <v>21</v>
      </c>
      <c r="N3764" s="1">
        <v>44225.874305555553</v>
      </c>
      <c r="O3764" t="s">
        <v>19</v>
      </c>
    </row>
    <row r="3765" spans="1:15" x14ac:dyDescent="0.25">
      <c r="A3765" t="s">
        <v>3137</v>
      </c>
      <c r="B3765" t="s">
        <v>15</v>
      </c>
      <c r="C3765" t="s">
        <v>937</v>
      </c>
      <c r="D3765" t="s">
        <v>17</v>
      </c>
      <c r="E3765" t="s">
        <v>18</v>
      </c>
      <c r="F3765" t="s">
        <v>19</v>
      </c>
      <c r="G3765" t="s">
        <v>20</v>
      </c>
      <c r="J3765" t="s">
        <v>17</v>
      </c>
      <c r="K3765" t="str">
        <f>"98376000"</f>
        <v>98376000</v>
      </c>
      <c r="L3765" t="str">
        <f>"98376000"</f>
        <v>98376000</v>
      </c>
      <c r="M3765" t="s">
        <v>21</v>
      </c>
      <c r="N3765" s="1">
        <v>44247.819444444445</v>
      </c>
      <c r="O3765" t="s">
        <v>19</v>
      </c>
    </row>
    <row r="3766" spans="1:15" x14ac:dyDescent="0.25">
      <c r="A3766" t="s">
        <v>3138</v>
      </c>
      <c r="B3766" t="s">
        <v>15</v>
      </c>
      <c r="C3766" t="s">
        <v>937</v>
      </c>
      <c r="D3766" t="s">
        <v>17</v>
      </c>
      <c r="E3766" t="s">
        <v>18</v>
      </c>
      <c r="F3766" t="s">
        <v>19</v>
      </c>
      <c r="G3766" t="s">
        <v>20</v>
      </c>
      <c r="J3766" t="s">
        <v>17</v>
      </c>
      <c r="K3766" t="str">
        <f>"8713439205626"</f>
        <v>8713439205626</v>
      </c>
      <c r="L3766" t="str">
        <f>"92370628"</f>
        <v>92370628</v>
      </c>
      <c r="M3766" t="s">
        <v>21</v>
      </c>
      <c r="N3766" s="1">
        <v>44453.696527777778</v>
      </c>
      <c r="O3766" t="s">
        <v>19</v>
      </c>
    </row>
    <row r="3767" spans="1:15" x14ac:dyDescent="0.25">
      <c r="A3767" t="s">
        <v>3139</v>
      </c>
      <c r="B3767" t="s">
        <v>15</v>
      </c>
      <c r="C3767" t="s">
        <v>937</v>
      </c>
      <c r="D3767" t="s">
        <v>17</v>
      </c>
      <c r="E3767" t="s">
        <v>18</v>
      </c>
      <c r="F3767" t="s">
        <v>19</v>
      </c>
      <c r="G3767" t="s">
        <v>20</v>
      </c>
      <c r="J3767" t="s">
        <v>17</v>
      </c>
      <c r="K3767" t="str">
        <f>"798302167056"</f>
        <v>798302167056</v>
      </c>
      <c r="L3767" t="str">
        <f>"92070110"</f>
        <v>92070110</v>
      </c>
      <c r="M3767" t="s">
        <v>21</v>
      </c>
      <c r="N3767" s="1">
        <v>43746.879166666666</v>
      </c>
      <c r="O3767" t="s">
        <v>19</v>
      </c>
    </row>
    <row r="3768" spans="1:15" x14ac:dyDescent="0.25">
      <c r="A3768" t="s">
        <v>3140</v>
      </c>
      <c r="B3768" t="s">
        <v>15</v>
      </c>
      <c r="C3768" t="s">
        <v>937</v>
      </c>
      <c r="D3768" t="s">
        <v>17</v>
      </c>
      <c r="E3768" t="s">
        <v>18</v>
      </c>
      <c r="F3768" t="s">
        <v>19</v>
      </c>
      <c r="G3768" t="s">
        <v>20</v>
      </c>
      <c r="J3768" t="s">
        <v>17</v>
      </c>
      <c r="K3768" t="str">
        <f>"42140220"</f>
        <v>42140220</v>
      </c>
      <c r="L3768" t="str">
        <f>"42140220"</f>
        <v>42140220</v>
      </c>
      <c r="M3768" t="s">
        <v>75</v>
      </c>
      <c r="N3768" s="1">
        <v>42872.839583333334</v>
      </c>
      <c r="O3768" t="s">
        <v>19</v>
      </c>
    </row>
    <row r="3769" spans="1:15" x14ac:dyDescent="0.25">
      <c r="A3769" t="s">
        <v>3141</v>
      </c>
      <c r="B3769" t="s">
        <v>15</v>
      </c>
      <c r="C3769" t="s">
        <v>937</v>
      </c>
      <c r="D3769" t="s">
        <v>17</v>
      </c>
      <c r="E3769" t="s">
        <v>18</v>
      </c>
      <c r="F3769" t="s">
        <v>19</v>
      </c>
      <c r="G3769" t="s">
        <v>20</v>
      </c>
      <c r="J3769" t="s">
        <v>17</v>
      </c>
      <c r="K3769" t="str">
        <f>"42140221"</f>
        <v>42140221</v>
      </c>
      <c r="L3769" t="str">
        <f>"42140221"</f>
        <v>42140221</v>
      </c>
      <c r="M3769" t="s">
        <v>75</v>
      </c>
      <c r="N3769" s="1">
        <v>42872.839583333334</v>
      </c>
      <c r="O3769" t="s">
        <v>19</v>
      </c>
    </row>
    <row r="3770" spans="1:15" x14ac:dyDescent="0.25">
      <c r="A3770" t="s">
        <v>3142</v>
      </c>
      <c r="B3770" t="s">
        <v>15</v>
      </c>
      <c r="C3770" t="s">
        <v>937</v>
      </c>
      <c r="D3770" t="s">
        <v>17</v>
      </c>
      <c r="E3770" t="s">
        <v>18</v>
      </c>
      <c r="F3770" t="s">
        <v>19</v>
      </c>
      <c r="G3770" t="s">
        <v>20</v>
      </c>
      <c r="J3770" t="s">
        <v>17</v>
      </c>
      <c r="K3770" t="str">
        <f>"7796941037955"</f>
        <v>7796941037955</v>
      </c>
      <c r="L3770" t="str">
        <f>"42140300"</f>
        <v>42140300</v>
      </c>
      <c r="M3770" t="s">
        <v>75</v>
      </c>
      <c r="N3770" s="1">
        <v>42872.839583333334</v>
      </c>
      <c r="O3770" t="s">
        <v>19</v>
      </c>
    </row>
    <row r="3771" spans="1:15" x14ac:dyDescent="0.25">
      <c r="A3771" t="s">
        <v>3143</v>
      </c>
      <c r="B3771" t="s">
        <v>15</v>
      </c>
      <c r="C3771" t="s">
        <v>37</v>
      </c>
      <c r="D3771" t="s">
        <v>17</v>
      </c>
      <c r="E3771" t="s">
        <v>18</v>
      </c>
      <c r="F3771" t="s">
        <v>19</v>
      </c>
      <c r="G3771" t="s">
        <v>20</v>
      </c>
      <c r="J3771" t="s">
        <v>17</v>
      </c>
      <c r="K3771" t="str">
        <f>"766623701662"</f>
        <v>766623701662</v>
      </c>
      <c r="L3771" t="str">
        <f>"56521662"</f>
        <v>56521662</v>
      </c>
      <c r="M3771" t="s">
        <v>21</v>
      </c>
      <c r="N3771" s="1">
        <v>43985.827777777777</v>
      </c>
      <c r="O3771" t="s">
        <v>19</v>
      </c>
    </row>
    <row r="3772" spans="1:15" x14ac:dyDescent="0.25">
      <c r="A3772" t="s">
        <v>3144</v>
      </c>
      <c r="B3772" t="s">
        <v>15</v>
      </c>
      <c r="C3772" t="s">
        <v>37</v>
      </c>
      <c r="D3772" t="s">
        <v>17</v>
      </c>
      <c r="E3772" t="s">
        <v>18</v>
      </c>
      <c r="F3772" t="s">
        <v>19</v>
      </c>
      <c r="G3772" t="s">
        <v>20</v>
      </c>
      <c r="J3772" t="s">
        <v>17</v>
      </c>
      <c r="K3772" t="str">
        <f>"7858816084119"</f>
        <v>7858816084119</v>
      </c>
      <c r="L3772" t="str">
        <f>"87528411"</f>
        <v>87528411</v>
      </c>
      <c r="M3772" t="s">
        <v>21</v>
      </c>
      <c r="N3772" s="1">
        <v>44371.668749999997</v>
      </c>
      <c r="O3772" t="s">
        <v>19</v>
      </c>
    </row>
    <row r="3773" spans="1:15" x14ac:dyDescent="0.25">
      <c r="A3773" t="s">
        <v>3145</v>
      </c>
      <c r="B3773" t="s">
        <v>15</v>
      </c>
      <c r="C3773" t="s">
        <v>3146</v>
      </c>
      <c r="D3773" t="s">
        <v>17</v>
      </c>
      <c r="E3773" t="s">
        <v>18</v>
      </c>
      <c r="F3773" t="s">
        <v>19</v>
      </c>
      <c r="G3773" t="s">
        <v>20</v>
      </c>
      <c r="J3773" t="s">
        <v>17</v>
      </c>
      <c r="K3773" t="str">
        <f>"619659125905"</f>
        <v>619659125905</v>
      </c>
      <c r="L3773" t="str">
        <f>"92710128"</f>
        <v>92710128</v>
      </c>
      <c r="M3773" t="s">
        <v>21</v>
      </c>
      <c r="N3773" s="1">
        <v>43746.899305555555</v>
      </c>
      <c r="O3773" t="s">
        <v>19</v>
      </c>
    </row>
    <row r="3774" spans="1:15" x14ac:dyDescent="0.25">
      <c r="A3774" t="s">
        <v>3147</v>
      </c>
      <c r="B3774" t="s">
        <v>15</v>
      </c>
      <c r="C3774" t="s">
        <v>3146</v>
      </c>
      <c r="D3774" t="s">
        <v>17</v>
      </c>
      <c r="E3774" t="s">
        <v>18</v>
      </c>
      <c r="F3774" t="s">
        <v>19</v>
      </c>
      <c r="G3774" t="s">
        <v>20</v>
      </c>
      <c r="J3774" t="s">
        <v>17</v>
      </c>
      <c r="K3774" t="str">
        <f>"17711716"</f>
        <v>17711716</v>
      </c>
      <c r="L3774" t="str">
        <f>"17711716"</f>
        <v>17711716</v>
      </c>
      <c r="M3774" t="s">
        <v>75</v>
      </c>
      <c r="N3774" s="1">
        <v>42872.839583333334</v>
      </c>
      <c r="O3774" t="s">
        <v>19</v>
      </c>
    </row>
    <row r="3775" spans="1:15" x14ac:dyDescent="0.25">
      <c r="A3775" t="s">
        <v>3147</v>
      </c>
      <c r="B3775" t="s">
        <v>15</v>
      </c>
      <c r="C3775" t="s">
        <v>3146</v>
      </c>
      <c r="D3775" t="s">
        <v>17</v>
      </c>
      <c r="E3775" t="s">
        <v>18</v>
      </c>
      <c r="F3775" t="s">
        <v>19</v>
      </c>
      <c r="G3775" t="s">
        <v>20</v>
      </c>
      <c r="J3775" t="s">
        <v>17</v>
      </c>
      <c r="K3775" t="str">
        <f>"6925871611145"</f>
        <v>6925871611145</v>
      </c>
      <c r="L3775" t="str">
        <f>"22710016"</f>
        <v>22710016</v>
      </c>
      <c r="M3775" t="s">
        <v>75</v>
      </c>
      <c r="N3775" s="1">
        <v>42872.839583333334</v>
      </c>
      <c r="O3775" t="s">
        <v>19</v>
      </c>
    </row>
    <row r="3776" spans="1:15" x14ac:dyDescent="0.25">
      <c r="A3776" t="s">
        <v>3148</v>
      </c>
      <c r="B3776" t="s">
        <v>15</v>
      </c>
      <c r="C3776" t="s">
        <v>3146</v>
      </c>
      <c r="D3776" t="s">
        <v>17</v>
      </c>
      <c r="E3776" t="s">
        <v>18</v>
      </c>
      <c r="F3776" t="s">
        <v>19</v>
      </c>
      <c r="G3776" t="s">
        <v>20</v>
      </c>
      <c r="J3776" t="s">
        <v>17</v>
      </c>
      <c r="K3776" t="str">
        <f>"4718050609604"</f>
        <v>4718050609604</v>
      </c>
      <c r="L3776" t="str">
        <f>"98710016"</f>
        <v>98710016</v>
      </c>
      <c r="M3776" t="s">
        <v>75</v>
      </c>
      <c r="N3776" s="1">
        <v>43236.678472222222</v>
      </c>
      <c r="O3776" t="s">
        <v>19</v>
      </c>
    </row>
    <row r="3777" spans="1:15" x14ac:dyDescent="0.25">
      <c r="A3777" t="s">
        <v>3148</v>
      </c>
      <c r="B3777" t="s">
        <v>15</v>
      </c>
      <c r="C3777" t="s">
        <v>3146</v>
      </c>
      <c r="D3777" t="s">
        <v>17</v>
      </c>
      <c r="E3777" t="s">
        <v>18</v>
      </c>
      <c r="F3777" t="s">
        <v>19</v>
      </c>
      <c r="G3777" t="s">
        <v>20</v>
      </c>
      <c r="J3777" t="s">
        <v>17</v>
      </c>
      <c r="K3777" t="str">
        <f>"4713435794876"</f>
        <v>4713435794876</v>
      </c>
      <c r="L3777" t="str">
        <f>"98711016"</f>
        <v>98711016</v>
      </c>
      <c r="M3777" t="s">
        <v>84</v>
      </c>
      <c r="N3777" s="1">
        <v>43313.929166666669</v>
      </c>
      <c r="O3777" t="s">
        <v>19</v>
      </c>
    </row>
    <row r="3778" spans="1:15" x14ac:dyDescent="0.25">
      <c r="A3778" t="s">
        <v>3148</v>
      </c>
      <c r="B3778" t="s">
        <v>15</v>
      </c>
      <c r="C3778" t="s">
        <v>3146</v>
      </c>
      <c r="D3778" t="s">
        <v>17</v>
      </c>
      <c r="E3778" t="s">
        <v>18</v>
      </c>
      <c r="F3778" t="s">
        <v>19</v>
      </c>
      <c r="G3778" t="s">
        <v>20</v>
      </c>
      <c r="J3778" t="s">
        <v>17</v>
      </c>
      <c r="K3778" t="str">
        <f>"4713435794265"</f>
        <v>4713435794265</v>
      </c>
      <c r="L3778" t="str">
        <f>"98714265"</f>
        <v>98714265</v>
      </c>
      <c r="M3778" t="s">
        <v>84</v>
      </c>
      <c r="N3778" s="1">
        <v>43369.628472222219</v>
      </c>
      <c r="O3778" t="s">
        <v>19</v>
      </c>
    </row>
    <row r="3779" spans="1:15" x14ac:dyDescent="0.25">
      <c r="A3779" t="s">
        <v>3149</v>
      </c>
      <c r="B3779" t="s">
        <v>15</v>
      </c>
      <c r="C3779" t="s">
        <v>3146</v>
      </c>
      <c r="D3779" t="s">
        <v>17</v>
      </c>
      <c r="E3779" t="s">
        <v>18</v>
      </c>
      <c r="F3779" t="s">
        <v>19</v>
      </c>
      <c r="G3779" t="s">
        <v>20</v>
      </c>
      <c r="J3779" t="s">
        <v>17</v>
      </c>
      <c r="K3779" t="str">
        <f>"63710016"</f>
        <v>63710016</v>
      </c>
      <c r="L3779" t="str">
        <f>"63710016"</f>
        <v>63710016</v>
      </c>
      <c r="M3779" t="s">
        <v>21</v>
      </c>
      <c r="N3779" s="1">
        <v>43012.836805555555</v>
      </c>
      <c r="O3779" t="s">
        <v>19</v>
      </c>
    </row>
    <row r="3780" spans="1:15" x14ac:dyDescent="0.25">
      <c r="A3780" t="s">
        <v>3150</v>
      </c>
      <c r="B3780" t="s">
        <v>15</v>
      </c>
      <c r="C3780" t="s">
        <v>3146</v>
      </c>
      <c r="D3780" t="s">
        <v>17</v>
      </c>
      <c r="E3780" t="s">
        <v>18</v>
      </c>
      <c r="F3780" t="s">
        <v>19</v>
      </c>
      <c r="G3780" t="s">
        <v>20</v>
      </c>
      <c r="J3780" t="s">
        <v>17</v>
      </c>
      <c r="K3780" t="str">
        <f>"96710016"</f>
        <v>96710016</v>
      </c>
      <c r="L3780" t="str">
        <f>"96710016"</f>
        <v>96710016</v>
      </c>
      <c r="M3780" t="s">
        <v>75</v>
      </c>
      <c r="N3780" s="1">
        <v>42872.847222222219</v>
      </c>
      <c r="O3780" t="s">
        <v>19</v>
      </c>
    </row>
    <row r="3781" spans="1:15" x14ac:dyDescent="0.25">
      <c r="A3781" t="s">
        <v>3151</v>
      </c>
      <c r="B3781" t="s">
        <v>15</v>
      </c>
      <c r="C3781" t="s">
        <v>3146</v>
      </c>
      <c r="D3781" t="s">
        <v>17</v>
      </c>
      <c r="E3781" t="s">
        <v>18</v>
      </c>
      <c r="F3781" t="s">
        <v>19</v>
      </c>
      <c r="G3781" t="s">
        <v>20</v>
      </c>
      <c r="J3781" t="s">
        <v>17</v>
      </c>
      <c r="K3781" t="str">
        <f>"740617198256"</f>
        <v>740617198256</v>
      </c>
      <c r="L3781" t="str">
        <f>"97718256"</f>
        <v>97718256</v>
      </c>
      <c r="M3781" t="s">
        <v>75</v>
      </c>
      <c r="N3781" s="1">
        <v>43084.781944444447</v>
      </c>
      <c r="O3781" t="s">
        <v>19</v>
      </c>
    </row>
    <row r="3782" spans="1:15" x14ac:dyDescent="0.25">
      <c r="A3782" t="s">
        <v>3152</v>
      </c>
      <c r="B3782" t="s">
        <v>15</v>
      </c>
      <c r="C3782" t="s">
        <v>3146</v>
      </c>
      <c r="D3782" t="s">
        <v>17</v>
      </c>
      <c r="E3782" t="s">
        <v>18</v>
      </c>
      <c r="F3782" t="s">
        <v>19</v>
      </c>
      <c r="G3782" t="s">
        <v>20</v>
      </c>
      <c r="J3782" t="s">
        <v>17</v>
      </c>
      <c r="K3782" t="str">
        <f>"740617282504"</f>
        <v>740617282504</v>
      </c>
      <c r="L3782" t="str">
        <f>"10109240"</f>
        <v>10109240</v>
      </c>
      <c r="M3782" t="s">
        <v>84</v>
      </c>
      <c r="N3782" s="1">
        <v>43446.737500000003</v>
      </c>
      <c r="O3782" t="s">
        <v>19</v>
      </c>
    </row>
    <row r="3783" spans="1:15" x14ac:dyDescent="0.25">
      <c r="A3783" t="s">
        <v>3153</v>
      </c>
      <c r="B3783" t="s">
        <v>15</v>
      </c>
      <c r="C3783" t="s">
        <v>3146</v>
      </c>
      <c r="D3783" t="s">
        <v>17</v>
      </c>
      <c r="E3783" t="s">
        <v>18</v>
      </c>
      <c r="F3783" t="s">
        <v>19</v>
      </c>
      <c r="G3783" t="s">
        <v>20</v>
      </c>
      <c r="J3783" t="s">
        <v>17</v>
      </c>
      <c r="K3783" t="str">
        <f>"3126170146878"</f>
        <v>3126170146878</v>
      </c>
      <c r="L3783" t="str">
        <f>"25711600"</f>
        <v>25711600</v>
      </c>
      <c r="M3783" t="s">
        <v>21</v>
      </c>
      <c r="N3783" s="1">
        <v>43893.740277777775</v>
      </c>
      <c r="O3783" t="s">
        <v>19</v>
      </c>
    </row>
    <row r="3784" spans="1:15" x14ac:dyDescent="0.25">
      <c r="A3784" t="s">
        <v>3154</v>
      </c>
      <c r="B3784" t="s">
        <v>15</v>
      </c>
      <c r="C3784" t="s">
        <v>3146</v>
      </c>
      <c r="D3784" t="s">
        <v>17</v>
      </c>
      <c r="E3784" t="s">
        <v>18</v>
      </c>
      <c r="F3784" t="s">
        <v>19</v>
      </c>
      <c r="G3784" t="s">
        <v>20</v>
      </c>
      <c r="J3784" t="s">
        <v>17</v>
      </c>
      <c r="K3784" t="str">
        <f>"025215486661"</f>
        <v>025215486661</v>
      </c>
      <c r="L3784" t="str">
        <f>"25710016"</f>
        <v>25710016</v>
      </c>
      <c r="M3784" t="s">
        <v>75</v>
      </c>
      <c r="N3784" s="1">
        <v>42930.65347222222</v>
      </c>
      <c r="O3784" t="s">
        <v>19</v>
      </c>
    </row>
    <row r="3785" spans="1:15" x14ac:dyDescent="0.25">
      <c r="A3785" t="s">
        <v>3154</v>
      </c>
      <c r="B3785" t="s">
        <v>15</v>
      </c>
      <c r="C3785" t="s">
        <v>3146</v>
      </c>
      <c r="D3785" t="s">
        <v>17</v>
      </c>
      <c r="E3785" t="s">
        <v>18</v>
      </c>
      <c r="F3785" t="s">
        <v>19</v>
      </c>
      <c r="G3785" t="s">
        <v>20</v>
      </c>
      <c r="J3785" t="s">
        <v>17</v>
      </c>
      <c r="K3785" t="str">
        <f>"025215487224"</f>
        <v>025215487224</v>
      </c>
      <c r="L3785" t="str">
        <f>"60712300"</f>
        <v>60712300</v>
      </c>
      <c r="M3785" t="s">
        <v>84</v>
      </c>
      <c r="N3785" s="1">
        <v>43521.602083333331</v>
      </c>
      <c r="O3785" t="s">
        <v>19</v>
      </c>
    </row>
    <row r="3786" spans="1:15" x14ac:dyDescent="0.25">
      <c r="A3786" t="s">
        <v>3155</v>
      </c>
      <c r="B3786" t="s">
        <v>15</v>
      </c>
      <c r="C3786" t="s">
        <v>3146</v>
      </c>
      <c r="D3786" t="s">
        <v>17</v>
      </c>
      <c r="E3786" t="s">
        <v>18</v>
      </c>
      <c r="F3786" t="s">
        <v>19</v>
      </c>
      <c r="G3786" t="s">
        <v>20</v>
      </c>
      <c r="J3786" t="s">
        <v>17</v>
      </c>
      <c r="K3786" t="str">
        <f>"025215490835"</f>
        <v>025215490835</v>
      </c>
      <c r="L3786" t="str">
        <f>"60711600"</f>
        <v>60711600</v>
      </c>
      <c r="M3786" t="s">
        <v>84</v>
      </c>
      <c r="N3786" s="1">
        <v>43539.745138888888</v>
      </c>
      <c r="O3786" t="s">
        <v>19</v>
      </c>
    </row>
    <row r="3787" spans="1:15" x14ac:dyDescent="0.25">
      <c r="A3787" t="s">
        <v>3156</v>
      </c>
      <c r="B3787" t="s">
        <v>15</v>
      </c>
      <c r="C3787" t="s">
        <v>3146</v>
      </c>
      <c r="D3787" t="s">
        <v>17</v>
      </c>
      <c r="E3787" t="s">
        <v>18</v>
      </c>
      <c r="F3787" t="s">
        <v>19</v>
      </c>
      <c r="G3787" t="s">
        <v>20</v>
      </c>
      <c r="J3787" t="s">
        <v>17</v>
      </c>
      <c r="K3787" t="str">
        <f>"025215490842"</f>
        <v>025215490842</v>
      </c>
      <c r="L3787" t="str">
        <f>"60710160"</f>
        <v>60710160</v>
      </c>
      <c r="M3787" t="s">
        <v>84</v>
      </c>
      <c r="N3787" s="1">
        <v>43539.745833333334</v>
      </c>
      <c r="O3787" t="s">
        <v>19</v>
      </c>
    </row>
    <row r="3788" spans="1:15" x14ac:dyDescent="0.25">
      <c r="A3788" t="s">
        <v>3157</v>
      </c>
      <c r="B3788" t="s">
        <v>15</v>
      </c>
      <c r="C3788" t="s">
        <v>3146</v>
      </c>
      <c r="D3788" t="s">
        <v>17</v>
      </c>
      <c r="E3788" t="s">
        <v>18</v>
      </c>
      <c r="F3788" t="s">
        <v>19</v>
      </c>
      <c r="G3788" t="s">
        <v>20</v>
      </c>
      <c r="J3788" t="s">
        <v>17</v>
      </c>
      <c r="K3788" t="str">
        <f>"025215501432"</f>
        <v>025215501432</v>
      </c>
      <c r="L3788" t="str">
        <f>"60710016"</f>
        <v>60710016</v>
      </c>
      <c r="M3788" t="s">
        <v>84</v>
      </c>
      <c r="N3788" s="1">
        <v>43539.746527777781</v>
      </c>
      <c r="O3788" t="s">
        <v>19</v>
      </c>
    </row>
    <row r="3789" spans="1:15" x14ac:dyDescent="0.25">
      <c r="A3789" t="s">
        <v>3158</v>
      </c>
      <c r="B3789" t="s">
        <v>15</v>
      </c>
      <c r="C3789" t="s">
        <v>3146</v>
      </c>
      <c r="D3789" t="s">
        <v>17</v>
      </c>
      <c r="E3789" t="s">
        <v>18</v>
      </c>
      <c r="F3789" t="s">
        <v>19</v>
      </c>
      <c r="G3789" t="s">
        <v>20</v>
      </c>
      <c r="J3789" t="s">
        <v>17</v>
      </c>
      <c r="K3789" t="str">
        <f>"025215490859"</f>
        <v>025215490859</v>
      </c>
      <c r="L3789" t="str">
        <f>"60710161"</f>
        <v>60710161</v>
      </c>
      <c r="M3789" t="s">
        <v>84</v>
      </c>
      <c r="N3789" s="1">
        <v>43539.746527777781</v>
      </c>
      <c r="O3789" t="s">
        <v>19</v>
      </c>
    </row>
    <row r="3790" spans="1:15" x14ac:dyDescent="0.25">
      <c r="A3790" t="s">
        <v>3159</v>
      </c>
      <c r="B3790" t="s">
        <v>15</v>
      </c>
      <c r="C3790" t="s">
        <v>3146</v>
      </c>
      <c r="D3790" t="s">
        <v>17</v>
      </c>
      <c r="E3790" t="s">
        <v>18</v>
      </c>
      <c r="F3790" t="s">
        <v>19</v>
      </c>
      <c r="G3790" t="s">
        <v>20</v>
      </c>
      <c r="J3790" t="s">
        <v>17</v>
      </c>
      <c r="K3790" t="str">
        <f>"50003133"</f>
        <v>50003133</v>
      </c>
      <c r="L3790" t="str">
        <f>"50003133"</f>
        <v>50003133</v>
      </c>
      <c r="M3790" t="s">
        <v>75</v>
      </c>
      <c r="N3790" s="1">
        <v>42872.839583333334</v>
      </c>
      <c r="O3790" t="s">
        <v>19</v>
      </c>
    </row>
    <row r="3791" spans="1:15" x14ac:dyDescent="0.25">
      <c r="A3791" t="s">
        <v>3159</v>
      </c>
      <c r="B3791" t="s">
        <v>15</v>
      </c>
      <c r="C3791" t="s">
        <v>3146</v>
      </c>
      <c r="D3791" t="s">
        <v>17</v>
      </c>
      <c r="E3791" t="s">
        <v>18</v>
      </c>
      <c r="F3791" t="s">
        <v>19</v>
      </c>
      <c r="G3791" t="s">
        <v>20</v>
      </c>
      <c r="J3791" t="s">
        <v>18</v>
      </c>
      <c r="K3791" t="str">
        <f>"619659000431"</f>
        <v>619659000431</v>
      </c>
      <c r="L3791" t="str">
        <f>"76710431"</f>
        <v>76710431</v>
      </c>
      <c r="M3791" t="s">
        <v>84</v>
      </c>
      <c r="N3791" s="1">
        <v>43320.89166666667</v>
      </c>
      <c r="O3791" t="s">
        <v>19</v>
      </c>
    </row>
    <row r="3792" spans="1:15" x14ac:dyDescent="0.25">
      <c r="A3792" t="s">
        <v>3159</v>
      </c>
      <c r="B3792" t="s">
        <v>15</v>
      </c>
      <c r="C3792" t="s">
        <v>3146</v>
      </c>
      <c r="D3792" t="s">
        <v>17</v>
      </c>
      <c r="E3792" t="s">
        <v>18</v>
      </c>
      <c r="F3792" t="s">
        <v>19</v>
      </c>
      <c r="G3792" t="s">
        <v>20</v>
      </c>
      <c r="J3792" t="s">
        <v>17</v>
      </c>
      <c r="K3792" t="str">
        <f>"619659068158"</f>
        <v>619659068158</v>
      </c>
      <c r="L3792" t="str">
        <f>"92710016"</f>
        <v>92710016</v>
      </c>
      <c r="M3792" t="s">
        <v>21</v>
      </c>
      <c r="N3792" s="1">
        <v>43630.959722222222</v>
      </c>
      <c r="O3792" t="s">
        <v>19</v>
      </c>
    </row>
    <row r="3793" spans="1:15" x14ac:dyDescent="0.25">
      <c r="A3793" t="s">
        <v>3159</v>
      </c>
      <c r="B3793" t="s">
        <v>15</v>
      </c>
      <c r="C3793" t="s">
        <v>3146</v>
      </c>
      <c r="D3793" t="s">
        <v>17</v>
      </c>
      <c r="E3793" t="s">
        <v>18</v>
      </c>
      <c r="F3793" t="s">
        <v>19</v>
      </c>
      <c r="G3793" t="s">
        <v>20</v>
      </c>
      <c r="J3793" t="s">
        <v>17</v>
      </c>
      <c r="K3793" t="str">
        <f>"04SDKCZ516"</f>
        <v>04SDKCZ516</v>
      </c>
      <c r="L3793" t="str">
        <f>"04SDKCZ516"</f>
        <v>04SDKCZ516</v>
      </c>
      <c r="M3793" t="s">
        <v>21</v>
      </c>
      <c r="N3793" s="1">
        <v>44266.640972222223</v>
      </c>
      <c r="O3793" t="s">
        <v>19</v>
      </c>
    </row>
    <row r="3794" spans="1:15" x14ac:dyDescent="0.25">
      <c r="A3794" t="s">
        <v>3160</v>
      </c>
      <c r="B3794" t="s">
        <v>15</v>
      </c>
      <c r="C3794" t="s">
        <v>3146</v>
      </c>
      <c r="D3794" t="s">
        <v>17</v>
      </c>
      <c r="E3794" t="s">
        <v>18</v>
      </c>
      <c r="F3794" t="s">
        <v>19</v>
      </c>
      <c r="G3794" t="s">
        <v>20</v>
      </c>
      <c r="J3794" t="s">
        <v>17</v>
      </c>
      <c r="K3794" t="str">
        <f>"619659141059"</f>
        <v>619659141059</v>
      </c>
      <c r="L3794" t="str">
        <f>"04SDKCZ16A"</f>
        <v>04SDKCZ16A</v>
      </c>
      <c r="M3794" t="s">
        <v>21</v>
      </c>
      <c r="N3794" s="1">
        <v>44266.638194444444</v>
      </c>
      <c r="O3794" t="s">
        <v>19</v>
      </c>
    </row>
    <row r="3795" spans="1:15" x14ac:dyDescent="0.25">
      <c r="A3795" t="s">
        <v>3161</v>
      </c>
      <c r="B3795" t="s">
        <v>15</v>
      </c>
      <c r="C3795" t="s">
        <v>3146</v>
      </c>
      <c r="D3795" t="s">
        <v>17</v>
      </c>
      <c r="E3795" t="s">
        <v>18</v>
      </c>
      <c r="F3795" t="s">
        <v>19</v>
      </c>
      <c r="G3795" t="s">
        <v>20</v>
      </c>
      <c r="J3795" t="s">
        <v>17</v>
      </c>
      <c r="K3795" t="str">
        <f>"619659099237"</f>
        <v>619659099237</v>
      </c>
      <c r="L3795" t="str">
        <f>"04SDKCZ16B"</f>
        <v>04SDKCZ16B</v>
      </c>
      <c r="M3795" t="s">
        <v>21</v>
      </c>
      <c r="N3795" s="1">
        <v>44266.638888888891</v>
      </c>
      <c r="O3795" t="s">
        <v>19</v>
      </c>
    </row>
    <row r="3796" spans="1:15" x14ac:dyDescent="0.25">
      <c r="A3796" t="s">
        <v>3162</v>
      </c>
      <c r="B3796" t="s">
        <v>15</v>
      </c>
      <c r="C3796" t="s">
        <v>3146</v>
      </c>
      <c r="D3796" t="s">
        <v>17</v>
      </c>
      <c r="E3796" t="s">
        <v>18</v>
      </c>
      <c r="F3796" t="s">
        <v>19</v>
      </c>
      <c r="G3796" t="s">
        <v>20</v>
      </c>
      <c r="J3796" t="s">
        <v>17</v>
      </c>
      <c r="K3796" t="str">
        <f>"10003133"</f>
        <v>10003133</v>
      </c>
      <c r="L3796" t="str">
        <f>"10003133"</f>
        <v>10003133</v>
      </c>
      <c r="M3796" t="s">
        <v>21</v>
      </c>
      <c r="N3796" s="1">
        <v>43532.845833333333</v>
      </c>
      <c r="O3796" t="s">
        <v>19</v>
      </c>
    </row>
    <row r="3797" spans="1:15" x14ac:dyDescent="0.25">
      <c r="A3797" t="s">
        <v>3163</v>
      </c>
      <c r="B3797" t="s">
        <v>15</v>
      </c>
      <c r="C3797" t="s">
        <v>3146</v>
      </c>
      <c r="D3797" t="s">
        <v>17</v>
      </c>
      <c r="E3797" t="s">
        <v>18</v>
      </c>
      <c r="F3797" t="s">
        <v>19</v>
      </c>
      <c r="G3797" t="s">
        <v>20</v>
      </c>
      <c r="J3797" t="s">
        <v>18</v>
      </c>
      <c r="K3797" t="str">
        <f>"92711616"</f>
        <v>92711616</v>
      </c>
      <c r="L3797" t="str">
        <f>"92711616"</f>
        <v>92711616</v>
      </c>
      <c r="M3797" t="s">
        <v>21</v>
      </c>
      <c r="N3797" s="1">
        <v>44254.902777777781</v>
      </c>
      <c r="O3797" t="s">
        <v>19</v>
      </c>
    </row>
    <row r="3798" spans="1:15" x14ac:dyDescent="0.25">
      <c r="A3798" t="s">
        <v>3164</v>
      </c>
      <c r="B3798" t="s">
        <v>15</v>
      </c>
      <c r="C3798" t="s">
        <v>3146</v>
      </c>
      <c r="D3798" t="s">
        <v>17</v>
      </c>
      <c r="E3798" t="s">
        <v>18</v>
      </c>
      <c r="F3798" t="s">
        <v>19</v>
      </c>
      <c r="G3798" t="s">
        <v>20</v>
      </c>
      <c r="J3798" t="s">
        <v>17</v>
      </c>
      <c r="K3798" t="str">
        <f>"619659091392"</f>
        <v>619659091392</v>
      </c>
      <c r="L3798" t="str">
        <f>"92712016"</f>
        <v>92712016</v>
      </c>
      <c r="M3798" t="s">
        <v>21</v>
      </c>
      <c r="N3798" s="1">
        <v>43630.96597222222</v>
      </c>
      <c r="O3798" t="s">
        <v>19</v>
      </c>
    </row>
    <row r="3799" spans="1:15" x14ac:dyDescent="0.25">
      <c r="A3799" t="s">
        <v>3165</v>
      </c>
      <c r="B3799" t="s">
        <v>15</v>
      </c>
      <c r="C3799" t="s">
        <v>3146</v>
      </c>
      <c r="D3799" t="s">
        <v>17</v>
      </c>
      <c r="E3799" t="s">
        <v>18</v>
      </c>
      <c r="F3799" t="s">
        <v>19</v>
      </c>
      <c r="G3799" t="s">
        <v>20</v>
      </c>
      <c r="J3799" t="s">
        <v>17</v>
      </c>
      <c r="K3799" t="str">
        <f>"30710016"</f>
        <v>30710016</v>
      </c>
      <c r="L3799" t="str">
        <f>"30710016"</f>
        <v>30710016</v>
      </c>
      <c r="M3799" t="s">
        <v>84</v>
      </c>
      <c r="N3799" s="1">
        <v>43110.762499999997</v>
      </c>
      <c r="O3799" t="s">
        <v>19</v>
      </c>
    </row>
    <row r="3800" spans="1:15" x14ac:dyDescent="0.25">
      <c r="A3800" t="s">
        <v>3166</v>
      </c>
      <c r="B3800" t="s">
        <v>15</v>
      </c>
      <c r="C3800" t="s">
        <v>3146</v>
      </c>
      <c r="D3800" t="s">
        <v>17</v>
      </c>
      <c r="E3800" t="s">
        <v>18</v>
      </c>
      <c r="F3800" t="s">
        <v>19</v>
      </c>
      <c r="G3800" t="s">
        <v>20</v>
      </c>
      <c r="J3800" t="s">
        <v>17</v>
      </c>
      <c r="K3800" t="str">
        <f>"619659136680"</f>
        <v>619659136680</v>
      </c>
      <c r="L3800" t="str">
        <f>"92713016"</f>
        <v>92713016</v>
      </c>
      <c r="M3800" t="s">
        <v>21</v>
      </c>
      <c r="N3800" s="1">
        <v>42872.839583333334</v>
      </c>
      <c r="O3800" t="s">
        <v>19</v>
      </c>
    </row>
    <row r="3801" spans="1:15" x14ac:dyDescent="0.25">
      <c r="A3801" t="s">
        <v>3167</v>
      </c>
      <c r="B3801" t="s">
        <v>15</v>
      </c>
      <c r="C3801" t="s">
        <v>3146</v>
      </c>
      <c r="D3801" t="s">
        <v>17</v>
      </c>
      <c r="E3801" t="s">
        <v>18</v>
      </c>
      <c r="F3801" t="s">
        <v>19</v>
      </c>
      <c r="G3801" t="s">
        <v>20</v>
      </c>
      <c r="J3801" t="s">
        <v>17</v>
      </c>
      <c r="K3801" t="str">
        <f>"619659141080"</f>
        <v>619659141080</v>
      </c>
      <c r="L3801" t="str">
        <f>"04SDKCZ16V"</f>
        <v>04SDKCZ16V</v>
      </c>
      <c r="M3801" t="s">
        <v>21</v>
      </c>
      <c r="N3801" s="1">
        <v>44266.63958333333</v>
      </c>
      <c r="O3801" t="s">
        <v>19</v>
      </c>
    </row>
    <row r="3802" spans="1:15" x14ac:dyDescent="0.25">
      <c r="A3802" t="s">
        <v>3168</v>
      </c>
      <c r="B3802" t="s">
        <v>15</v>
      </c>
      <c r="C3802" t="s">
        <v>3146</v>
      </c>
      <c r="D3802" t="s">
        <v>17</v>
      </c>
      <c r="E3802" t="s">
        <v>18</v>
      </c>
      <c r="F3802" t="s">
        <v>19</v>
      </c>
      <c r="G3802" t="s">
        <v>20</v>
      </c>
      <c r="J3802" t="s">
        <v>17</v>
      </c>
      <c r="K3802" t="str">
        <f>"17441732"</f>
        <v>17441732</v>
      </c>
      <c r="L3802" t="str">
        <f>"17441732"</f>
        <v>17441732</v>
      </c>
      <c r="M3802" t="s">
        <v>75</v>
      </c>
      <c r="N3802" s="1">
        <v>42872.839583333334</v>
      </c>
      <c r="O3802" t="s">
        <v>19</v>
      </c>
    </row>
    <row r="3803" spans="1:15" x14ac:dyDescent="0.25">
      <c r="A3803" t="s">
        <v>3168</v>
      </c>
      <c r="B3803" t="s">
        <v>15</v>
      </c>
      <c r="C3803" t="s">
        <v>3146</v>
      </c>
      <c r="D3803" t="s">
        <v>17</v>
      </c>
      <c r="E3803" t="s">
        <v>18</v>
      </c>
      <c r="F3803" t="s">
        <v>19</v>
      </c>
      <c r="G3803" t="s">
        <v>20</v>
      </c>
      <c r="J3803" t="s">
        <v>17</v>
      </c>
      <c r="K3803" t="str">
        <f>"17441733"</f>
        <v>17441733</v>
      </c>
      <c r="L3803" t="str">
        <f>"17441733"</f>
        <v>17441733</v>
      </c>
      <c r="M3803" t="s">
        <v>75</v>
      </c>
      <c r="N3803" s="1">
        <v>42872.839583333334</v>
      </c>
      <c r="O3803" t="s">
        <v>19</v>
      </c>
    </row>
    <row r="3804" spans="1:15" x14ac:dyDescent="0.25">
      <c r="A3804" t="s">
        <v>3168</v>
      </c>
      <c r="B3804" t="s">
        <v>15</v>
      </c>
      <c r="C3804" t="s">
        <v>3146</v>
      </c>
      <c r="D3804" t="s">
        <v>17</v>
      </c>
      <c r="E3804" t="s">
        <v>18</v>
      </c>
      <c r="F3804" t="s">
        <v>19</v>
      </c>
      <c r="G3804" t="s">
        <v>20</v>
      </c>
      <c r="J3804" t="s">
        <v>17</v>
      </c>
      <c r="K3804" t="str">
        <f>"17711732"</f>
        <v>17711732</v>
      </c>
      <c r="L3804" t="str">
        <f>"17711732"</f>
        <v>17711732</v>
      </c>
      <c r="M3804" t="s">
        <v>21</v>
      </c>
      <c r="N3804" s="1">
        <v>42872.839583333334</v>
      </c>
      <c r="O3804" t="s">
        <v>33</v>
      </c>
    </row>
    <row r="3805" spans="1:15" x14ac:dyDescent="0.25">
      <c r="A3805" t="s">
        <v>3169</v>
      </c>
      <c r="B3805" t="s">
        <v>15</v>
      </c>
      <c r="C3805" t="s">
        <v>3146</v>
      </c>
      <c r="D3805" t="s">
        <v>17</v>
      </c>
      <c r="E3805" t="s">
        <v>18</v>
      </c>
      <c r="F3805" t="s">
        <v>19</v>
      </c>
      <c r="G3805" t="s">
        <v>20</v>
      </c>
      <c r="J3805" t="s">
        <v>17</v>
      </c>
      <c r="K3805" t="str">
        <f>"4713435794920"</f>
        <v>4713435794920</v>
      </c>
      <c r="L3805" t="str">
        <f>"98714920"</f>
        <v>98714920</v>
      </c>
      <c r="M3805" t="s">
        <v>84</v>
      </c>
      <c r="N3805" s="1">
        <v>43369.630555555559</v>
      </c>
      <c r="O3805" t="s">
        <v>19</v>
      </c>
    </row>
    <row r="3806" spans="1:15" x14ac:dyDescent="0.25">
      <c r="A3806" t="s">
        <v>3170</v>
      </c>
      <c r="B3806" t="s">
        <v>15</v>
      </c>
      <c r="C3806" t="s">
        <v>2751</v>
      </c>
      <c r="D3806" t="s">
        <v>17</v>
      </c>
      <c r="E3806" t="s">
        <v>18</v>
      </c>
      <c r="F3806" t="s">
        <v>19</v>
      </c>
      <c r="G3806" t="s">
        <v>20</v>
      </c>
      <c r="J3806" t="s">
        <v>17</v>
      </c>
      <c r="K3806" t="str">
        <f>"740617297737"</f>
        <v>740617297737</v>
      </c>
      <c r="L3806" t="str">
        <f>"10001753"</f>
        <v>10001753</v>
      </c>
      <c r="M3806" t="s">
        <v>21</v>
      </c>
      <c r="N3806" s="1">
        <v>43419.70416666667</v>
      </c>
      <c r="O3806" t="s">
        <v>19</v>
      </c>
    </row>
    <row r="3807" spans="1:15" x14ac:dyDescent="0.25">
      <c r="A3807" t="s">
        <v>3171</v>
      </c>
      <c r="B3807" t="s">
        <v>15</v>
      </c>
      <c r="C3807" t="s">
        <v>3146</v>
      </c>
      <c r="D3807" t="s">
        <v>17</v>
      </c>
      <c r="E3807" t="s">
        <v>18</v>
      </c>
      <c r="F3807" t="s">
        <v>19</v>
      </c>
      <c r="G3807" t="s">
        <v>20</v>
      </c>
      <c r="J3807" t="s">
        <v>18</v>
      </c>
      <c r="K3807" t="str">
        <f>"025215490170"</f>
        <v>025215490170</v>
      </c>
      <c r="L3807" t="str">
        <f>"60712221"</f>
        <v>60712221</v>
      </c>
      <c r="M3807" t="s">
        <v>84</v>
      </c>
      <c r="N3807" s="1">
        <v>43521.601388888892</v>
      </c>
      <c r="O3807" t="s">
        <v>19</v>
      </c>
    </row>
    <row r="3808" spans="1:15" x14ac:dyDescent="0.25">
      <c r="A3808" t="s">
        <v>3172</v>
      </c>
      <c r="B3808" t="s">
        <v>15</v>
      </c>
      <c r="C3808" t="s">
        <v>3146</v>
      </c>
      <c r="D3808" t="s">
        <v>17</v>
      </c>
      <c r="E3808" t="s">
        <v>18</v>
      </c>
      <c r="F3808" t="s">
        <v>19</v>
      </c>
      <c r="G3808" t="s">
        <v>20</v>
      </c>
      <c r="J3808" t="s">
        <v>17</v>
      </c>
      <c r="K3808" t="str">
        <f>"025215495939"</f>
        <v>025215495939</v>
      </c>
      <c r="L3808" t="str">
        <f>"60713200"</f>
        <v>60713200</v>
      </c>
      <c r="M3808" t="s">
        <v>84</v>
      </c>
      <c r="N3808" s="1">
        <v>43539.744444444441</v>
      </c>
      <c r="O3808" t="s">
        <v>19</v>
      </c>
    </row>
    <row r="3809" spans="1:15" x14ac:dyDescent="0.25">
      <c r="A3809" t="s">
        <v>3173</v>
      </c>
      <c r="B3809" t="s">
        <v>15</v>
      </c>
      <c r="C3809" t="s">
        <v>3146</v>
      </c>
      <c r="D3809" t="s">
        <v>17</v>
      </c>
      <c r="E3809" t="s">
        <v>18</v>
      </c>
      <c r="F3809" t="s">
        <v>19</v>
      </c>
      <c r="G3809" t="s">
        <v>20</v>
      </c>
      <c r="J3809" t="s">
        <v>17</v>
      </c>
      <c r="K3809" t="str">
        <f>"025215495885"</f>
        <v>025215495885</v>
      </c>
      <c r="L3809" t="str">
        <f>"60710302"</f>
        <v>60710302</v>
      </c>
      <c r="M3809" t="s">
        <v>84</v>
      </c>
      <c r="N3809" s="1">
        <v>43552.852083333331</v>
      </c>
      <c r="O3809" t="s">
        <v>19</v>
      </c>
    </row>
    <row r="3810" spans="1:15" x14ac:dyDescent="0.25">
      <c r="A3810" t="s">
        <v>3174</v>
      </c>
      <c r="B3810" t="s">
        <v>15</v>
      </c>
      <c r="C3810" t="s">
        <v>3146</v>
      </c>
      <c r="D3810" t="s">
        <v>17</v>
      </c>
      <c r="E3810" t="s">
        <v>18</v>
      </c>
      <c r="F3810" t="s">
        <v>19</v>
      </c>
      <c r="G3810" t="s">
        <v>20</v>
      </c>
      <c r="J3810" t="s">
        <v>17</v>
      </c>
      <c r="K3810" t="str">
        <f>"025215717246"</f>
        <v>025215717246</v>
      </c>
      <c r="L3810" t="str">
        <f>"60713232"</f>
        <v>60713232</v>
      </c>
      <c r="M3810" t="s">
        <v>21</v>
      </c>
      <c r="N3810" s="1">
        <v>43870.673611111109</v>
      </c>
      <c r="O3810" t="s">
        <v>19</v>
      </c>
    </row>
    <row r="3811" spans="1:15" x14ac:dyDescent="0.25">
      <c r="A3811" t="s">
        <v>3175</v>
      </c>
      <c r="B3811" t="s">
        <v>15</v>
      </c>
      <c r="C3811" t="s">
        <v>3146</v>
      </c>
      <c r="D3811" t="s">
        <v>17</v>
      </c>
      <c r="E3811" t="s">
        <v>18</v>
      </c>
      <c r="F3811" t="s">
        <v>19</v>
      </c>
      <c r="G3811" t="s">
        <v>20</v>
      </c>
      <c r="J3811" t="s">
        <v>17</v>
      </c>
      <c r="K3811" t="str">
        <f>"025215495908"</f>
        <v>025215495908</v>
      </c>
      <c r="L3811" t="str">
        <f>"60710320"</f>
        <v>60710320</v>
      </c>
      <c r="M3811" t="s">
        <v>84</v>
      </c>
      <c r="N3811" s="1">
        <v>43552.850694444445</v>
      </c>
      <c r="O3811" t="s">
        <v>19</v>
      </c>
    </row>
    <row r="3812" spans="1:15" x14ac:dyDescent="0.25">
      <c r="A3812" t="s">
        <v>3176</v>
      </c>
      <c r="B3812" t="s">
        <v>15</v>
      </c>
      <c r="C3812" t="s">
        <v>3146</v>
      </c>
      <c r="D3812" t="s">
        <v>17</v>
      </c>
      <c r="E3812" t="s">
        <v>18</v>
      </c>
      <c r="F3812" t="s">
        <v>19</v>
      </c>
      <c r="G3812" t="s">
        <v>20</v>
      </c>
      <c r="J3812" t="s">
        <v>17</v>
      </c>
      <c r="K3812" t="str">
        <f>"50111011"</f>
        <v>50111011</v>
      </c>
      <c r="L3812" t="str">
        <f>"50111011"</f>
        <v>50111011</v>
      </c>
      <c r="M3812" t="s">
        <v>75</v>
      </c>
      <c r="N3812" s="1">
        <v>42872.839583333334</v>
      </c>
      <c r="O3812" t="s">
        <v>19</v>
      </c>
    </row>
    <row r="3813" spans="1:15" x14ac:dyDescent="0.25">
      <c r="A3813" t="s">
        <v>3176</v>
      </c>
      <c r="B3813" t="s">
        <v>15</v>
      </c>
      <c r="C3813" t="s">
        <v>3146</v>
      </c>
      <c r="D3813" t="s">
        <v>17</v>
      </c>
      <c r="E3813" t="s">
        <v>18</v>
      </c>
      <c r="F3813" t="s">
        <v>19</v>
      </c>
      <c r="G3813" t="s">
        <v>20</v>
      </c>
      <c r="J3813" t="s">
        <v>17</v>
      </c>
      <c r="K3813" t="str">
        <f>"619659068165"</f>
        <v>619659068165</v>
      </c>
      <c r="L3813" t="str">
        <f>"92710032"</f>
        <v>92710032</v>
      </c>
      <c r="M3813" t="s">
        <v>21</v>
      </c>
      <c r="N3813" s="1">
        <v>43630.964583333334</v>
      </c>
      <c r="O3813" t="s">
        <v>19</v>
      </c>
    </row>
    <row r="3814" spans="1:15" x14ac:dyDescent="0.25">
      <c r="A3814" t="s">
        <v>3176</v>
      </c>
      <c r="B3814" t="s">
        <v>15</v>
      </c>
      <c r="C3814" t="s">
        <v>3146</v>
      </c>
      <c r="D3814" t="s">
        <v>17</v>
      </c>
      <c r="E3814" t="s">
        <v>18</v>
      </c>
      <c r="F3814" t="s">
        <v>19</v>
      </c>
      <c r="G3814" t="s">
        <v>20</v>
      </c>
      <c r="J3814" t="s">
        <v>17</v>
      </c>
      <c r="K3814" t="str">
        <f>"04SDKCZ532"</f>
        <v>04SDKCZ532</v>
      </c>
      <c r="L3814" t="str">
        <f>"04SDKCZ532"</f>
        <v>04SDKCZ532</v>
      </c>
      <c r="M3814" t="s">
        <v>21</v>
      </c>
      <c r="N3814" s="1">
        <v>44266.644444444442</v>
      </c>
      <c r="O3814" t="s">
        <v>19</v>
      </c>
    </row>
    <row r="3815" spans="1:15" x14ac:dyDescent="0.25">
      <c r="A3815" t="s">
        <v>3177</v>
      </c>
      <c r="B3815" t="s">
        <v>15</v>
      </c>
      <c r="C3815" t="s">
        <v>3146</v>
      </c>
      <c r="D3815" t="s">
        <v>17</v>
      </c>
      <c r="E3815" t="s">
        <v>18</v>
      </c>
      <c r="F3815" t="s">
        <v>19</v>
      </c>
      <c r="G3815" t="s">
        <v>20</v>
      </c>
      <c r="J3815" t="s">
        <v>17</v>
      </c>
      <c r="K3815" t="str">
        <f>"619659069193"</f>
        <v>619659069193</v>
      </c>
      <c r="L3815" t="str">
        <f>"10002627"</f>
        <v>10002627</v>
      </c>
      <c r="M3815" t="s">
        <v>21</v>
      </c>
      <c r="N3815" s="1">
        <v>43595.964583333334</v>
      </c>
      <c r="O3815" t="s">
        <v>19</v>
      </c>
    </row>
    <row r="3816" spans="1:15" x14ac:dyDescent="0.25">
      <c r="A3816" t="s">
        <v>3178</v>
      </c>
      <c r="B3816" t="s">
        <v>15</v>
      </c>
      <c r="C3816" t="s">
        <v>3146</v>
      </c>
      <c r="D3816" t="s">
        <v>17</v>
      </c>
      <c r="E3816" t="s">
        <v>18</v>
      </c>
      <c r="F3816" t="s">
        <v>19</v>
      </c>
      <c r="G3816" t="s">
        <v>20</v>
      </c>
      <c r="J3816" t="s">
        <v>18</v>
      </c>
      <c r="K3816" t="str">
        <f>"92713232"</f>
        <v>92713232</v>
      </c>
      <c r="L3816" t="str">
        <f>"92713232"</f>
        <v>92713232</v>
      </c>
      <c r="M3816" t="s">
        <v>21</v>
      </c>
      <c r="N3816" s="1">
        <v>44254.90347222222</v>
      </c>
      <c r="O3816" t="s">
        <v>19</v>
      </c>
    </row>
    <row r="3817" spans="1:15" x14ac:dyDescent="0.25">
      <c r="A3817" t="s">
        <v>3178</v>
      </c>
      <c r="B3817" t="s">
        <v>15</v>
      </c>
      <c r="C3817" t="s">
        <v>3146</v>
      </c>
      <c r="D3817" t="s">
        <v>17</v>
      </c>
      <c r="E3817" t="s">
        <v>18</v>
      </c>
      <c r="F3817" t="s">
        <v>19</v>
      </c>
      <c r="G3817" t="s">
        <v>20</v>
      </c>
      <c r="J3817" t="s">
        <v>17</v>
      </c>
      <c r="K3817" t="str">
        <f>"619659163402"</f>
        <v>619659163402</v>
      </c>
      <c r="L3817" t="str">
        <f>"92713231"</f>
        <v>92713231</v>
      </c>
      <c r="M3817" t="s">
        <v>21</v>
      </c>
      <c r="N3817" s="1">
        <v>44453.658333333333</v>
      </c>
      <c r="O3817" t="s">
        <v>19</v>
      </c>
    </row>
    <row r="3818" spans="1:15" x14ac:dyDescent="0.25">
      <c r="A3818" t="s">
        <v>3179</v>
      </c>
      <c r="B3818" t="s">
        <v>15</v>
      </c>
      <c r="C3818" t="s">
        <v>3146</v>
      </c>
      <c r="D3818" t="s">
        <v>17</v>
      </c>
      <c r="E3818" t="s">
        <v>18</v>
      </c>
      <c r="F3818" t="s">
        <v>19</v>
      </c>
      <c r="G3818" t="s">
        <v>20</v>
      </c>
      <c r="J3818" t="s">
        <v>17</v>
      </c>
      <c r="K3818" t="str">
        <f>"619659091408"</f>
        <v>619659091408</v>
      </c>
      <c r="L3818" t="str">
        <f>"92712032"</f>
        <v>92712032</v>
      </c>
      <c r="M3818" t="s">
        <v>21</v>
      </c>
      <c r="N3818" s="1">
        <v>43630.968055555553</v>
      </c>
      <c r="O3818" t="s">
        <v>19</v>
      </c>
    </row>
    <row r="3819" spans="1:15" x14ac:dyDescent="0.25">
      <c r="A3819" t="s">
        <v>3180</v>
      </c>
      <c r="B3819" t="s">
        <v>15</v>
      </c>
      <c r="C3819" t="s">
        <v>3146</v>
      </c>
      <c r="D3819" t="s">
        <v>17</v>
      </c>
      <c r="E3819" t="s">
        <v>18</v>
      </c>
      <c r="F3819" t="s">
        <v>19</v>
      </c>
      <c r="G3819" t="s">
        <v>20</v>
      </c>
      <c r="J3819" t="s">
        <v>17</v>
      </c>
      <c r="K3819" t="str">
        <f>"619659153038"</f>
        <v>619659153038</v>
      </c>
      <c r="L3819" t="str">
        <f>"92710732"</f>
        <v>92710732</v>
      </c>
      <c r="M3819" t="s">
        <v>21</v>
      </c>
      <c r="N3819" s="1">
        <v>43630.980555555558</v>
      </c>
      <c r="O3819" t="s">
        <v>19</v>
      </c>
    </row>
    <row r="3820" spans="1:15" x14ac:dyDescent="0.25">
      <c r="A3820" t="s">
        <v>3181</v>
      </c>
      <c r="B3820" t="s">
        <v>15</v>
      </c>
      <c r="C3820" t="s">
        <v>3146</v>
      </c>
      <c r="D3820" t="s">
        <v>17</v>
      </c>
      <c r="E3820" t="s">
        <v>18</v>
      </c>
      <c r="F3820" t="s">
        <v>19</v>
      </c>
      <c r="G3820" t="s">
        <v>20</v>
      </c>
      <c r="J3820" t="s">
        <v>17</v>
      </c>
      <c r="K3820" t="str">
        <f>"340509154"</f>
        <v>340509154</v>
      </c>
      <c r="L3820" t="str">
        <f>"340509154"</f>
        <v>340509154</v>
      </c>
      <c r="M3820" t="s">
        <v>75</v>
      </c>
      <c r="N3820" s="1">
        <v>42872.849305555559</v>
      </c>
      <c r="O3820" t="s">
        <v>19</v>
      </c>
    </row>
    <row r="3821" spans="1:15" x14ac:dyDescent="0.25">
      <c r="A3821" t="s">
        <v>3181</v>
      </c>
      <c r="B3821" t="s">
        <v>15</v>
      </c>
      <c r="C3821" t="s">
        <v>3146</v>
      </c>
      <c r="D3821" t="s">
        <v>17</v>
      </c>
      <c r="E3821" t="s">
        <v>18</v>
      </c>
      <c r="F3821" t="s">
        <v>19</v>
      </c>
      <c r="G3821" t="s">
        <v>20</v>
      </c>
      <c r="J3821" t="s">
        <v>17</v>
      </c>
      <c r="K3821" t="str">
        <f>"619659136697"</f>
        <v>619659136697</v>
      </c>
      <c r="L3821" t="str">
        <f>"92716697"</f>
        <v>92716697</v>
      </c>
      <c r="M3821" t="s">
        <v>21</v>
      </c>
      <c r="N3821" s="1">
        <v>43822.724999999999</v>
      </c>
      <c r="O3821" t="s">
        <v>19</v>
      </c>
    </row>
    <row r="3822" spans="1:15" x14ac:dyDescent="0.25">
      <c r="A3822" t="s">
        <v>3182</v>
      </c>
      <c r="B3822" t="s">
        <v>15</v>
      </c>
      <c r="C3822" t="s">
        <v>3146</v>
      </c>
      <c r="D3822" t="s">
        <v>17</v>
      </c>
      <c r="E3822" t="s">
        <v>18</v>
      </c>
      <c r="F3822" t="s">
        <v>19</v>
      </c>
      <c r="G3822" t="s">
        <v>20</v>
      </c>
      <c r="J3822" t="s">
        <v>17</v>
      </c>
      <c r="K3822" t="str">
        <f>"740617282290"</f>
        <v>740617282290</v>
      </c>
      <c r="L3822" t="str">
        <f>"10002632"</f>
        <v>10002632</v>
      </c>
      <c r="M3822" t="s">
        <v>84</v>
      </c>
      <c r="N3822" s="1">
        <v>43469.966666666667</v>
      </c>
      <c r="O3822" t="s">
        <v>19</v>
      </c>
    </row>
    <row r="3823" spans="1:15" x14ac:dyDescent="0.25">
      <c r="A3823" t="s">
        <v>3183</v>
      </c>
      <c r="B3823" t="s">
        <v>15</v>
      </c>
      <c r="C3823" t="s">
        <v>3146</v>
      </c>
      <c r="D3823" t="s">
        <v>17</v>
      </c>
      <c r="E3823" t="s">
        <v>18</v>
      </c>
      <c r="F3823" t="s">
        <v>19</v>
      </c>
      <c r="G3823" t="s">
        <v>20</v>
      </c>
      <c r="J3823" t="s">
        <v>18</v>
      </c>
      <c r="K3823" t="str">
        <f>"025215495892"</f>
        <v>025215495892</v>
      </c>
      <c r="L3823" t="str">
        <f>"60719393"</f>
        <v>60719393</v>
      </c>
      <c r="M3823" t="s">
        <v>84</v>
      </c>
      <c r="N3823" s="1">
        <v>43521.600694444445</v>
      </c>
      <c r="O3823" t="s">
        <v>19</v>
      </c>
    </row>
    <row r="3824" spans="1:15" x14ac:dyDescent="0.25">
      <c r="A3824" t="s">
        <v>3184</v>
      </c>
      <c r="B3824" t="s">
        <v>15</v>
      </c>
      <c r="C3824" t="s">
        <v>3146</v>
      </c>
      <c r="D3824" t="s">
        <v>17</v>
      </c>
      <c r="E3824" t="s">
        <v>18</v>
      </c>
      <c r="F3824" t="s">
        <v>19</v>
      </c>
      <c r="G3824" t="s">
        <v>20</v>
      </c>
      <c r="J3824" t="s">
        <v>17</v>
      </c>
      <c r="K3824" t="str">
        <f>"025215495946"</f>
        <v>025215495946</v>
      </c>
      <c r="L3824" t="str">
        <f>"69710640"</f>
        <v>69710640</v>
      </c>
      <c r="M3824" t="s">
        <v>84</v>
      </c>
      <c r="N3824" s="1">
        <v>43552.854861111111</v>
      </c>
      <c r="O3824" t="s">
        <v>19</v>
      </c>
    </row>
    <row r="3825" spans="1:15" x14ac:dyDescent="0.25">
      <c r="A3825" t="s">
        <v>3185</v>
      </c>
      <c r="B3825" t="s">
        <v>15</v>
      </c>
      <c r="C3825" t="s">
        <v>3146</v>
      </c>
      <c r="D3825" t="s">
        <v>17</v>
      </c>
      <c r="E3825" t="s">
        <v>18</v>
      </c>
      <c r="F3825" t="s">
        <v>19</v>
      </c>
      <c r="G3825" t="s">
        <v>20</v>
      </c>
      <c r="J3825" t="s">
        <v>17</v>
      </c>
      <c r="K3825" t="str">
        <f>"025215493270"</f>
        <v>025215493270</v>
      </c>
      <c r="L3825" t="str">
        <f>"60716400"</f>
        <v>60716400</v>
      </c>
      <c r="M3825" t="s">
        <v>84</v>
      </c>
      <c r="N3825" s="1">
        <v>43552.854166666664</v>
      </c>
      <c r="O3825" t="s">
        <v>19</v>
      </c>
    </row>
    <row r="3826" spans="1:15" x14ac:dyDescent="0.25">
      <c r="A3826" t="s">
        <v>3186</v>
      </c>
      <c r="B3826" t="s">
        <v>15</v>
      </c>
      <c r="C3826" t="s">
        <v>3146</v>
      </c>
      <c r="D3826" t="s">
        <v>17</v>
      </c>
      <c r="E3826" t="s">
        <v>18</v>
      </c>
      <c r="F3826" t="s">
        <v>19</v>
      </c>
      <c r="G3826" t="s">
        <v>20</v>
      </c>
      <c r="J3826" t="s">
        <v>17</v>
      </c>
      <c r="K3826" t="str">
        <f>"619659097325"</f>
        <v>619659097325</v>
      </c>
      <c r="L3826" t="str">
        <f>"92710064"</f>
        <v>92710064</v>
      </c>
      <c r="M3826" t="s">
        <v>21</v>
      </c>
      <c r="N3826" s="1">
        <v>43694</v>
      </c>
      <c r="O3826" t="s">
        <v>19</v>
      </c>
    </row>
    <row r="3827" spans="1:15" x14ac:dyDescent="0.25">
      <c r="A3827" t="s">
        <v>3186</v>
      </c>
      <c r="B3827" t="s">
        <v>15</v>
      </c>
      <c r="C3827" t="s">
        <v>3146</v>
      </c>
      <c r="D3827" t="s">
        <v>17</v>
      </c>
      <c r="E3827" t="s">
        <v>18</v>
      </c>
      <c r="F3827" t="s">
        <v>19</v>
      </c>
      <c r="G3827" t="s">
        <v>20</v>
      </c>
      <c r="J3827" t="s">
        <v>17</v>
      </c>
      <c r="K3827" t="str">
        <f>"04SDKCZ564"</f>
        <v>04SDKCZ564</v>
      </c>
      <c r="L3827" t="str">
        <f>"04SDKCZ564"</f>
        <v>04SDKCZ564</v>
      </c>
      <c r="M3827" t="s">
        <v>21</v>
      </c>
      <c r="N3827" s="1">
        <v>44266.652083333334</v>
      </c>
      <c r="O3827" t="s">
        <v>19</v>
      </c>
    </row>
    <row r="3828" spans="1:15" x14ac:dyDescent="0.25">
      <c r="A3828" t="s">
        <v>3187</v>
      </c>
      <c r="B3828" t="s">
        <v>15</v>
      </c>
      <c r="C3828" t="s">
        <v>3146</v>
      </c>
      <c r="D3828" t="s">
        <v>17</v>
      </c>
      <c r="E3828" t="s">
        <v>18</v>
      </c>
      <c r="F3828" t="s">
        <v>19</v>
      </c>
      <c r="G3828" t="s">
        <v>20</v>
      </c>
      <c r="J3828" t="s">
        <v>18</v>
      </c>
      <c r="K3828" t="str">
        <f>"92716464"</f>
        <v>92716464</v>
      </c>
      <c r="L3828" t="str">
        <f>"92716464"</f>
        <v>92716464</v>
      </c>
      <c r="M3828" t="s">
        <v>21</v>
      </c>
      <c r="N3828" s="1">
        <v>44254.907638888886</v>
      </c>
      <c r="O3828" t="s">
        <v>19</v>
      </c>
    </row>
    <row r="3829" spans="1:15" x14ac:dyDescent="0.25">
      <c r="A3829" t="s">
        <v>3188</v>
      </c>
      <c r="B3829" t="s">
        <v>15</v>
      </c>
      <c r="C3829" t="s">
        <v>3146</v>
      </c>
      <c r="D3829" t="s">
        <v>17</v>
      </c>
      <c r="E3829" t="s">
        <v>18</v>
      </c>
      <c r="F3829" t="s">
        <v>19</v>
      </c>
      <c r="G3829" t="s">
        <v>20</v>
      </c>
      <c r="J3829" t="s">
        <v>17</v>
      </c>
      <c r="K3829" t="str">
        <f>"619659153076"</f>
        <v>619659153076</v>
      </c>
      <c r="L3829" t="str">
        <f>"92710764"</f>
        <v>92710764</v>
      </c>
      <c r="M3829" t="s">
        <v>21</v>
      </c>
      <c r="N3829" s="1">
        <v>43630.981249999997</v>
      </c>
      <c r="O3829" t="s">
        <v>19</v>
      </c>
    </row>
    <row r="3830" spans="1:15" x14ac:dyDescent="0.25">
      <c r="A3830" t="s">
        <v>3189</v>
      </c>
      <c r="B3830" t="s">
        <v>15</v>
      </c>
      <c r="C3830" t="s">
        <v>3146</v>
      </c>
      <c r="D3830" t="s">
        <v>17</v>
      </c>
      <c r="E3830" t="s">
        <v>18</v>
      </c>
      <c r="F3830" t="s">
        <v>19</v>
      </c>
      <c r="G3830" t="s">
        <v>20</v>
      </c>
      <c r="J3830" t="s">
        <v>17</v>
      </c>
      <c r="K3830" t="str">
        <f>"619659136703"</f>
        <v>619659136703</v>
      </c>
      <c r="L3830" t="str">
        <f>"92713064"</f>
        <v>92713064</v>
      </c>
      <c r="M3830" t="s">
        <v>21</v>
      </c>
      <c r="N3830" s="1">
        <v>43746.900694444441</v>
      </c>
      <c r="O3830" t="s">
        <v>19</v>
      </c>
    </row>
    <row r="3831" spans="1:15" x14ac:dyDescent="0.25">
      <c r="A3831" t="s">
        <v>3190</v>
      </c>
      <c r="B3831" t="s">
        <v>15</v>
      </c>
      <c r="C3831" t="s">
        <v>3146</v>
      </c>
      <c r="D3831" t="s">
        <v>17</v>
      </c>
      <c r="E3831" t="s">
        <v>18</v>
      </c>
      <c r="F3831" t="s">
        <v>19</v>
      </c>
      <c r="G3831" t="s">
        <v>20</v>
      </c>
      <c r="J3831" t="s">
        <v>17</v>
      </c>
      <c r="K3831" t="str">
        <f>"50002246"</f>
        <v>50002246</v>
      </c>
      <c r="L3831" t="str">
        <f>"50002246"</f>
        <v>50002246</v>
      </c>
      <c r="M3831" t="s">
        <v>75</v>
      </c>
      <c r="N3831" s="1">
        <v>42872.839583333334</v>
      </c>
      <c r="O3831" t="s">
        <v>19</v>
      </c>
    </row>
    <row r="3832" spans="1:15" x14ac:dyDescent="0.25">
      <c r="A3832" t="s">
        <v>3191</v>
      </c>
      <c r="B3832" t="s">
        <v>15</v>
      </c>
      <c r="C3832" t="s">
        <v>3146</v>
      </c>
      <c r="D3832" t="s">
        <v>17</v>
      </c>
      <c r="E3832" t="s">
        <v>18</v>
      </c>
      <c r="F3832" t="s">
        <v>19</v>
      </c>
      <c r="G3832" t="s">
        <v>20</v>
      </c>
      <c r="J3832" t="s">
        <v>17</v>
      </c>
      <c r="K3832" t="str">
        <f>"4718050609598"</f>
        <v>4718050609598</v>
      </c>
      <c r="L3832" t="str">
        <f>"98719598"</f>
        <v>98719598</v>
      </c>
      <c r="M3832" t="s">
        <v>84</v>
      </c>
      <c r="N3832" s="1">
        <v>43369.627083333333</v>
      </c>
      <c r="O3832" t="s">
        <v>19</v>
      </c>
    </row>
    <row r="3833" spans="1:15" x14ac:dyDescent="0.25">
      <c r="A3833" t="s">
        <v>3191</v>
      </c>
      <c r="B3833" t="s">
        <v>15</v>
      </c>
      <c r="C3833" t="s">
        <v>3146</v>
      </c>
      <c r="D3833" t="s">
        <v>17</v>
      </c>
      <c r="E3833" t="s">
        <v>18</v>
      </c>
      <c r="F3833" t="s">
        <v>19</v>
      </c>
      <c r="G3833" t="s">
        <v>20</v>
      </c>
      <c r="J3833" t="s">
        <v>17</v>
      </c>
      <c r="K3833" t="str">
        <f>"4713435794197"</f>
        <v>4713435794197</v>
      </c>
      <c r="L3833" t="str">
        <f>"98714197"</f>
        <v>98714197</v>
      </c>
      <c r="M3833" t="s">
        <v>84</v>
      </c>
      <c r="N3833" s="1">
        <v>43369.627083333333</v>
      </c>
      <c r="O3833" t="s">
        <v>19</v>
      </c>
    </row>
    <row r="3834" spans="1:15" x14ac:dyDescent="0.25">
      <c r="A3834" t="s">
        <v>3192</v>
      </c>
      <c r="B3834" t="s">
        <v>15</v>
      </c>
      <c r="C3834" t="s">
        <v>3146</v>
      </c>
      <c r="D3834" t="s">
        <v>17</v>
      </c>
      <c r="E3834" t="s">
        <v>18</v>
      </c>
      <c r="F3834" t="s">
        <v>19</v>
      </c>
      <c r="G3834" t="s">
        <v>20</v>
      </c>
      <c r="J3834" t="s">
        <v>17</v>
      </c>
      <c r="K3834" t="str">
        <f>"10002350"</f>
        <v>10002350</v>
      </c>
      <c r="L3834" t="str">
        <f>"10002350"</f>
        <v>10002350</v>
      </c>
      <c r="M3834" t="s">
        <v>75</v>
      </c>
      <c r="N3834" s="1">
        <v>42872.839583333334</v>
      </c>
      <c r="O3834" t="s">
        <v>19</v>
      </c>
    </row>
    <row r="3835" spans="1:15" x14ac:dyDescent="0.25">
      <c r="A3835" t="s">
        <v>3193</v>
      </c>
      <c r="B3835" t="s">
        <v>15</v>
      </c>
      <c r="C3835" t="s">
        <v>3146</v>
      </c>
      <c r="D3835" t="s">
        <v>17</v>
      </c>
      <c r="E3835" t="s">
        <v>18</v>
      </c>
      <c r="F3835" t="s">
        <v>19</v>
      </c>
      <c r="G3835" t="s">
        <v>20</v>
      </c>
      <c r="J3835" t="s">
        <v>17</v>
      </c>
      <c r="K3835" t="str">
        <f>"96710008"</f>
        <v>96710008</v>
      </c>
      <c r="L3835" t="str">
        <f>"96710008"</f>
        <v>96710008</v>
      </c>
      <c r="M3835" t="s">
        <v>75</v>
      </c>
      <c r="N3835" s="1">
        <v>42872.847222222219</v>
      </c>
      <c r="O3835" t="s">
        <v>19</v>
      </c>
    </row>
    <row r="3836" spans="1:15" x14ac:dyDescent="0.25">
      <c r="A3836" t="s">
        <v>3194</v>
      </c>
      <c r="B3836" t="s">
        <v>15</v>
      </c>
      <c r="C3836" t="s">
        <v>3146</v>
      </c>
      <c r="D3836" t="s">
        <v>17</v>
      </c>
      <c r="E3836" t="s">
        <v>18</v>
      </c>
      <c r="F3836" t="s">
        <v>19</v>
      </c>
      <c r="G3836" t="s">
        <v>20</v>
      </c>
      <c r="J3836" t="s">
        <v>17</v>
      </c>
      <c r="K3836" t="str">
        <f>"10002246"</f>
        <v>10002246</v>
      </c>
      <c r="L3836" t="str">
        <f>"10002246"</f>
        <v>10002246</v>
      </c>
      <c r="M3836" t="s">
        <v>75</v>
      </c>
      <c r="N3836" s="1">
        <v>42872.839583333334</v>
      </c>
      <c r="O3836" t="s">
        <v>19</v>
      </c>
    </row>
    <row r="3837" spans="1:15" x14ac:dyDescent="0.25">
      <c r="A3837" t="s">
        <v>3194</v>
      </c>
      <c r="B3837" t="s">
        <v>15</v>
      </c>
      <c r="C3837" t="s">
        <v>3146</v>
      </c>
      <c r="D3837" t="s">
        <v>17</v>
      </c>
      <c r="E3837" t="s">
        <v>18</v>
      </c>
      <c r="F3837" t="s">
        <v>19</v>
      </c>
      <c r="G3837" t="s">
        <v>20</v>
      </c>
      <c r="J3837" t="s">
        <v>17</v>
      </c>
      <c r="K3837" t="str">
        <f>"66002608"</f>
        <v>66002608</v>
      </c>
      <c r="L3837" t="str">
        <f>"66002608"</f>
        <v>66002608</v>
      </c>
      <c r="M3837" t="s">
        <v>75</v>
      </c>
      <c r="N3837" s="1">
        <v>42872.847222222219</v>
      </c>
      <c r="O3837" t="s">
        <v>19</v>
      </c>
    </row>
    <row r="3838" spans="1:15" x14ac:dyDescent="0.25">
      <c r="A3838" t="s">
        <v>3194</v>
      </c>
      <c r="B3838" t="s">
        <v>15</v>
      </c>
      <c r="C3838" t="s">
        <v>3146</v>
      </c>
      <c r="D3838" t="s">
        <v>17</v>
      </c>
      <c r="E3838" t="s">
        <v>18</v>
      </c>
      <c r="F3838" t="s">
        <v>19</v>
      </c>
      <c r="G3838" t="s">
        <v>20</v>
      </c>
      <c r="J3838" t="s">
        <v>17</v>
      </c>
      <c r="K3838" t="str">
        <f>"66102246"</f>
        <v>66102246</v>
      </c>
      <c r="L3838" t="str">
        <f>"66102246"</f>
        <v>66102246</v>
      </c>
      <c r="M3838" t="s">
        <v>75</v>
      </c>
      <c r="N3838" s="1">
        <v>42872.847222222219</v>
      </c>
      <c r="O3838" t="s">
        <v>19</v>
      </c>
    </row>
    <row r="3839" spans="1:15" x14ac:dyDescent="0.25">
      <c r="A3839" t="s">
        <v>3194</v>
      </c>
      <c r="B3839" t="s">
        <v>15</v>
      </c>
      <c r="C3839" t="s">
        <v>3146</v>
      </c>
      <c r="D3839" t="s">
        <v>17</v>
      </c>
      <c r="E3839" t="s">
        <v>18</v>
      </c>
      <c r="F3839" t="s">
        <v>19</v>
      </c>
      <c r="G3839" t="s">
        <v>20</v>
      </c>
      <c r="J3839" t="s">
        <v>17</v>
      </c>
      <c r="K3839" t="str">
        <f>"66712908"</f>
        <v>66712908</v>
      </c>
      <c r="L3839" t="str">
        <f>"66712908"</f>
        <v>66712908</v>
      </c>
      <c r="M3839" t="s">
        <v>75</v>
      </c>
      <c r="N3839" s="1">
        <v>42872.847222222219</v>
      </c>
      <c r="O3839" t="s">
        <v>19</v>
      </c>
    </row>
    <row r="3840" spans="1:15" x14ac:dyDescent="0.25">
      <c r="A3840" t="s">
        <v>3195</v>
      </c>
      <c r="B3840" t="s">
        <v>15</v>
      </c>
      <c r="C3840" t="s">
        <v>3146</v>
      </c>
      <c r="D3840" t="s">
        <v>17</v>
      </c>
      <c r="E3840" t="s">
        <v>18</v>
      </c>
      <c r="F3840" t="s">
        <v>19</v>
      </c>
      <c r="G3840" t="s">
        <v>20</v>
      </c>
      <c r="J3840" t="s">
        <v>17</v>
      </c>
      <c r="K3840" t="str">
        <f>"87710008"</f>
        <v>87710008</v>
      </c>
      <c r="L3840" t="str">
        <f>"87710008"</f>
        <v>87710008</v>
      </c>
      <c r="M3840" t="s">
        <v>75</v>
      </c>
      <c r="N3840" s="1">
        <v>42872.847222222219</v>
      </c>
      <c r="O3840" t="s">
        <v>19</v>
      </c>
    </row>
    <row r="3841" spans="1:15" x14ac:dyDescent="0.25">
      <c r="A3841" t="s">
        <v>3196</v>
      </c>
      <c r="B3841" t="s">
        <v>15</v>
      </c>
      <c r="C3841" t="s">
        <v>3146</v>
      </c>
      <c r="D3841" t="s">
        <v>17</v>
      </c>
      <c r="E3841" t="s">
        <v>18</v>
      </c>
      <c r="F3841" t="s">
        <v>19</v>
      </c>
      <c r="G3841" t="s">
        <v>20</v>
      </c>
      <c r="J3841" t="s">
        <v>17</v>
      </c>
      <c r="K3841" t="str">
        <f>"66710008"</f>
        <v>66710008</v>
      </c>
      <c r="L3841" t="str">
        <f>"66710008"</f>
        <v>66710008</v>
      </c>
      <c r="M3841" t="s">
        <v>75</v>
      </c>
      <c r="N3841" s="1">
        <v>43179.681250000001</v>
      </c>
      <c r="O3841" t="s">
        <v>19</v>
      </c>
    </row>
    <row r="3842" spans="1:15" x14ac:dyDescent="0.25">
      <c r="A3842" t="s">
        <v>3197</v>
      </c>
      <c r="B3842" t="s">
        <v>15</v>
      </c>
      <c r="C3842" t="s">
        <v>3146</v>
      </c>
      <c r="D3842" t="s">
        <v>17</v>
      </c>
      <c r="E3842" t="s">
        <v>18</v>
      </c>
      <c r="F3842" t="s">
        <v>19</v>
      </c>
      <c r="G3842" t="s">
        <v>20</v>
      </c>
      <c r="J3842" t="s">
        <v>17</v>
      </c>
      <c r="K3842" t="str">
        <f>"619659142032"</f>
        <v>619659142032</v>
      </c>
      <c r="L3842" t="str">
        <f>"92711600"</f>
        <v>92711600</v>
      </c>
      <c r="M3842" t="s">
        <v>21</v>
      </c>
      <c r="N3842" s="1">
        <v>43694.000694444447</v>
      </c>
      <c r="O3842" t="s">
        <v>19</v>
      </c>
    </row>
    <row r="3843" spans="1:15" x14ac:dyDescent="0.25">
      <c r="A3843" t="s">
        <v>3198</v>
      </c>
      <c r="B3843" t="s">
        <v>15</v>
      </c>
      <c r="C3843" t="s">
        <v>3146</v>
      </c>
      <c r="D3843" t="s">
        <v>17</v>
      </c>
      <c r="E3843" t="s">
        <v>18</v>
      </c>
      <c r="F3843" t="s">
        <v>19</v>
      </c>
      <c r="G3843" t="s">
        <v>20</v>
      </c>
      <c r="J3843" t="s">
        <v>17</v>
      </c>
      <c r="K3843" t="str">
        <f>"619659142049"</f>
        <v>619659142049</v>
      </c>
      <c r="L3843" t="str">
        <f>"92713200"</f>
        <v>92713200</v>
      </c>
      <c r="M3843" t="s">
        <v>21</v>
      </c>
      <c r="N3843" s="1">
        <v>43746.905555555553</v>
      </c>
      <c r="O3843" t="s">
        <v>19</v>
      </c>
    </row>
    <row r="3844" spans="1:15" x14ac:dyDescent="0.25">
      <c r="A3844" t="s">
        <v>3199</v>
      </c>
      <c r="B3844" t="s">
        <v>15</v>
      </c>
      <c r="C3844" t="s">
        <v>3146</v>
      </c>
      <c r="D3844" t="s">
        <v>17</v>
      </c>
      <c r="E3844" t="s">
        <v>18</v>
      </c>
      <c r="F3844" t="s">
        <v>19</v>
      </c>
      <c r="G3844" t="s">
        <v>20</v>
      </c>
      <c r="J3844" t="s">
        <v>17</v>
      </c>
      <c r="K3844" t="str">
        <f>"619659142056"</f>
        <v>619659142056</v>
      </c>
      <c r="L3844" t="str">
        <f>"92712056"</f>
        <v>92712056</v>
      </c>
      <c r="M3844" t="s">
        <v>21</v>
      </c>
      <c r="N3844" s="1">
        <v>43822.736111111109</v>
      </c>
      <c r="O3844" t="s">
        <v>19</v>
      </c>
    </row>
    <row r="3845" spans="1:15" x14ac:dyDescent="0.25">
      <c r="A3845" t="s">
        <v>3200</v>
      </c>
      <c r="B3845" t="s">
        <v>15</v>
      </c>
      <c r="C3845" t="s">
        <v>3146</v>
      </c>
      <c r="D3845" t="s">
        <v>17</v>
      </c>
      <c r="E3845" t="s">
        <v>18</v>
      </c>
      <c r="F3845" t="s">
        <v>19</v>
      </c>
      <c r="G3845" t="s">
        <v>20</v>
      </c>
      <c r="J3845" t="s">
        <v>17</v>
      </c>
      <c r="K3845" t="str">
        <f>"619659149543"</f>
        <v>619659149543</v>
      </c>
      <c r="L3845" t="str">
        <f>"92710160"</f>
        <v>92710160</v>
      </c>
      <c r="M3845" t="s">
        <v>21</v>
      </c>
      <c r="N3845" s="1">
        <v>43694.002083333333</v>
      </c>
      <c r="O3845" t="s">
        <v>19</v>
      </c>
    </row>
    <row r="3846" spans="1:15" x14ac:dyDescent="0.25">
      <c r="A3846" t="s">
        <v>3201</v>
      </c>
      <c r="B3846" t="s">
        <v>15</v>
      </c>
      <c r="C3846" t="s">
        <v>3146</v>
      </c>
      <c r="D3846" t="s">
        <v>17</v>
      </c>
      <c r="E3846" t="s">
        <v>18</v>
      </c>
      <c r="F3846" t="s">
        <v>19</v>
      </c>
      <c r="G3846" t="s">
        <v>20</v>
      </c>
      <c r="J3846" t="s">
        <v>17</v>
      </c>
      <c r="K3846" t="str">
        <f>"619659149598"</f>
        <v>619659149598</v>
      </c>
      <c r="L3846" t="str">
        <f>"92710320"</f>
        <v>92710320</v>
      </c>
      <c r="M3846" t="s">
        <v>21</v>
      </c>
      <c r="N3846" s="1">
        <v>43545.574999999997</v>
      </c>
      <c r="O3846" t="s">
        <v>19</v>
      </c>
    </row>
    <row r="3847" spans="1:15" x14ac:dyDescent="0.25">
      <c r="A3847" t="s">
        <v>3202</v>
      </c>
      <c r="B3847" t="s">
        <v>15</v>
      </c>
      <c r="C3847" t="s">
        <v>3146</v>
      </c>
      <c r="D3847" t="s">
        <v>17</v>
      </c>
      <c r="E3847" t="s">
        <v>18</v>
      </c>
      <c r="F3847" t="s">
        <v>19</v>
      </c>
      <c r="G3847" t="s">
        <v>20</v>
      </c>
      <c r="J3847" t="s">
        <v>17</v>
      </c>
      <c r="K3847" t="str">
        <f>"619659149642"</f>
        <v>619659149642</v>
      </c>
      <c r="L3847" t="str">
        <f>"92710364"</f>
        <v>92710364</v>
      </c>
      <c r="M3847" t="s">
        <v>21</v>
      </c>
      <c r="N3847" s="1">
        <v>43746.90347222222</v>
      </c>
      <c r="O3847" t="s">
        <v>19</v>
      </c>
    </row>
    <row r="3848" spans="1:15" x14ac:dyDescent="0.25">
      <c r="A3848" t="s">
        <v>3203</v>
      </c>
      <c r="B3848" t="s">
        <v>15</v>
      </c>
      <c r="C3848" t="s">
        <v>37</v>
      </c>
      <c r="D3848" t="s">
        <v>17</v>
      </c>
      <c r="E3848" t="s">
        <v>18</v>
      </c>
      <c r="F3848" t="s">
        <v>19</v>
      </c>
      <c r="G3848" t="s">
        <v>20</v>
      </c>
      <c r="J3848" t="s">
        <v>17</v>
      </c>
      <c r="K3848" t="str">
        <f>"6952147899624"</f>
        <v>6952147899624</v>
      </c>
      <c r="L3848" t="str">
        <f>"40529624"</f>
        <v>40529624</v>
      </c>
      <c r="M3848" t="s">
        <v>21</v>
      </c>
      <c r="N3848" s="1">
        <v>44349.70208333333</v>
      </c>
      <c r="O3848" t="s">
        <v>19</v>
      </c>
    </row>
    <row r="3849" spans="1:15" x14ac:dyDescent="0.25">
      <c r="A3849" t="s">
        <v>3204</v>
      </c>
      <c r="B3849" t="s">
        <v>15</v>
      </c>
      <c r="C3849" t="s">
        <v>37</v>
      </c>
      <c r="D3849" t="s">
        <v>17</v>
      </c>
      <c r="E3849" t="s">
        <v>18</v>
      </c>
      <c r="F3849" t="s">
        <v>19</v>
      </c>
      <c r="G3849" t="s">
        <v>20</v>
      </c>
      <c r="J3849" t="s">
        <v>17</v>
      </c>
      <c r="K3849" t="str">
        <f>"6990288370015"</f>
        <v>6990288370015</v>
      </c>
      <c r="L3849" t="str">
        <f>"40520015"</f>
        <v>40520015</v>
      </c>
      <c r="M3849" t="s">
        <v>21</v>
      </c>
      <c r="N3849" s="1">
        <v>43125.638888888891</v>
      </c>
      <c r="O3849" t="s">
        <v>19</v>
      </c>
    </row>
    <row r="3850" spans="1:15" x14ac:dyDescent="0.25">
      <c r="A3850" t="s">
        <v>3205</v>
      </c>
      <c r="B3850" t="s">
        <v>15</v>
      </c>
      <c r="C3850" t="s">
        <v>37</v>
      </c>
      <c r="D3850" t="s">
        <v>17</v>
      </c>
      <c r="E3850" t="s">
        <v>18</v>
      </c>
      <c r="F3850" t="s">
        <v>19</v>
      </c>
      <c r="G3850" t="s">
        <v>20</v>
      </c>
      <c r="J3850" t="s">
        <v>17</v>
      </c>
      <c r="K3850" t="str">
        <f>"6924494004037"</f>
        <v>6924494004037</v>
      </c>
      <c r="L3850" t="str">
        <f>"98524037"</f>
        <v>98524037</v>
      </c>
      <c r="M3850" t="s">
        <v>21</v>
      </c>
      <c r="N3850" s="1">
        <v>44001.665972222225</v>
      </c>
      <c r="O3850" t="s">
        <v>19</v>
      </c>
    </row>
    <row r="3851" spans="1:15" x14ac:dyDescent="0.25">
      <c r="A3851" t="s">
        <v>3206</v>
      </c>
      <c r="B3851" t="s">
        <v>15</v>
      </c>
      <c r="C3851" t="s">
        <v>932</v>
      </c>
      <c r="D3851" t="s">
        <v>17</v>
      </c>
      <c r="E3851" t="s">
        <v>18</v>
      </c>
      <c r="F3851" t="s">
        <v>19</v>
      </c>
      <c r="G3851" t="s">
        <v>20</v>
      </c>
      <c r="J3851" t="s">
        <v>17</v>
      </c>
      <c r="K3851" t="str">
        <f>"10003600"</f>
        <v>10003600</v>
      </c>
      <c r="L3851" t="str">
        <f>"10003600"</f>
        <v>10003600</v>
      </c>
      <c r="M3851" t="s">
        <v>21</v>
      </c>
      <c r="N3851" s="1">
        <v>43612.620833333334</v>
      </c>
      <c r="O3851" t="s">
        <v>19</v>
      </c>
    </row>
    <row r="3852" spans="1:15" x14ac:dyDescent="0.25">
      <c r="A3852" t="s">
        <v>3207</v>
      </c>
      <c r="B3852" t="s">
        <v>15</v>
      </c>
      <c r="C3852" t="s">
        <v>932</v>
      </c>
      <c r="D3852" t="s">
        <v>17</v>
      </c>
      <c r="E3852" t="s">
        <v>18</v>
      </c>
      <c r="F3852" t="s">
        <v>19</v>
      </c>
      <c r="G3852" t="s">
        <v>20</v>
      </c>
      <c r="J3852" t="s">
        <v>17</v>
      </c>
      <c r="K3852" t="str">
        <f>"10003344"</f>
        <v>10003344</v>
      </c>
      <c r="L3852" t="str">
        <f>"10003344"</f>
        <v>10003344</v>
      </c>
      <c r="M3852" t="s">
        <v>21</v>
      </c>
      <c r="N3852" s="1">
        <v>43612.620138888888</v>
      </c>
      <c r="O3852" t="s">
        <v>19</v>
      </c>
    </row>
    <row r="3853" spans="1:15" x14ac:dyDescent="0.25">
      <c r="A3853" t="s">
        <v>3208</v>
      </c>
      <c r="B3853" t="s">
        <v>15</v>
      </c>
      <c r="C3853" t="s">
        <v>932</v>
      </c>
      <c r="D3853" t="s">
        <v>17</v>
      </c>
      <c r="E3853" t="s">
        <v>18</v>
      </c>
      <c r="F3853" t="s">
        <v>19</v>
      </c>
      <c r="G3853" t="s">
        <v>20</v>
      </c>
      <c r="J3853" t="s">
        <v>17</v>
      </c>
      <c r="K3853" t="str">
        <f>"4891199042140"</f>
        <v>4891199042140</v>
      </c>
      <c r="L3853" t="str">
        <f>"98050230"</f>
        <v>98050230</v>
      </c>
      <c r="M3853" t="s">
        <v>21</v>
      </c>
      <c r="N3853" s="1">
        <v>43237.882638888892</v>
      </c>
      <c r="O3853" t="s">
        <v>19</v>
      </c>
    </row>
    <row r="3854" spans="1:15" x14ac:dyDescent="0.25">
      <c r="A3854" t="s">
        <v>3209</v>
      </c>
      <c r="B3854" t="s">
        <v>15</v>
      </c>
      <c r="C3854" t="s">
        <v>932</v>
      </c>
      <c r="D3854" t="s">
        <v>17</v>
      </c>
      <c r="E3854" t="s">
        <v>18</v>
      </c>
      <c r="F3854" t="s">
        <v>19</v>
      </c>
      <c r="G3854" t="s">
        <v>20</v>
      </c>
      <c r="J3854" t="s">
        <v>17</v>
      </c>
      <c r="K3854" t="str">
        <f>"4891199011504"</f>
        <v>4891199011504</v>
      </c>
      <c r="L3854" t="str">
        <f>"98920027"</f>
        <v>98920027</v>
      </c>
      <c r="M3854" t="s">
        <v>84</v>
      </c>
      <c r="N3854" s="1">
        <v>43404.625</v>
      </c>
      <c r="O3854" t="s">
        <v>19</v>
      </c>
    </row>
    <row r="3855" spans="1:15" x14ac:dyDescent="0.25">
      <c r="A3855" t="s">
        <v>3210</v>
      </c>
      <c r="B3855" t="s">
        <v>15</v>
      </c>
      <c r="C3855" t="s">
        <v>932</v>
      </c>
      <c r="D3855" t="s">
        <v>17</v>
      </c>
      <c r="E3855" t="s">
        <v>18</v>
      </c>
      <c r="F3855" t="s">
        <v>19</v>
      </c>
      <c r="G3855" t="s">
        <v>20</v>
      </c>
      <c r="J3855" t="s">
        <v>17</v>
      </c>
      <c r="K3855" t="str">
        <f>"041333116013"</f>
        <v>041333116013</v>
      </c>
      <c r="L3855" t="str">
        <f>"98921043"</f>
        <v>98921043</v>
      </c>
      <c r="M3855" t="s">
        <v>21</v>
      </c>
      <c r="N3855" s="1">
        <v>43495.833333333336</v>
      </c>
      <c r="O3855" t="s">
        <v>19</v>
      </c>
    </row>
    <row r="3856" spans="1:15" x14ac:dyDescent="0.25">
      <c r="A3856" t="s">
        <v>3211</v>
      </c>
      <c r="B3856" t="s">
        <v>15</v>
      </c>
      <c r="C3856" t="s">
        <v>932</v>
      </c>
      <c r="D3856" t="s">
        <v>17</v>
      </c>
      <c r="E3856" t="s">
        <v>18</v>
      </c>
      <c r="F3856" t="s">
        <v>19</v>
      </c>
      <c r="G3856" t="s">
        <v>20</v>
      </c>
      <c r="J3856" t="s">
        <v>17</v>
      </c>
      <c r="K3856" t="str">
        <f>"4891199071645"</f>
        <v>4891199071645</v>
      </c>
      <c r="L3856" t="str">
        <f>"98929000"</f>
        <v>98929000</v>
      </c>
      <c r="M3856" t="s">
        <v>21</v>
      </c>
      <c r="N3856" s="1">
        <v>43748.597222222219</v>
      </c>
      <c r="O3856" t="s">
        <v>19</v>
      </c>
    </row>
    <row r="3857" spans="1:15" x14ac:dyDescent="0.25">
      <c r="A3857" t="s">
        <v>3212</v>
      </c>
      <c r="B3857" t="s">
        <v>15</v>
      </c>
      <c r="C3857" t="s">
        <v>932</v>
      </c>
      <c r="D3857" t="s">
        <v>17</v>
      </c>
      <c r="E3857" t="s">
        <v>18</v>
      </c>
      <c r="F3857" t="s">
        <v>19</v>
      </c>
      <c r="G3857" t="s">
        <v>20</v>
      </c>
      <c r="J3857" t="s">
        <v>17</v>
      </c>
      <c r="K3857" t="str">
        <f>"4891199027581"</f>
        <v>4891199027581</v>
      </c>
      <c r="L3857" t="str">
        <f>"98927581"</f>
        <v>98927581</v>
      </c>
      <c r="M3857" t="s">
        <v>84</v>
      </c>
      <c r="N3857" s="1">
        <v>43313.974999999999</v>
      </c>
      <c r="O3857" t="s">
        <v>19</v>
      </c>
    </row>
    <row r="3858" spans="1:15" x14ac:dyDescent="0.25">
      <c r="A3858" t="s">
        <v>3213</v>
      </c>
      <c r="B3858" t="s">
        <v>15</v>
      </c>
      <c r="C3858" t="s">
        <v>932</v>
      </c>
      <c r="D3858" t="s">
        <v>17</v>
      </c>
      <c r="E3858" t="s">
        <v>18</v>
      </c>
      <c r="F3858" t="s">
        <v>19</v>
      </c>
      <c r="G3858" t="s">
        <v>20</v>
      </c>
      <c r="J3858" t="s">
        <v>17</v>
      </c>
      <c r="K3858" t="str">
        <f>"4891199027598"</f>
        <v>4891199027598</v>
      </c>
      <c r="L3858" t="str">
        <f>"98927598"</f>
        <v>98927598</v>
      </c>
      <c r="M3858" t="s">
        <v>84</v>
      </c>
      <c r="N3858" s="1">
        <v>43404.626388888886</v>
      </c>
      <c r="O3858" t="s">
        <v>19</v>
      </c>
    </row>
    <row r="3859" spans="1:15" x14ac:dyDescent="0.25">
      <c r="A3859" t="s">
        <v>3214</v>
      </c>
      <c r="B3859" t="s">
        <v>15</v>
      </c>
      <c r="C3859" t="s">
        <v>932</v>
      </c>
      <c r="D3859" t="s">
        <v>17</v>
      </c>
      <c r="E3859" t="s">
        <v>18</v>
      </c>
      <c r="F3859" t="s">
        <v>19</v>
      </c>
      <c r="G3859" t="s">
        <v>20</v>
      </c>
      <c r="J3859" t="s">
        <v>17</v>
      </c>
      <c r="K3859" t="str">
        <f>"025215720727"</f>
        <v>025215720727</v>
      </c>
      <c r="L3859" t="str">
        <f>"60924670"</f>
        <v>60924670</v>
      </c>
      <c r="M3859" t="s">
        <v>84</v>
      </c>
      <c r="N3859" s="1">
        <v>43521.618750000001</v>
      </c>
      <c r="O3859" t="s">
        <v>19</v>
      </c>
    </row>
    <row r="3860" spans="1:15" x14ac:dyDescent="0.25">
      <c r="A3860" t="s">
        <v>3215</v>
      </c>
      <c r="B3860" t="s">
        <v>15</v>
      </c>
      <c r="C3860" t="s">
        <v>932</v>
      </c>
      <c r="D3860" t="s">
        <v>17</v>
      </c>
      <c r="E3860" t="s">
        <v>18</v>
      </c>
      <c r="F3860" t="s">
        <v>19</v>
      </c>
      <c r="G3860" t="s">
        <v>20</v>
      </c>
      <c r="J3860" t="s">
        <v>17</v>
      </c>
      <c r="K3860" t="str">
        <f>"025215961731"</f>
        <v>025215961731</v>
      </c>
      <c r="L3860" t="str">
        <f>"60924060"</f>
        <v>60924060</v>
      </c>
      <c r="M3860" t="s">
        <v>84</v>
      </c>
      <c r="N3860" s="1">
        <v>43521.615972222222</v>
      </c>
      <c r="O3860" t="s">
        <v>19</v>
      </c>
    </row>
    <row r="3861" spans="1:15" x14ac:dyDescent="0.25">
      <c r="A3861" t="s">
        <v>3216</v>
      </c>
      <c r="B3861" t="s">
        <v>15</v>
      </c>
      <c r="C3861" t="s">
        <v>932</v>
      </c>
      <c r="D3861" t="s">
        <v>17</v>
      </c>
      <c r="E3861" t="s">
        <v>18</v>
      </c>
      <c r="F3861" t="s">
        <v>19</v>
      </c>
      <c r="G3861" t="s">
        <v>20</v>
      </c>
      <c r="J3861" t="s">
        <v>17</v>
      </c>
      <c r="K3861" t="str">
        <f>"025215723445"</f>
        <v>025215723445</v>
      </c>
      <c r="L3861" t="str">
        <f>"60924480"</f>
        <v>60924480</v>
      </c>
      <c r="M3861" t="s">
        <v>84</v>
      </c>
      <c r="N3861" s="1">
        <v>43521.618055555555</v>
      </c>
      <c r="O3861" t="s">
        <v>19</v>
      </c>
    </row>
    <row r="3862" spans="1:15" x14ac:dyDescent="0.25">
      <c r="A3862" t="s">
        <v>3217</v>
      </c>
      <c r="B3862" t="s">
        <v>15</v>
      </c>
      <c r="C3862" t="s">
        <v>932</v>
      </c>
      <c r="D3862" t="s">
        <v>17</v>
      </c>
      <c r="E3862" t="s">
        <v>18</v>
      </c>
      <c r="F3862" t="s">
        <v>19</v>
      </c>
      <c r="G3862" t="s">
        <v>20</v>
      </c>
      <c r="J3862" t="s">
        <v>17</v>
      </c>
      <c r="K3862" t="str">
        <f>"7756726001816"</f>
        <v>7756726001816</v>
      </c>
      <c r="L3862" t="str">
        <f>"98921816"</f>
        <v>98921816</v>
      </c>
      <c r="M3862" t="s">
        <v>21</v>
      </c>
      <c r="N3862" s="1">
        <v>43853.918749999997</v>
      </c>
      <c r="O3862" t="s">
        <v>19</v>
      </c>
    </row>
    <row r="3863" spans="1:15" x14ac:dyDescent="0.25">
      <c r="A3863" t="s">
        <v>3218</v>
      </c>
      <c r="B3863" t="s">
        <v>15</v>
      </c>
      <c r="C3863" t="s">
        <v>932</v>
      </c>
      <c r="D3863" t="s">
        <v>17</v>
      </c>
      <c r="E3863" t="s">
        <v>18</v>
      </c>
      <c r="F3863" t="s">
        <v>19</v>
      </c>
      <c r="G3863" t="s">
        <v>20</v>
      </c>
      <c r="J3863" t="s">
        <v>17</v>
      </c>
      <c r="K3863" t="str">
        <f>"42ULX5H270"</f>
        <v>42ULX5H270</v>
      </c>
      <c r="L3863" t="str">
        <f>"42ULX5H270"</f>
        <v>42ULX5H270</v>
      </c>
      <c r="M3863" t="s">
        <v>21</v>
      </c>
      <c r="N3863" s="1">
        <v>43994.816666666666</v>
      </c>
      <c r="O3863" t="s">
        <v>19</v>
      </c>
    </row>
    <row r="3864" spans="1:15" x14ac:dyDescent="0.25">
      <c r="A3864" t="s">
        <v>3218</v>
      </c>
      <c r="B3864" t="s">
        <v>15</v>
      </c>
      <c r="C3864" t="s">
        <v>932</v>
      </c>
      <c r="D3864" t="s">
        <v>17</v>
      </c>
      <c r="E3864" t="s">
        <v>18</v>
      </c>
      <c r="F3864" t="s">
        <v>19</v>
      </c>
      <c r="G3864" t="s">
        <v>20</v>
      </c>
      <c r="J3864" t="s">
        <v>17</v>
      </c>
      <c r="K3864" t="str">
        <f>"7168298823138"</f>
        <v>7168298823138</v>
      </c>
      <c r="L3864" t="str">
        <f>"98921111"</f>
        <v>98921111</v>
      </c>
      <c r="M3864" t="s">
        <v>21</v>
      </c>
      <c r="N3864" s="1">
        <v>44321.81527777778</v>
      </c>
      <c r="O3864" t="s">
        <v>19</v>
      </c>
    </row>
    <row r="3865" spans="1:15" x14ac:dyDescent="0.25">
      <c r="A3865" t="s">
        <v>3219</v>
      </c>
      <c r="B3865" t="s">
        <v>15</v>
      </c>
      <c r="C3865" t="s">
        <v>932</v>
      </c>
      <c r="D3865" t="s">
        <v>17</v>
      </c>
      <c r="E3865" t="s">
        <v>18</v>
      </c>
      <c r="F3865" t="s">
        <v>19</v>
      </c>
      <c r="G3865" t="s">
        <v>20</v>
      </c>
      <c r="J3865" t="s">
        <v>17</v>
      </c>
      <c r="K3865" t="str">
        <f>"008562011991"</f>
        <v>008562011991</v>
      </c>
      <c r="L3865" t="str">
        <f>"98920001"</f>
        <v>98920001</v>
      </c>
      <c r="M3865" t="s">
        <v>84</v>
      </c>
      <c r="N3865" s="1">
        <v>43404.655555555553</v>
      </c>
      <c r="O3865" t="s">
        <v>19</v>
      </c>
    </row>
    <row r="3866" spans="1:15" x14ac:dyDescent="0.25">
      <c r="A3866" t="s">
        <v>3220</v>
      </c>
      <c r="B3866" t="s">
        <v>15</v>
      </c>
      <c r="C3866" t="s">
        <v>932</v>
      </c>
      <c r="D3866" t="s">
        <v>17</v>
      </c>
      <c r="E3866" t="s">
        <v>18</v>
      </c>
      <c r="F3866" t="s">
        <v>19</v>
      </c>
      <c r="G3866" t="s">
        <v>20</v>
      </c>
      <c r="J3866" t="s">
        <v>17</v>
      </c>
      <c r="K3866" t="str">
        <f>"4891199027659"</f>
        <v>4891199027659</v>
      </c>
      <c r="L3866" t="str">
        <f>"98927659"</f>
        <v>98927659</v>
      </c>
      <c r="M3866" t="s">
        <v>84</v>
      </c>
      <c r="N3866" s="1">
        <v>43404.627083333333</v>
      </c>
      <c r="O3866" t="s">
        <v>19</v>
      </c>
    </row>
    <row r="3867" spans="1:15" x14ac:dyDescent="0.25">
      <c r="A3867" t="s">
        <v>3221</v>
      </c>
      <c r="B3867" t="s">
        <v>15</v>
      </c>
      <c r="C3867" t="s">
        <v>932</v>
      </c>
      <c r="D3867" t="s">
        <v>17</v>
      </c>
      <c r="E3867" t="s">
        <v>18</v>
      </c>
      <c r="F3867" t="s">
        <v>19</v>
      </c>
      <c r="G3867" t="s">
        <v>20</v>
      </c>
      <c r="J3867" t="s">
        <v>17</v>
      </c>
      <c r="K3867" t="str">
        <f>"025215720734"</f>
        <v>025215720734</v>
      </c>
      <c r="L3867" t="str">
        <f>"60928670"</f>
        <v>60928670</v>
      </c>
      <c r="M3867" t="s">
        <v>84</v>
      </c>
      <c r="N3867" s="1">
        <v>43521.621527777781</v>
      </c>
      <c r="O3867" t="s">
        <v>19</v>
      </c>
    </row>
    <row r="3868" spans="1:15" x14ac:dyDescent="0.25">
      <c r="A3868" t="s">
        <v>3222</v>
      </c>
      <c r="B3868" t="s">
        <v>15</v>
      </c>
      <c r="C3868" t="s">
        <v>932</v>
      </c>
      <c r="D3868" t="s">
        <v>17</v>
      </c>
      <c r="E3868" t="s">
        <v>18</v>
      </c>
      <c r="F3868" t="s">
        <v>19</v>
      </c>
      <c r="G3868" t="s">
        <v>20</v>
      </c>
      <c r="J3868" t="s">
        <v>17</v>
      </c>
      <c r="K3868" t="str">
        <f>"025215961724"</f>
        <v>025215961724</v>
      </c>
      <c r="L3868" t="str">
        <f>"60928020"</f>
        <v>60928020</v>
      </c>
      <c r="M3868" t="s">
        <v>84</v>
      </c>
      <c r="N3868" s="1">
        <v>43521.620138888888</v>
      </c>
      <c r="O3868" t="s">
        <v>19</v>
      </c>
    </row>
    <row r="3869" spans="1:15" x14ac:dyDescent="0.25">
      <c r="A3869" t="s">
        <v>3223</v>
      </c>
      <c r="B3869" t="s">
        <v>15</v>
      </c>
      <c r="C3869" t="s">
        <v>932</v>
      </c>
      <c r="D3869" t="s">
        <v>17</v>
      </c>
      <c r="E3869" t="s">
        <v>18</v>
      </c>
      <c r="F3869" t="s">
        <v>19</v>
      </c>
      <c r="G3869" t="s">
        <v>20</v>
      </c>
      <c r="J3869" t="s">
        <v>17</v>
      </c>
      <c r="K3869" t="str">
        <f>"025215723841"</f>
        <v>025215723841</v>
      </c>
      <c r="L3869" t="str">
        <f>"60928650"</f>
        <v>60928650</v>
      </c>
      <c r="M3869" t="s">
        <v>84</v>
      </c>
      <c r="N3869" s="1">
        <v>43521.620833333334</v>
      </c>
      <c r="O3869" t="s">
        <v>19</v>
      </c>
    </row>
    <row r="3870" spans="1:15" x14ac:dyDescent="0.25">
      <c r="A3870" t="s">
        <v>3224</v>
      </c>
      <c r="B3870" t="s">
        <v>15</v>
      </c>
      <c r="C3870" t="s">
        <v>932</v>
      </c>
      <c r="D3870" t="s">
        <v>17</v>
      </c>
      <c r="E3870" t="s">
        <v>18</v>
      </c>
      <c r="F3870" t="s">
        <v>19</v>
      </c>
      <c r="G3870" t="s">
        <v>20</v>
      </c>
      <c r="J3870" t="s">
        <v>17</v>
      </c>
      <c r="K3870" t="str">
        <f>"42ULX123A5"</f>
        <v>42ULX123A5</v>
      </c>
      <c r="L3870" t="str">
        <f>"42ULX123A5"</f>
        <v>42ULX123A5</v>
      </c>
      <c r="M3870" t="s">
        <v>21</v>
      </c>
      <c r="N3870" s="1">
        <v>43994.815972222219</v>
      </c>
      <c r="O3870" t="s">
        <v>19</v>
      </c>
    </row>
    <row r="3871" spans="1:15" x14ac:dyDescent="0.25">
      <c r="A3871" t="s">
        <v>3224</v>
      </c>
      <c r="B3871" t="s">
        <v>15</v>
      </c>
      <c r="C3871" t="s">
        <v>932</v>
      </c>
      <c r="D3871" t="s">
        <v>17</v>
      </c>
      <c r="E3871" t="s">
        <v>18</v>
      </c>
      <c r="F3871" t="s">
        <v>19</v>
      </c>
      <c r="G3871" t="s">
        <v>20</v>
      </c>
      <c r="J3871" t="s">
        <v>17</v>
      </c>
      <c r="K3871" t="str">
        <f>"7168299110442"</f>
        <v>7168299110442</v>
      </c>
      <c r="L3871" t="str">
        <f>"98921112"</f>
        <v>98921112</v>
      </c>
      <c r="M3871" t="s">
        <v>21</v>
      </c>
      <c r="N3871" s="1">
        <v>44321.816666666666</v>
      </c>
      <c r="O3871" t="s">
        <v>19</v>
      </c>
    </row>
    <row r="3872" spans="1:15" x14ac:dyDescent="0.25">
      <c r="A3872" t="s">
        <v>3225</v>
      </c>
      <c r="B3872" t="s">
        <v>15</v>
      </c>
      <c r="C3872" t="s">
        <v>932</v>
      </c>
      <c r="D3872" t="s">
        <v>17</v>
      </c>
      <c r="E3872" t="s">
        <v>18</v>
      </c>
      <c r="F3872" t="s">
        <v>19</v>
      </c>
      <c r="G3872" t="s">
        <v>20</v>
      </c>
      <c r="J3872" t="s">
        <v>17</v>
      </c>
      <c r="K3872" t="str">
        <f>"008562012004"</f>
        <v>008562012004</v>
      </c>
      <c r="L3872" t="str">
        <f>"98920002"</f>
        <v>98920002</v>
      </c>
      <c r="M3872" t="s">
        <v>84</v>
      </c>
      <c r="N3872" s="1">
        <v>43404.65625</v>
      </c>
      <c r="O3872" t="s">
        <v>19</v>
      </c>
    </row>
    <row r="3873" spans="1:15" x14ac:dyDescent="0.25">
      <c r="A3873" t="s">
        <v>3226</v>
      </c>
      <c r="B3873" t="s">
        <v>15</v>
      </c>
      <c r="C3873" t="s">
        <v>932</v>
      </c>
      <c r="D3873" t="s">
        <v>17</v>
      </c>
      <c r="E3873" t="s">
        <v>18</v>
      </c>
      <c r="F3873" t="s">
        <v>19</v>
      </c>
      <c r="G3873" t="s">
        <v>20</v>
      </c>
      <c r="J3873" t="s">
        <v>17</v>
      </c>
      <c r="K3873" t="str">
        <f>"4904530592751"</f>
        <v>4904530592751</v>
      </c>
      <c r="L3873" t="str">
        <f>"98922751"</f>
        <v>98922751</v>
      </c>
      <c r="M3873" t="s">
        <v>21</v>
      </c>
      <c r="N3873" s="1">
        <v>42872.849305555559</v>
      </c>
      <c r="O3873" t="s">
        <v>19</v>
      </c>
    </row>
    <row r="3874" spans="1:15" x14ac:dyDescent="0.25">
      <c r="A3874" t="s">
        <v>3227</v>
      </c>
      <c r="B3874" t="s">
        <v>15</v>
      </c>
      <c r="C3874" t="s">
        <v>932</v>
      </c>
      <c r="D3874" t="s">
        <v>17</v>
      </c>
      <c r="E3874" t="s">
        <v>18</v>
      </c>
      <c r="F3874" t="s">
        <v>19</v>
      </c>
      <c r="G3874" t="s">
        <v>20</v>
      </c>
      <c r="J3874" t="s">
        <v>17</v>
      </c>
      <c r="K3874" t="str">
        <f>"041333016634"</f>
        <v>041333016634</v>
      </c>
      <c r="L3874" t="str">
        <f>"98922401"</f>
        <v>98922401</v>
      </c>
      <c r="M3874" t="s">
        <v>75</v>
      </c>
      <c r="N3874" s="1">
        <v>43236.675000000003</v>
      </c>
      <c r="O3874" t="s">
        <v>19</v>
      </c>
    </row>
    <row r="3875" spans="1:15" x14ac:dyDescent="0.25">
      <c r="A3875" t="s">
        <v>3228</v>
      </c>
      <c r="B3875" t="s">
        <v>15</v>
      </c>
      <c r="C3875" t="s">
        <v>932</v>
      </c>
      <c r="D3875" t="s">
        <v>17</v>
      </c>
      <c r="E3875" t="s">
        <v>18</v>
      </c>
      <c r="F3875" t="s">
        <v>19</v>
      </c>
      <c r="G3875" t="s">
        <v>20</v>
      </c>
      <c r="J3875" t="s">
        <v>18</v>
      </c>
      <c r="K3875" t="str">
        <f>"041333415017"</f>
        <v>041333415017</v>
      </c>
      <c r="L3875" t="str">
        <f>"98925017"</f>
        <v>98925017</v>
      </c>
      <c r="M3875" t="s">
        <v>84</v>
      </c>
      <c r="N3875" s="1">
        <v>43495.82708333333</v>
      </c>
      <c r="O3875" t="s">
        <v>19</v>
      </c>
    </row>
    <row r="3876" spans="1:15" x14ac:dyDescent="0.25">
      <c r="A3876" t="s">
        <v>3229</v>
      </c>
      <c r="B3876" t="s">
        <v>15</v>
      </c>
      <c r="C3876" t="s">
        <v>932</v>
      </c>
      <c r="D3876" t="s">
        <v>17</v>
      </c>
      <c r="E3876" t="s">
        <v>18</v>
      </c>
      <c r="F3876" t="s">
        <v>19</v>
      </c>
      <c r="G3876" t="s">
        <v>20</v>
      </c>
      <c r="J3876" t="s">
        <v>17</v>
      </c>
      <c r="K3876" t="str">
        <f>"041333428482"</f>
        <v>041333428482</v>
      </c>
      <c r="L3876" t="str">
        <f>"98922400"</f>
        <v>98922400</v>
      </c>
      <c r="M3876" t="s">
        <v>75</v>
      </c>
      <c r="N3876" s="1">
        <v>43203.811805555553</v>
      </c>
      <c r="O3876" t="s">
        <v>19</v>
      </c>
    </row>
    <row r="3877" spans="1:15" x14ac:dyDescent="0.25">
      <c r="A3877" t="s">
        <v>3230</v>
      </c>
      <c r="B3877" t="s">
        <v>15</v>
      </c>
      <c r="C3877" t="s">
        <v>932</v>
      </c>
      <c r="D3877" t="s">
        <v>17</v>
      </c>
      <c r="E3877" t="s">
        <v>18</v>
      </c>
      <c r="F3877" t="s">
        <v>19</v>
      </c>
      <c r="G3877" t="s">
        <v>20</v>
      </c>
      <c r="J3877" t="s">
        <v>17</v>
      </c>
      <c r="K3877" t="str">
        <f>"041333030142"</f>
        <v>041333030142</v>
      </c>
      <c r="L3877" t="str">
        <f>"98927314"</f>
        <v>98927314</v>
      </c>
      <c r="M3877" t="s">
        <v>21</v>
      </c>
      <c r="N3877" s="1">
        <v>43889.82708333333</v>
      </c>
      <c r="O3877" t="s">
        <v>19</v>
      </c>
    </row>
    <row r="3878" spans="1:15" x14ac:dyDescent="0.25">
      <c r="A3878" t="s">
        <v>3231</v>
      </c>
      <c r="B3878" t="s">
        <v>15</v>
      </c>
      <c r="C3878" t="s">
        <v>932</v>
      </c>
      <c r="D3878" t="s">
        <v>17</v>
      </c>
      <c r="E3878" t="s">
        <v>18</v>
      </c>
      <c r="F3878" t="s">
        <v>19</v>
      </c>
      <c r="G3878" t="s">
        <v>20</v>
      </c>
      <c r="J3878" t="s">
        <v>17</v>
      </c>
      <c r="K3878" t="str">
        <f>"041333000992"</f>
        <v>041333000992</v>
      </c>
      <c r="L3878" t="str">
        <f>"98921400"</f>
        <v>98921400</v>
      </c>
      <c r="M3878" t="s">
        <v>21</v>
      </c>
      <c r="N3878" s="1">
        <v>43889.844444444447</v>
      </c>
      <c r="O3878" t="s">
        <v>19</v>
      </c>
    </row>
    <row r="3879" spans="1:15" x14ac:dyDescent="0.25">
      <c r="A3879" t="s">
        <v>3232</v>
      </c>
      <c r="B3879" t="s">
        <v>15</v>
      </c>
      <c r="C3879" t="s">
        <v>932</v>
      </c>
      <c r="D3879" t="s">
        <v>17</v>
      </c>
      <c r="E3879" t="s">
        <v>18</v>
      </c>
      <c r="F3879" t="s">
        <v>19</v>
      </c>
      <c r="G3879" t="s">
        <v>20</v>
      </c>
      <c r="J3879" t="s">
        <v>17</v>
      </c>
      <c r="K3879" t="str">
        <f>"041333000985"</f>
        <v>041333000985</v>
      </c>
      <c r="L3879" t="str">
        <f>"98920985"</f>
        <v>98920985</v>
      </c>
      <c r="M3879" t="s">
        <v>84</v>
      </c>
      <c r="N3879" s="1">
        <v>43255.67083333333</v>
      </c>
      <c r="O3879" t="s">
        <v>19</v>
      </c>
    </row>
    <row r="3880" spans="1:15" x14ac:dyDescent="0.25">
      <c r="A3880" t="s">
        <v>3233</v>
      </c>
      <c r="B3880" t="s">
        <v>15</v>
      </c>
      <c r="C3880" t="s">
        <v>932</v>
      </c>
      <c r="D3880" t="s">
        <v>17</v>
      </c>
      <c r="E3880" t="s">
        <v>18</v>
      </c>
      <c r="F3880" t="s">
        <v>19</v>
      </c>
      <c r="G3880" t="s">
        <v>20</v>
      </c>
      <c r="J3880" t="s">
        <v>17</v>
      </c>
      <c r="K3880" t="str">
        <f>"4043752174793"</f>
        <v>4043752174793</v>
      </c>
      <c r="L3880" t="str">
        <f>"98920010"</f>
        <v>98920010</v>
      </c>
      <c r="M3880" t="s">
        <v>21</v>
      </c>
      <c r="N3880" s="1">
        <v>43706.663194444445</v>
      </c>
      <c r="O3880" t="s">
        <v>19</v>
      </c>
    </row>
    <row r="3881" spans="1:15" x14ac:dyDescent="0.25">
      <c r="A3881" t="s">
        <v>3233</v>
      </c>
      <c r="B3881" t="s">
        <v>15</v>
      </c>
      <c r="C3881" t="s">
        <v>932</v>
      </c>
      <c r="D3881" t="s">
        <v>17</v>
      </c>
      <c r="E3881" t="s">
        <v>18</v>
      </c>
      <c r="F3881" t="s">
        <v>19</v>
      </c>
      <c r="G3881" t="s">
        <v>20</v>
      </c>
      <c r="J3881" t="s">
        <v>17</v>
      </c>
      <c r="K3881" t="str">
        <f>"4043752174595"</f>
        <v>4043752174595</v>
      </c>
      <c r="L3881" t="str">
        <f>"98051010"</f>
        <v>98051010</v>
      </c>
      <c r="M3881" t="s">
        <v>21</v>
      </c>
      <c r="N3881" s="1">
        <v>43748.588194444441</v>
      </c>
      <c r="O3881" t="s">
        <v>19</v>
      </c>
    </row>
    <row r="3882" spans="1:15" x14ac:dyDescent="0.25">
      <c r="A3882" t="s">
        <v>3233</v>
      </c>
      <c r="B3882" t="s">
        <v>15</v>
      </c>
      <c r="C3882" t="s">
        <v>932</v>
      </c>
      <c r="D3882" t="s">
        <v>17</v>
      </c>
      <c r="E3882" t="s">
        <v>18</v>
      </c>
      <c r="F3882" t="s">
        <v>19</v>
      </c>
      <c r="G3882" t="s">
        <v>20</v>
      </c>
      <c r="J3882" t="s">
        <v>17</v>
      </c>
      <c r="K3882" t="str">
        <f>"041333030180"</f>
        <v>041333030180</v>
      </c>
      <c r="L3882" t="str">
        <f>"98551010"</f>
        <v>98551010</v>
      </c>
      <c r="M3882" t="s">
        <v>21</v>
      </c>
      <c r="N3882" s="1">
        <v>43816.942361111112</v>
      </c>
      <c r="O3882" t="s">
        <v>19</v>
      </c>
    </row>
    <row r="3883" spans="1:15" x14ac:dyDescent="0.25">
      <c r="A3883" t="s">
        <v>3234</v>
      </c>
      <c r="B3883" t="s">
        <v>15</v>
      </c>
      <c r="C3883" t="s">
        <v>932</v>
      </c>
      <c r="D3883" t="s">
        <v>17</v>
      </c>
      <c r="E3883" t="s">
        <v>18</v>
      </c>
      <c r="F3883" t="s">
        <v>19</v>
      </c>
      <c r="G3883" t="s">
        <v>20</v>
      </c>
      <c r="J3883" t="s">
        <v>17</v>
      </c>
      <c r="K3883" t="str">
        <f>"4043752174694"</f>
        <v>4043752174694</v>
      </c>
      <c r="L3883" t="str">
        <f>"98050013"</f>
        <v>98050013</v>
      </c>
      <c r="M3883" t="s">
        <v>84</v>
      </c>
      <c r="N3883" s="1">
        <v>43350.824999999997</v>
      </c>
      <c r="O3883" t="s">
        <v>19</v>
      </c>
    </row>
    <row r="3884" spans="1:15" x14ac:dyDescent="0.25">
      <c r="A3884" t="s">
        <v>3234</v>
      </c>
      <c r="B3884" t="s">
        <v>15</v>
      </c>
      <c r="C3884" t="s">
        <v>932</v>
      </c>
      <c r="D3884" t="s">
        <v>17</v>
      </c>
      <c r="E3884" t="s">
        <v>18</v>
      </c>
      <c r="F3884" t="s">
        <v>19</v>
      </c>
      <c r="G3884" t="s">
        <v>20</v>
      </c>
      <c r="J3884" t="s">
        <v>17</v>
      </c>
      <c r="K3884" t="str">
        <f>"041333030197"</f>
        <v>041333030197</v>
      </c>
      <c r="L3884" t="str">
        <f>"98921300"</f>
        <v>98921300</v>
      </c>
      <c r="M3884" t="s">
        <v>84</v>
      </c>
      <c r="N3884" s="1">
        <v>43495.831250000003</v>
      </c>
      <c r="O3884" t="s">
        <v>19</v>
      </c>
    </row>
    <row r="3885" spans="1:15" x14ac:dyDescent="0.25">
      <c r="A3885" t="s">
        <v>3234</v>
      </c>
      <c r="B3885" t="s">
        <v>15</v>
      </c>
      <c r="C3885" t="s">
        <v>932</v>
      </c>
      <c r="D3885" t="s">
        <v>17</v>
      </c>
      <c r="E3885" t="s">
        <v>18</v>
      </c>
      <c r="F3885" t="s">
        <v>19</v>
      </c>
      <c r="G3885" t="s">
        <v>20</v>
      </c>
      <c r="J3885" t="s">
        <v>17</v>
      </c>
      <c r="K3885" t="str">
        <f>"4043752174496"</f>
        <v>4043752174496</v>
      </c>
      <c r="L3885" t="str">
        <f>"98920130"</f>
        <v>98920130</v>
      </c>
      <c r="M3885" t="s">
        <v>84</v>
      </c>
      <c r="N3885" s="1">
        <v>43531.616666666669</v>
      </c>
      <c r="O3885" t="s">
        <v>19</v>
      </c>
    </row>
    <row r="3886" spans="1:15" x14ac:dyDescent="0.25">
      <c r="A3886" t="s">
        <v>3235</v>
      </c>
      <c r="B3886" t="s">
        <v>15</v>
      </c>
      <c r="C3886" t="s">
        <v>932</v>
      </c>
      <c r="D3886" t="s">
        <v>17</v>
      </c>
      <c r="E3886" t="s">
        <v>18</v>
      </c>
      <c r="F3886" t="s">
        <v>19</v>
      </c>
      <c r="G3886" t="s">
        <v>20</v>
      </c>
      <c r="J3886" t="s">
        <v>17</v>
      </c>
      <c r="K3886" t="str">
        <f>"041333030203"</f>
        <v>041333030203</v>
      </c>
      <c r="L3886" t="str">
        <f>"98920312"</f>
        <v>98920312</v>
      </c>
      <c r="M3886" t="s">
        <v>21</v>
      </c>
      <c r="N3886" s="1">
        <v>43889.843055555553</v>
      </c>
      <c r="O3886" t="s">
        <v>19</v>
      </c>
    </row>
    <row r="3887" spans="1:15" x14ac:dyDescent="0.25">
      <c r="A3887" t="s">
        <v>3236</v>
      </c>
      <c r="B3887" t="s">
        <v>15</v>
      </c>
      <c r="C3887" t="s">
        <v>932</v>
      </c>
      <c r="D3887" t="s">
        <v>17</v>
      </c>
      <c r="E3887" t="s">
        <v>18</v>
      </c>
      <c r="F3887" t="s">
        <v>19</v>
      </c>
      <c r="G3887" t="s">
        <v>20</v>
      </c>
      <c r="J3887" t="s">
        <v>17</v>
      </c>
      <c r="K3887" t="str">
        <f>"041333030210"</f>
        <v>041333030210</v>
      </c>
      <c r="L3887" t="str">
        <f>"98920675"</f>
        <v>98920675</v>
      </c>
      <c r="M3887" t="s">
        <v>21</v>
      </c>
      <c r="N3887" s="1">
        <v>44370.886111111111</v>
      </c>
      <c r="O3887" t="s">
        <v>19</v>
      </c>
    </row>
    <row r="3888" spans="1:15" x14ac:dyDescent="0.25">
      <c r="A3888" t="s">
        <v>3237</v>
      </c>
      <c r="B3888" t="s">
        <v>15</v>
      </c>
      <c r="C3888" t="s">
        <v>932</v>
      </c>
      <c r="D3888" t="s">
        <v>17</v>
      </c>
      <c r="E3888" t="s">
        <v>18</v>
      </c>
      <c r="F3888" t="s">
        <v>19</v>
      </c>
      <c r="G3888" t="s">
        <v>20</v>
      </c>
      <c r="J3888" t="s">
        <v>17</v>
      </c>
      <c r="K3888" t="str">
        <f>"8888021206074"</f>
        <v>8888021206074</v>
      </c>
      <c r="L3888" t="str">
        <f>"42ENE0AA12"</f>
        <v>42ENE0AA12</v>
      </c>
      <c r="M3888" t="s">
        <v>21</v>
      </c>
      <c r="N3888" s="1">
        <v>43994.811805555553</v>
      </c>
      <c r="O3888" t="s">
        <v>19</v>
      </c>
    </row>
    <row r="3889" spans="1:15" x14ac:dyDescent="0.25">
      <c r="A3889" t="s">
        <v>3238</v>
      </c>
      <c r="B3889" t="s">
        <v>15</v>
      </c>
      <c r="C3889" t="s">
        <v>932</v>
      </c>
      <c r="D3889" t="s">
        <v>17</v>
      </c>
      <c r="E3889" t="s">
        <v>18</v>
      </c>
      <c r="F3889" t="s">
        <v>19</v>
      </c>
      <c r="G3889" t="s">
        <v>20</v>
      </c>
      <c r="J3889" t="s">
        <v>17</v>
      </c>
      <c r="K3889" t="str">
        <f>"8888021206081"</f>
        <v>8888021206081</v>
      </c>
      <c r="L3889" t="str">
        <f>"42ENEAAA12"</f>
        <v>42ENEAAA12</v>
      </c>
      <c r="M3889" t="s">
        <v>21</v>
      </c>
      <c r="N3889" s="1">
        <v>43994.8125</v>
      </c>
      <c r="O3889" t="s">
        <v>19</v>
      </c>
    </row>
    <row r="3890" spans="1:15" x14ac:dyDescent="0.25">
      <c r="A3890" t="s">
        <v>3239</v>
      </c>
      <c r="B3890" t="s">
        <v>15</v>
      </c>
      <c r="C3890" t="s">
        <v>932</v>
      </c>
      <c r="D3890" t="s">
        <v>17</v>
      </c>
      <c r="E3890" t="s">
        <v>18</v>
      </c>
      <c r="F3890" t="s">
        <v>19</v>
      </c>
      <c r="G3890" t="s">
        <v>20</v>
      </c>
      <c r="J3890" t="s">
        <v>17</v>
      </c>
      <c r="K3890" t="str">
        <f>"4891199034688"</f>
        <v>4891199034688</v>
      </c>
      <c r="L3890" t="str">
        <f>"98920009"</f>
        <v>98920009</v>
      </c>
      <c r="M3890" t="s">
        <v>84</v>
      </c>
      <c r="N3890" s="1">
        <v>43350.853472222225</v>
      </c>
      <c r="O3890" t="s">
        <v>19</v>
      </c>
    </row>
    <row r="3891" spans="1:15" x14ac:dyDescent="0.25">
      <c r="A3891" t="s">
        <v>3240</v>
      </c>
      <c r="B3891" t="s">
        <v>15</v>
      </c>
      <c r="C3891" t="s">
        <v>932</v>
      </c>
      <c r="D3891" t="s">
        <v>17</v>
      </c>
      <c r="E3891" t="s">
        <v>18</v>
      </c>
      <c r="F3891" t="s">
        <v>19</v>
      </c>
      <c r="G3891" t="s">
        <v>20</v>
      </c>
      <c r="J3891" t="s">
        <v>17</v>
      </c>
      <c r="K3891" t="str">
        <f>"4902580131326"</f>
        <v>4902580131326</v>
      </c>
      <c r="L3891" t="str">
        <f>"98051216"</f>
        <v>98051216</v>
      </c>
      <c r="M3891" t="s">
        <v>21</v>
      </c>
      <c r="N3891" s="1">
        <v>43609.804861111108</v>
      </c>
      <c r="O3891" t="s">
        <v>19</v>
      </c>
    </row>
    <row r="3892" spans="1:15" x14ac:dyDescent="0.25">
      <c r="A3892" t="s">
        <v>3241</v>
      </c>
      <c r="B3892" t="s">
        <v>15</v>
      </c>
      <c r="C3892" t="s">
        <v>932</v>
      </c>
      <c r="D3892" t="s">
        <v>17</v>
      </c>
      <c r="E3892" t="s">
        <v>18</v>
      </c>
      <c r="F3892" t="s">
        <v>19</v>
      </c>
      <c r="G3892" t="s">
        <v>20</v>
      </c>
      <c r="J3892" t="s">
        <v>17</v>
      </c>
      <c r="K3892" t="str">
        <f>"4902580131289"</f>
        <v>4902580131289</v>
      </c>
      <c r="L3892" t="str">
        <f>"98051220"</f>
        <v>98051220</v>
      </c>
      <c r="M3892" t="s">
        <v>21</v>
      </c>
      <c r="N3892" s="1">
        <v>43609.803472222222</v>
      </c>
      <c r="O3892" t="s">
        <v>19</v>
      </c>
    </row>
    <row r="3893" spans="1:15" x14ac:dyDescent="0.25">
      <c r="A3893" t="s">
        <v>3242</v>
      </c>
      <c r="B3893" t="s">
        <v>15</v>
      </c>
      <c r="C3893" t="s">
        <v>932</v>
      </c>
      <c r="D3893" t="s">
        <v>17</v>
      </c>
      <c r="E3893" t="s">
        <v>18</v>
      </c>
      <c r="F3893" t="s">
        <v>19</v>
      </c>
      <c r="G3893" t="s">
        <v>20</v>
      </c>
      <c r="J3893" t="s">
        <v>17</v>
      </c>
      <c r="K3893" t="str">
        <f>"4902580131302"</f>
        <v>4902580131302</v>
      </c>
      <c r="L3893" t="str">
        <f>"98051616"</f>
        <v>98051616</v>
      </c>
      <c r="M3893" t="s">
        <v>84</v>
      </c>
      <c r="N3893" s="1">
        <v>43313.888888888891</v>
      </c>
      <c r="O3893" t="s">
        <v>19</v>
      </c>
    </row>
    <row r="3894" spans="1:15" x14ac:dyDescent="0.25">
      <c r="A3894" t="s">
        <v>3243</v>
      </c>
      <c r="B3894" t="s">
        <v>15</v>
      </c>
      <c r="C3894" t="s">
        <v>932</v>
      </c>
      <c r="D3894" t="s">
        <v>17</v>
      </c>
      <c r="E3894" t="s">
        <v>18</v>
      </c>
      <c r="F3894" t="s">
        <v>19</v>
      </c>
      <c r="G3894" t="s">
        <v>20</v>
      </c>
      <c r="J3894" t="s">
        <v>17</v>
      </c>
      <c r="K3894" t="str">
        <f>"4902580131333"</f>
        <v>4902580131333</v>
      </c>
      <c r="L3894" t="str">
        <f>"98051620"</f>
        <v>98051620</v>
      </c>
      <c r="M3894" t="s">
        <v>21</v>
      </c>
      <c r="N3894" s="1">
        <v>43609.813194444447</v>
      </c>
      <c r="O3894" t="s">
        <v>19</v>
      </c>
    </row>
    <row r="3895" spans="1:15" x14ac:dyDescent="0.25">
      <c r="A3895" t="s">
        <v>3244</v>
      </c>
      <c r="B3895" t="s">
        <v>15</v>
      </c>
      <c r="C3895" t="s">
        <v>932</v>
      </c>
      <c r="D3895" t="s">
        <v>17</v>
      </c>
      <c r="E3895" t="s">
        <v>18</v>
      </c>
      <c r="F3895" t="s">
        <v>19</v>
      </c>
      <c r="G3895" t="s">
        <v>20</v>
      </c>
      <c r="J3895" t="s">
        <v>17</v>
      </c>
      <c r="K3895" t="str">
        <f>"98921632"</f>
        <v>98921632</v>
      </c>
      <c r="L3895" t="str">
        <f>"98921632"</f>
        <v>98921632</v>
      </c>
      <c r="M3895" t="s">
        <v>21</v>
      </c>
      <c r="N3895" s="1">
        <v>44370.875</v>
      </c>
      <c r="O3895" t="s">
        <v>19</v>
      </c>
    </row>
    <row r="3896" spans="1:15" x14ac:dyDescent="0.25">
      <c r="A3896" t="s">
        <v>3245</v>
      </c>
      <c r="B3896" t="s">
        <v>15</v>
      </c>
      <c r="C3896" t="s">
        <v>932</v>
      </c>
      <c r="D3896" t="s">
        <v>17</v>
      </c>
      <c r="E3896" t="s">
        <v>18</v>
      </c>
      <c r="F3896" t="s">
        <v>19</v>
      </c>
      <c r="G3896" t="s">
        <v>20</v>
      </c>
      <c r="J3896" t="s">
        <v>17</v>
      </c>
      <c r="K3896" t="str">
        <f>"4902580131272"</f>
        <v>4902580131272</v>
      </c>
      <c r="L3896" t="str">
        <f>"98052016"</f>
        <v>98052016</v>
      </c>
      <c r="M3896" t="s">
        <v>84</v>
      </c>
      <c r="N3896" s="1">
        <v>43313.88958333333</v>
      </c>
      <c r="O3896" t="s">
        <v>19</v>
      </c>
    </row>
    <row r="3897" spans="1:15" x14ac:dyDescent="0.25">
      <c r="A3897" t="s">
        <v>3245</v>
      </c>
      <c r="B3897" t="s">
        <v>15</v>
      </c>
      <c r="C3897" t="s">
        <v>932</v>
      </c>
      <c r="D3897" t="s">
        <v>17</v>
      </c>
      <c r="E3897" t="s">
        <v>18</v>
      </c>
      <c r="F3897" t="s">
        <v>19</v>
      </c>
      <c r="G3897" t="s">
        <v>20</v>
      </c>
      <c r="J3897" t="s">
        <v>17</v>
      </c>
      <c r="K3897" t="str">
        <f>"10003599"</f>
        <v>10003599</v>
      </c>
      <c r="L3897" t="str">
        <f>"10003599"</f>
        <v>10003599</v>
      </c>
      <c r="M3897" t="s">
        <v>84</v>
      </c>
      <c r="N3897" s="1">
        <v>43571.970833333333</v>
      </c>
      <c r="O3897" t="s">
        <v>19</v>
      </c>
    </row>
    <row r="3898" spans="1:15" x14ac:dyDescent="0.25">
      <c r="A3898" t="s">
        <v>3246</v>
      </c>
      <c r="B3898" t="s">
        <v>15</v>
      </c>
      <c r="C3898" t="s">
        <v>932</v>
      </c>
      <c r="D3898" t="s">
        <v>17</v>
      </c>
      <c r="E3898" t="s">
        <v>18</v>
      </c>
      <c r="F3898" t="s">
        <v>19</v>
      </c>
      <c r="G3898" t="s">
        <v>20</v>
      </c>
      <c r="J3898" t="s">
        <v>17</v>
      </c>
      <c r="K3898" t="str">
        <f>"4891199001123"</f>
        <v>4891199001123</v>
      </c>
      <c r="L3898" t="str">
        <f>"98922016"</f>
        <v>98922016</v>
      </c>
      <c r="M3898" t="s">
        <v>21</v>
      </c>
      <c r="N3898" s="1">
        <v>43238.788194444445</v>
      </c>
      <c r="O3898" t="s">
        <v>19</v>
      </c>
    </row>
    <row r="3899" spans="1:15" x14ac:dyDescent="0.25">
      <c r="A3899" t="s">
        <v>3247</v>
      </c>
      <c r="B3899" t="s">
        <v>15</v>
      </c>
      <c r="C3899" t="s">
        <v>932</v>
      </c>
      <c r="D3899" t="s">
        <v>17</v>
      </c>
      <c r="E3899" t="s">
        <v>18</v>
      </c>
      <c r="F3899" t="s">
        <v>19</v>
      </c>
      <c r="G3899" t="s">
        <v>20</v>
      </c>
      <c r="J3899" t="s">
        <v>17</v>
      </c>
      <c r="K3899" t="str">
        <f>"4902580131265"</f>
        <v>4902580131265</v>
      </c>
      <c r="L3899" t="str">
        <f>"98052025"</f>
        <v>98052025</v>
      </c>
      <c r="M3899" t="s">
        <v>84</v>
      </c>
      <c r="N3899" s="1">
        <v>43313.890277777777</v>
      </c>
      <c r="O3899" t="s">
        <v>19</v>
      </c>
    </row>
    <row r="3900" spans="1:15" x14ac:dyDescent="0.25">
      <c r="A3900" t="s">
        <v>3248</v>
      </c>
      <c r="B3900" t="s">
        <v>15</v>
      </c>
      <c r="C3900" t="s">
        <v>932</v>
      </c>
      <c r="D3900" t="s">
        <v>17</v>
      </c>
      <c r="E3900" t="s">
        <v>18</v>
      </c>
      <c r="F3900" t="s">
        <v>19</v>
      </c>
      <c r="G3900" t="s">
        <v>20</v>
      </c>
      <c r="J3900" t="s">
        <v>17</v>
      </c>
      <c r="K3900" t="str">
        <f>"4902580131258"</f>
        <v>4902580131258</v>
      </c>
      <c r="L3900" t="str">
        <f>"98052032"</f>
        <v>98052032</v>
      </c>
      <c r="M3900" t="s">
        <v>84</v>
      </c>
      <c r="N3900" s="1">
        <v>43313.89166666667</v>
      </c>
      <c r="O3900" t="s">
        <v>19</v>
      </c>
    </row>
    <row r="3901" spans="1:15" x14ac:dyDescent="0.25">
      <c r="A3901" t="s">
        <v>3249</v>
      </c>
      <c r="B3901" t="s">
        <v>15</v>
      </c>
      <c r="C3901" t="s">
        <v>932</v>
      </c>
      <c r="D3901" t="s">
        <v>17</v>
      </c>
      <c r="E3901" t="s">
        <v>18</v>
      </c>
      <c r="F3901" t="s">
        <v>19</v>
      </c>
      <c r="G3901" t="s">
        <v>20</v>
      </c>
      <c r="J3901" t="s">
        <v>18</v>
      </c>
      <c r="K3901" t="str">
        <f>"041333038865"</f>
        <v>041333038865</v>
      </c>
      <c r="L3901" t="str">
        <f>"989123105"</f>
        <v>989123105</v>
      </c>
      <c r="M3901" t="s">
        <v>21</v>
      </c>
      <c r="N3901" s="1">
        <v>44043.84652777778</v>
      </c>
      <c r="O3901" t="s">
        <v>19</v>
      </c>
    </row>
    <row r="3902" spans="1:15" x14ac:dyDescent="0.25">
      <c r="A3902" t="s">
        <v>3250</v>
      </c>
      <c r="B3902" t="s">
        <v>15</v>
      </c>
      <c r="C3902" t="s">
        <v>932</v>
      </c>
      <c r="D3902" t="s">
        <v>17</v>
      </c>
      <c r="E3902" t="s">
        <v>18</v>
      </c>
      <c r="F3902" t="s">
        <v>19</v>
      </c>
      <c r="G3902" t="s">
        <v>20</v>
      </c>
      <c r="J3902" t="s">
        <v>17</v>
      </c>
      <c r="K3902" t="str">
        <f>"887930506198"</f>
        <v>887930506198</v>
      </c>
      <c r="L3902" t="str">
        <f>"10000208"</f>
        <v>10000208</v>
      </c>
      <c r="M3902" t="s">
        <v>84</v>
      </c>
      <c r="N3902" s="1">
        <v>43571.970138888886</v>
      </c>
      <c r="O3902" t="s">
        <v>19</v>
      </c>
    </row>
    <row r="3903" spans="1:15" x14ac:dyDescent="0.25">
      <c r="A3903" t="s">
        <v>3251</v>
      </c>
      <c r="B3903" t="s">
        <v>15</v>
      </c>
      <c r="C3903" t="s">
        <v>932</v>
      </c>
      <c r="D3903" t="s">
        <v>17</v>
      </c>
      <c r="E3903" t="s">
        <v>18</v>
      </c>
      <c r="F3903" t="s">
        <v>19</v>
      </c>
      <c r="G3903" t="s">
        <v>20</v>
      </c>
      <c r="J3903" t="s">
        <v>17</v>
      </c>
      <c r="K3903" t="str">
        <f>"4902580132484"</f>
        <v>4902580132484</v>
      </c>
      <c r="L3903" t="str">
        <f>"98052430"</f>
        <v>98052430</v>
      </c>
      <c r="M3903" t="s">
        <v>21</v>
      </c>
      <c r="N3903" s="1">
        <v>43825.871527777781</v>
      </c>
      <c r="O3903" t="s">
        <v>19</v>
      </c>
    </row>
    <row r="3904" spans="1:15" x14ac:dyDescent="0.25">
      <c r="A3904" t="s">
        <v>3252</v>
      </c>
      <c r="B3904" t="s">
        <v>15</v>
      </c>
      <c r="C3904" t="s">
        <v>932</v>
      </c>
      <c r="D3904" t="s">
        <v>17</v>
      </c>
      <c r="E3904" t="s">
        <v>18</v>
      </c>
      <c r="F3904" t="s">
        <v>19</v>
      </c>
      <c r="G3904" t="s">
        <v>20</v>
      </c>
      <c r="J3904" t="s">
        <v>17</v>
      </c>
      <c r="K3904" t="str">
        <f>"4902580132378"</f>
        <v>4902580132378</v>
      </c>
      <c r="L3904" t="str">
        <f>"98922450"</f>
        <v>98922450</v>
      </c>
      <c r="M3904" t="s">
        <v>21</v>
      </c>
      <c r="N3904" s="1">
        <v>44370.879166666666</v>
      </c>
      <c r="O3904" t="s">
        <v>19</v>
      </c>
    </row>
    <row r="3905" spans="1:15" x14ac:dyDescent="0.25">
      <c r="A3905" t="s">
        <v>3253</v>
      </c>
      <c r="B3905" t="s">
        <v>15</v>
      </c>
      <c r="C3905" t="s">
        <v>932</v>
      </c>
      <c r="D3905" t="s">
        <v>17</v>
      </c>
      <c r="E3905" t="s">
        <v>18</v>
      </c>
      <c r="F3905" t="s">
        <v>19</v>
      </c>
      <c r="G3905" t="s">
        <v>20</v>
      </c>
      <c r="J3905" t="s">
        <v>17</v>
      </c>
      <c r="K3905" t="str">
        <f>"6922910320341"</f>
        <v>6922910320341</v>
      </c>
      <c r="L3905" t="str">
        <f>"98051130"</f>
        <v>98051130</v>
      </c>
      <c r="M3905" t="s">
        <v>84</v>
      </c>
      <c r="N3905" s="1">
        <v>43313.893055555556</v>
      </c>
      <c r="O3905" t="s">
        <v>19</v>
      </c>
    </row>
    <row r="3906" spans="1:15" x14ac:dyDescent="0.25">
      <c r="A3906" t="s">
        <v>3254</v>
      </c>
      <c r="B3906" t="s">
        <v>15</v>
      </c>
      <c r="C3906" t="s">
        <v>932</v>
      </c>
      <c r="D3906" t="s">
        <v>17</v>
      </c>
      <c r="E3906" t="s">
        <v>18</v>
      </c>
      <c r="F3906" t="s">
        <v>19</v>
      </c>
      <c r="G3906" t="s">
        <v>20</v>
      </c>
      <c r="J3906" t="s">
        <v>17</v>
      </c>
      <c r="K3906" t="str">
        <f>"4891199015519"</f>
        <v>4891199015519</v>
      </c>
      <c r="L3906" t="str">
        <f>"98921130"</f>
        <v>98921130</v>
      </c>
      <c r="M3906" t="s">
        <v>21</v>
      </c>
      <c r="N3906" s="1">
        <v>44370.884027777778</v>
      </c>
      <c r="O3906" t="s">
        <v>19</v>
      </c>
    </row>
    <row r="3907" spans="1:15" x14ac:dyDescent="0.25">
      <c r="A3907" t="s">
        <v>3255</v>
      </c>
      <c r="B3907" t="s">
        <v>15</v>
      </c>
      <c r="C3907" t="s">
        <v>932</v>
      </c>
      <c r="D3907" t="s">
        <v>17</v>
      </c>
      <c r="E3907" t="s">
        <v>18</v>
      </c>
      <c r="F3907" t="s">
        <v>19</v>
      </c>
      <c r="G3907" t="s">
        <v>20</v>
      </c>
      <c r="J3907" t="s">
        <v>17</v>
      </c>
      <c r="K3907" t="str">
        <f>"42300500"</f>
        <v>42300500</v>
      </c>
      <c r="L3907" t="str">
        <f>"42300500"</f>
        <v>42300500</v>
      </c>
      <c r="M3907" t="s">
        <v>75</v>
      </c>
      <c r="N3907" s="1">
        <v>42872.839583333334</v>
      </c>
      <c r="O3907" t="s">
        <v>19</v>
      </c>
    </row>
    <row r="3908" spans="1:15" x14ac:dyDescent="0.25">
      <c r="A3908" t="s">
        <v>3256</v>
      </c>
      <c r="B3908" t="s">
        <v>15</v>
      </c>
      <c r="C3908" t="s">
        <v>932</v>
      </c>
      <c r="D3908" t="s">
        <v>17</v>
      </c>
      <c r="E3908" t="s">
        <v>18</v>
      </c>
      <c r="F3908" t="s">
        <v>19</v>
      </c>
      <c r="G3908" t="s">
        <v>20</v>
      </c>
      <c r="J3908" t="s">
        <v>17</v>
      </c>
      <c r="K3908" t="str">
        <f>"4902580131449"</f>
        <v>4902580131449</v>
      </c>
      <c r="L3908" t="str">
        <f>"98550041"</f>
        <v>98550041</v>
      </c>
      <c r="M3908" t="s">
        <v>21</v>
      </c>
      <c r="N3908" s="1">
        <v>43816.940972222219</v>
      </c>
      <c r="O3908" t="s">
        <v>19</v>
      </c>
    </row>
    <row r="3909" spans="1:15" x14ac:dyDescent="0.25">
      <c r="A3909" t="s">
        <v>3257</v>
      </c>
      <c r="B3909" t="s">
        <v>15</v>
      </c>
      <c r="C3909" t="s">
        <v>932</v>
      </c>
      <c r="D3909" t="s">
        <v>17</v>
      </c>
      <c r="E3909" t="s">
        <v>18</v>
      </c>
      <c r="F3909" t="s">
        <v>19</v>
      </c>
      <c r="G3909" t="s">
        <v>20</v>
      </c>
      <c r="J3909" t="s">
        <v>17</v>
      </c>
      <c r="K3909" t="str">
        <f>"4891199015496"</f>
        <v>4891199015496</v>
      </c>
      <c r="L3909" t="str">
        <f>"98920044"</f>
        <v>98920044</v>
      </c>
      <c r="M3909" t="s">
        <v>21</v>
      </c>
      <c r="N3909" s="1">
        <v>43238.791666666664</v>
      </c>
      <c r="O3909" t="s">
        <v>19</v>
      </c>
    </row>
    <row r="3910" spans="1:15" x14ac:dyDescent="0.25">
      <c r="A3910" t="s">
        <v>3258</v>
      </c>
      <c r="B3910" t="s">
        <v>15</v>
      </c>
      <c r="C3910" t="s">
        <v>932</v>
      </c>
      <c r="D3910" t="s">
        <v>17</v>
      </c>
      <c r="E3910" t="s">
        <v>18</v>
      </c>
      <c r="F3910" t="s">
        <v>19</v>
      </c>
      <c r="G3910" t="s">
        <v>20</v>
      </c>
      <c r="J3910" t="s">
        <v>17</v>
      </c>
      <c r="K3910" t="str">
        <f>"4902580131401"</f>
        <v>4902580131401</v>
      </c>
      <c r="L3910" t="str">
        <f>"98050044"</f>
        <v>98050044</v>
      </c>
      <c r="M3910" t="s">
        <v>84</v>
      </c>
      <c r="N3910" s="1">
        <v>43313.893750000003</v>
      </c>
      <c r="O3910" t="s">
        <v>19</v>
      </c>
    </row>
    <row r="3911" spans="1:15" x14ac:dyDescent="0.25">
      <c r="A3911" t="s">
        <v>3259</v>
      </c>
      <c r="B3911" t="s">
        <v>15</v>
      </c>
      <c r="C3911" t="s">
        <v>932</v>
      </c>
      <c r="D3911" t="s">
        <v>17</v>
      </c>
      <c r="E3911" t="s">
        <v>18</v>
      </c>
      <c r="F3911" t="s">
        <v>19</v>
      </c>
      <c r="G3911" t="s">
        <v>20</v>
      </c>
      <c r="J3911" t="s">
        <v>17</v>
      </c>
      <c r="K3911" t="str">
        <f>"025215761058"</f>
        <v>025215761058</v>
      </c>
      <c r="L3911" t="str">
        <f>"60921130"</f>
        <v>60921130</v>
      </c>
      <c r="M3911" t="s">
        <v>84</v>
      </c>
      <c r="N3911" s="1">
        <v>43521.624305555553</v>
      </c>
      <c r="O3911" t="s">
        <v>19</v>
      </c>
    </row>
    <row r="3912" spans="1:15" x14ac:dyDescent="0.25">
      <c r="A3912" t="s">
        <v>3259</v>
      </c>
      <c r="B3912" t="s">
        <v>15</v>
      </c>
      <c r="C3912" t="s">
        <v>932</v>
      </c>
      <c r="D3912" t="s">
        <v>17</v>
      </c>
      <c r="E3912" t="s">
        <v>18</v>
      </c>
      <c r="F3912" t="s">
        <v>19</v>
      </c>
      <c r="G3912" t="s">
        <v>20</v>
      </c>
      <c r="J3912" t="s">
        <v>17</v>
      </c>
      <c r="K3912" t="str">
        <f>"025215761041"</f>
        <v>025215761041</v>
      </c>
      <c r="L3912" t="str">
        <f>"60920044"</f>
        <v>60920044</v>
      </c>
      <c r="M3912" t="s">
        <v>84</v>
      </c>
      <c r="N3912" s="1">
        <v>43521.625</v>
      </c>
      <c r="O3912" t="s">
        <v>19</v>
      </c>
    </row>
    <row r="3913" spans="1:15" x14ac:dyDescent="0.25">
      <c r="A3913" t="s">
        <v>3260</v>
      </c>
      <c r="B3913" t="s">
        <v>15</v>
      </c>
      <c r="C3913" t="s">
        <v>932</v>
      </c>
      <c r="D3913" t="s">
        <v>17</v>
      </c>
      <c r="E3913" t="s">
        <v>18</v>
      </c>
      <c r="F3913" t="s">
        <v>19</v>
      </c>
      <c r="G3913" t="s">
        <v>20</v>
      </c>
      <c r="J3913" t="s">
        <v>17</v>
      </c>
      <c r="K3913" t="str">
        <f>"4891199015533"</f>
        <v>4891199015533</v>
      </c>
      <c r="L3913" t="str">
        <f>"98920041"</f>
        <v>98920041</v>
      </c>
      <c r="M3913" t="s">
        <v>21</v>
      </c>
      <c r="N3913" s="1">
        <v>43110.767361111109</v>
      </c>
      <c r="O3913" t="s">
        <v>19</v>
      </c>
    </row>
    <row r="3914" spans="1:15" x14ac:dyDescent="0.25">
      <c r="A3914" t="s">
        <v>3261</v>
      </c>
      <c r="B3914" t="s">
        <v>15</v>
      </c>
      <c r="C3914" t="s">
        <v>932</v>
      </c>
      <c r="D3914" t="s">
        <v>17</v>
      </c>
      <c r="E3914" t="s">
        <v>18</v>
      </c>
      <c r="F3914" t="s">
        <v>19</v>
      </c>
      <c r="G3914" t="s">
        <v>20</v>
      </c>
      <c r="J3914" t="s">
        <v>17</v>
      </c>
      <c r="K3914" t="str">
        <f>"8888021300376"</f>
        <v>8888021300376</v>
      </c>
      <c r="L3914" t="str">
        <f>"98050023"</f>
        <v>98050023</v>
      </c>
      <c r="M3914" t="s">
        <v>21</v>
      </c>
      <c r="N3914" s="1">
        <v>43350.823611111111</v>
      </c>
      <c r="O3914" t="s">
        <v>19</v>
      </c>
    </row>
    <row r="3915" spans="1:15" x14ac:dyDescent="0.25">
      <c r="A3915" t="s">
        <v>3262</v>
      </c>
      <c r="B3915" t="s">
        <v>15</v>
      </c>
      <c r="C3915" t="s">
        <v>932</v>
      </c>
      <c r="D3915" t="s">
        <v>17</v>
      </c>
      <c r="E3915" t="s">
        <v>18</v>
      </c>
      <c r="F3915" t="s">
        <v>19</v>
      </c>
      <c r="G3915" t="s">
        <v>20</v>
      </c>
      <c r="J3915" t="s">
        <v>17</v>
      </c>
      <c r="K3915" t="str">
        <f>"10000688"</f>
        <v>10000688</v>
      </c>
      <c r="L3915" t="str">
        <f>"10000688"</f>
        <v>10000688</v>
      </c>
      <c r="M3915" t="s">
        <v>84</v>
      </c>
      <c r="N3915" s="1">
        <v>43571.97152777778</v>
      </c>
      <c r="O3915" t="s">
        <v>19</v>
      </c>
    </row>
    <row r="3916" spans="1:15" x14ac:dyDescent="0.25">
      <c r="A3916" t="s">
        <v>3263</v>
      </c>
      <c r="B3916" t="s">
        <v>15</v>
      </c>
      <c r="C3916" t="s">
        <v>932</v>
      </c>
      <c r="D3916" t="s">
        <v>17</v>
      </c>
      <c r="E3916" t="s">
        <v>18</v>
      </c>
      <c r="F3916" t="s">
        <v>19</v>
      </c>
      <c r="G3916" t="s">
        <v>20</v>
      </c>
      <c r="J3916" t="s">
        <v>17</v>
      </c>
      <c r="K3916" t="str">
        <f>"10002534"</f>
        <v>10002534</v>
      </c>
      <c r="L3916" t="str">
        <f>"10002534"</f>
        <v>10002534</v>
      </c>
      <c r="M3916" t="s">
        <v>84</v>
      </c>
      <c r="N3916" s="1">
        <v>43571.97152777778</v>
      </c>
      <c r="O3916" t="s">
        <v>19</v>
      </c>
    </row>
    <row r="3917" spans="1:15" x14ac:dyDescent="0.25">
      <c r="A3917" t="s">
        <v>3264</v>
      </c>
      <c r="B3917" t="s">
        <v>15</v>
      </c>
      <c r="C3917" t="s">
        <v>932</v>
      </c>
      <c r="D3917" t="s">
        <v>17</v>
      </c>
      <c r="E3917" t="s">
        <v>18</v>
      </c>
      <c r="F3917" t="s">
        <v>19</v>
      </c>
      <c r="G3917" t="s">
        <v>20</v>
      </c>
      <c r="J3917" t="s">
        <v>17</v>
      </c>
      <c r="K3917" t="str">
        <f>"4891199005152"</f>
        <v>4891199005152</v>
      </c>
      <c r="L3917" t="str">
        <f>"98921313"</f>
        <v>98921313</v>
      </c>
      <c r="M3917" t="s">
        <v>21</v>
      </c>
      <c r="N3917" s="1">
        <v>42872.849305555559</v>
      </c>
      <c r="O3917" t="s">
        <v>19</v>
      </c>
    </row>
    <row r="3918" spans="1:15" x14ac:dyDescent="0.25">
      <c r="A3918" t="s">
        <v>3265</v>
      </c>
      <c r="B3918" t="s">
        <v>15</v>
      </c>
      <c r="C3918" t="s">
        <v>932</v>
      </c>
      <c r="D3918" t="s">
        <v>17</v>
      </c>
      <c r="E3918" t="s">
        <v>18</v>
      </c>
      <c r="F3918" t="s">
        <v>19</v>
      </c>
      <c r="G3918" t="s">
        <v>20</v>
      </c>
      <c r="J3918" t="s">
        <v>17</v>
      </c>
      <c r="K3918" t="str">
        <f>"5000252050292"</f>
        <v>5000252050292</v>
      </c>
      <c r="L3918" t="str">
        <f>"98923120"</f>
        <v>98923120</v>
      </c>
      <c r="M3918" t="s">
        <v>21</v>
      </c>
      <c r="N3918" s="1">
        <v>43609.686111111114</v>
      </c>
      <c r="O3918" t="s">
        <v>19</v>
      </c>
    </row>
    <row r="3919" spans="1:15" x14ac:dyDescent="0.25">
      <c r="A3919" t="s">
        <v>3266</v>
      </c>
      <c r="B3919" t="s">
        <v>15</v>
      </c>
      <c r="C3919" t="s">
        <v>932</v>
      </c>
      <c r="D3919" t="s">
        <v>17</v>
      </c>
      <c r="E3919" t="s">
        <v>18</v>
      </c>
      <c r="F3919" t="s">
        <v>19</v>
      </c>
      <c r="G3919" t="s">
        <v>20</v>
      </c>
      <c r="J3919" t="s">
        <v>17</v>
      </c>
      <c r="K3919" t="str">
        <f>"5000252050285"</f>
        <v>5000252050285</v>
      </c>
      <c r="L3919" t="str">
        <f>"98920013"</f>
        <v>98920013</v>
      </c>
      <c r="M3919" t="s">
        <v>21</v>
      </c>
      <c r="N3919" s="1">
        <v>43686.678472222222</v>
      </c>
      <c r="O3919" t="s">
        <v>19</v>
      </c>
    </row>
    <row r="3920" spans="1:15" x14ac:dyDescent="0.25">
      <c r="A3920" t="s">
        <v>3267</v>
      </c>
      <c r="B3920" t="s">
        <v>15</v>
      </c>
      <c r="C3920" t="s">
        <v>932</v>
      </c>
      <c r="D3920" t="s">
        <v>17</v>
      </c>
      <c r="E3920" t="s">
        <v>18</v>
      </c>
      <c r="F3920" t="s">
        <v>19</v>
      </c>
      <c r="G3920" t="s">
        <v>20</v>
      </c>
      <c r="J3920" t="s">
        <v>17</v>
      </c>
      <c r="K3920" t="str">
        <f>"4897016957611"</f>
        <v>4897016957611</v>
      </c>
      <c r="L3920" t="str">
        <f>"10000364"</f>
        <v>10000364</v>
      </c>
      <c r="M3920" t="s">
        <v>21</v>
      </c>
      <c r="N3920" s="1">
        <v>43708.878472222219</v>
      </c>
      <c r="O3920" t="s">
        <v>19</v>
      </c>
    </row>
    <row r="3921" spans="1:15" x14ac:dyDescent="0.25">
      <c r="A3921" t="s">
        <v>3268</v>
      </c>
      <c r="B3921" t="s">
        <v>15</v>
      </c>
      <c r="C3921" t="s">
        <v>932</v>
      </c>
      <c r="D3921" t="s">
        <v>17</v>
      </c>
      <c r="E3921" t="s">
        <v>18</v>
      </c>
      <c r="F3921" t="s">
        <v>19</v>
      </c>
      <c r="G3921" t="s">
        <v>20</v>
      </c>
      <c r="J3921" t="s">
        <v>17</v>
      </c>
      <c r="K3921" t="str">
        <f>"7809601104956"</f>
        <v>7809601104956</v>
      </c>
      <c r="L3921" t="str">
        <f>"98924956"</f>
        <v>98924956</v>
      </c>
      <c r="M3921" t="s">
        <v>21</v>
      </c>
      <c r="N3921" s="1">
        <v>44370.927777777775</v>
      </c>
      <c r="O3921" t="s">
        <v>19</v>
      </c>
    </row>
    <row r="3922" spans="1:15" x14ac:dyDescent="0.25">
      <c r="A3922" t="s">
        <v>3269</v>
      </c>
      <c r="B3922" t="s">
        <v>15</v>
      </c>
      <c r="C3922" t="s">
        <v>932</v>
      </c>
      <c r="D3922" t="s">
        <v>17</v>
      </c>
      <c r="E3922" t="s">
        <v>18</v>
      </c>
      <c r="F3922" t="s">
        <v>19</v>
      </c>
      <c r="G3922" t="s">
        <v>20</v>
      </c>
      <c r="J3922" t="s">
        <v>17</v>
      </c>
      <c r="K3922" t="str">
        <f>"7808748510293"</f>
        <v>7808748510293</v>
      </c>
      <c r="L3922" t="str">
        <f>"98926005"</f>
        <v>98926005</v>
      </c>
      <c r="M3922" t="s">
        <v>21</v>
      </c>
      <c r="N3922" s="1">
        <v>43889.830555555556</v>
      </c>
      <c r="O3922" t="s">
        <v>19</v>
      </c>
    </row>
    <row r="3923" spans="1:15" x14ac:dyDescent="0.25">
      <c r="A3923" t="s">
        <v>3270</v>
      </c>
      <c r="B3923" t="s">
        <v>15</v>
      </c>
      <c r="C3923" t="s">
        <v>932</v>
      </c>
      <c r="D3923" t="s">
        <v>17</v>
      </c>
      <c r="E3923" t="s">
        <v>18</v>
      </c>
      <c r="F3923" t="s">
        <v>19</v>
      </c>
      <c r="G3923" t="s">
        <v>20</v>
      </c>
      <c r="J3923" t="s">
        <v>18</v>
      </c>
      <c r="K3923" t="str">
        <f>"6927900079117"</f>
        <v>6927900079117</v>
      </c>
      <c r="L3923" t="str">
        <f>"98927911"</f>
        <v>98927911</v>
      </c>
      <c r="M3923" t="s">
        <v>84</v>
      </c>
      <c r="N3923" s="1">
        <v>43495.828472222223</v>
      </c>
      <c r="O3923" t="s">
        <v>19</v>
      </c>
    </row>
    <row r="3924" spans="1:15" x14ac:dyDescent="0.25">
      <c r="A3924" t="s">
        <v>3271</v>
      </c>
      <c r="B3924" t="s">
        <v>15</v>
      </c>
      <c r="C3924" t="s">
        <v>932</v>
      </c>
      <c r="D3924" t="s">
        <v>17</v>
      </c>
      <c r="E3924" t="s">
        <v>18</v>
      </c>
      <c r="F3924" t="s">
        <v>19</v>
      </c>
      <c r="G3924" t="s">
        <v>20</v>
      </c>
      <c r="J3924" t="s">
        <v>17</v>
      </c>
      <c r="K3924" t="str">
        <f>"7808748510262"</f>
        <v>7808748510262</v>
      </c>
      <c r="L3924" t="str">
        <f>"98923005"</f>
        <v>98923005</v>
      </c>
      <c r="M3924" t="s">
        <v>21</v>
      </c>
      <c r="N3924" s="1">
        <v>43889.831250000003</v>
      </c>
      <c r="O3924" t="s">
        <v>19</v>
      </c>
    </row>
    <row r="3925" spans="1:15" x14ac:dyDescent="0.25">
      <c r="A3925" t="s">
        <v>3272</v>
      </c>
      <c r="B3925" t="s">
        <v>15</v>
      </c>
      <c r="C3925" t="s">
        <v>932</v>
      </c>
      <c r="D3925" t="s">
        <v>17</v>
      </c>
      <c r="E3925" t="s">
        <v>18</v>
      </c>
      <c r="F3925" t="s">
        <v>19</v>
      </c>
      <c r="G3925" t="s">
        <v>20</v>
      </c>
      <c r="J3925" t="s">
        <v>18</v>
      </c>
      <c r="K3925" t="str">
        <f>"6927900079124"</f>
        <v>6927900079124</v>
      </c>
      <c r="L3925" t="str">
        <f>"98927912"</f>
        <v>98927912</v>
      </c>
      <c r="M3925" t="s">
        <v>84</v>
      </c>
      <c r="N3925" s="1">
        <v>43495.82916666667</v>
      </c>
      <c r="O3925" t="s">
        <v>19</v>
      </c>
    </row>
    <row r="3926" spans="1:15" x14ac:dyDescent="0.25">
      <c r="A3926" t="s">
        <v>3273</v>
      </c>
      <c r="B3926" t="s">
        <v>15</v>
      </c>
      <c r="C3926" t="s">
        <v>932</v>
      </c>
      <c r="D3926" t="s">
        <v>17</v>
      </c>
      <c r="E3926" t="s">
        <v>18</v>
      </c>
      <c r="F3926" t="s">
        <v>19</v>
      </c>
      <c r="G3926" t="s">
        <v>20</v>
      </c>
      <c r="J3926" t="s">
        <v>17</v>
      </c>
      <c r="K3926" t="str">
        <f>"4902580133412"</f>
        <v>4902580133412</v>
      </c>
      <c r="L3926" t="str">
        <f>"98050621"</f>
        <v>98050621</v>
      </c>
      <c r="M3926" t="s">
        <v>21</v>
      </c>
      <c r="N3926" s="1">
        <v>44247.65625</v>
      </c>
      <c r="O3926" t="s">
        <v>19</v>
      </c>
    </row>
    <row r="3927" spans="1:15" x14ac:dyDescent="0.25">
      <c r="A3927" t="s">
        <v>3274</v>
      </c>
      <c r="B3927" t="s">
        <v>15</v>
      </c>
      <c r="C3927" t="s">
        <v>932</v>
      </c>
      <c r="D3927" t="s">
        <v>17</v>
      </c>
      <c r="E3927" t="s">
        <v>18</v>
      </c>
      <c r="F3927" t="s">
        <v>19</v>
      </c>
      <c r="G3927" t="s">
        <v>20</v>
      </c>
      <c r="J3927" t="s">
        <v>17</v>
      </c>
      <c r="K3927" t="str">
        <f>"4902580131159"</f>
        <v>4902580131159</v>
      </c>
      <c r="L3927" t="str">
        <f>"98920626"</f>
        <v>98920626</v>
      </c>
      <c r="M3927" t="s">
        <v>84</v>
      </c>
      <c r="N3927" s="1">
        <v>43495.832638888889</v>
      </c>
      <c r="O3927" t="s">
        <v>19</v>
      </c>
    </row>
    <row r="3928" spans="1:15" x14ac:dyDescent="0.25">
      <c r="A3928" t="s">
        <v>3275</v>
      </c>
      <c r="B3928" t="s">
        <v>15</v>
      </c>
      <c r="C3928" t="s">
        <v>932</v>
      </c>
      <c r="D3928" t="s">
        <v>17</v>
      </c>
      <c r="E3928" t="s">
        <v>18</v>
      </c>
      <c r="F3928" t="s">
        <v>19</v>
      </c>
      <c r="G3928" t="s">
        <v>20</v>
      </c>
      <c r="J3928" t="s">
        <v>17</v>
      </c>
      <c r="K3928" t="str">
        <f>"4891199133350"</f>
        <v>4891199133350</v>
      </c>
      <c r="L3928" t="str">
        <f>"98550001"</f>
        <v>98550001</v>
      </c>
      <c r="M3928" t="s">
        <v>75</v>
      </c>
      <c r="N3928" s="1">
        <v>43216.637499999997</v>
      </c>
      <c r="O3928" t="s">
        <v>19</v>
      </c>
    </row>
    <row r="3929" spans="1:15" x14ac:dyDescent="0.25">
      <c r="A3929" t="s">
        <v>3276</v>
      </c>
      <c r="B3929" t="s">
        <v>15</v>
      </c>
      <c r="C3929" t="s">
        <v>932</v>
      </c>
      <c r="D3929" t="s">
        <v>17</v>
      </c>
      <c r="E3929" t="s">
        <v>18</v>
      </c>
      <c r="F3929" t="s">
        <v>19</v>
      </c>
      <c r="G3929" t="s">
        <v>20</v>
      </c>
      <c r="J3929" t="s">
        <v>17</v>
      </c>
      <c r="K3929" t="str">
        <f>"11520001"</f>
        <v>11520001</v>
      </c>
      <c r="L3929" t="str">
        <f>"11520001"</f>
        <v>11520001</v>
      </c>
      <c r="M3929" t="s">
        <v>84</v>
      </c>
      <c r="N3929" s="1">
        <v>42955.90625</v>
      </c>
      <c r="O3929" t="s">
        <v>19</v>
      </c>
    </row>
    <row r="3930" spans="1:15" x14ac:dyDescent="0.25">
      <c r="A3930" t="s">
        <v>3277</v>
      </c>
      <c r="B3930" t="s">
        <v>15</v>
      </c>
      <c r="C3930" t="s">
        <v>932</v>
      </c>
      <c r="D3930" t="s">
        <v>17</v>
      </c>
      <c r="E3930" t="s">
        <v>18</v>
      </c>
      <c r="F3930" t="s">
        <v>19</v>
      </c>
      <c r="G3930" t="s">
        <v>20</v>
      </c>
      <c r="J3930" t="s">
        <v>17</v>
      </c>
      <c r="K3930" t="str">
        <f>"4891199133343"</f>
        <v>4891199133343</v>
      </c>
      <c r="L3930" t="str">
        <f>"98550002"</f>
        <v>98550002</v>
      </c>
      <c r="M3930" t="s">
        <v>75</v>
      </c>
      <c r="N3930" s="1">
        <v>43236.675000000003</v>
      </c>
      <c r="O3930" t="s">
        <v>19</v>
      </c>
    </row>
    <row r="3931" spans="1:15" x14ac:dyDescent="0.25">
      <c r="A3931" t="s">
        <v>3278</v>
      </c>
      <c r="B3931" t="s">
        <v>15</v>
      </c>
      <c r="C3931" t="s">
        <v>37</v>
      </c>
      <c r="D3931" t="s">
        <v>17</v>
      </c>
      <c r="E3931" t="s">
        <v>18</v>
      </c>
      <c r="F3931" t="s">
        <v>19</v>
      </c>
      <c r="G3931" t="s">
        <v>20</v>
      </c>
      <c r="J3931" t="s">
        <v>17</v>
      </c>
      <c r="K3931" t="str">
        <f>"11520000"</f>
        <v>11520000</v>
      </c>
      <c r="L3931" t="str">
        <f>"11520000"</f>
        <v>11520000</v>
      </c>
      <c r="M3931" t="s">
        <v>84</v>
      </c>
      <c r="N3931" s="1">
        <v>42955.905555555553</v>
      </c>
      <c r="O3931" t="s">
        <v>19</v>
      </c>
    </row>
    <row r="3932" spans="1:15" x14ac:dyDescent="0.25">
      <c r="A3932" t="s">
        <v>3279</v>
      </c>
      <c r="B3932" t="s">
        <v>15</v>
      </c>
      <c r="C3932" t="s">
        <v>37</v>
      </c>
      <c r="D3932" t="s">
        <v>17</v>
      </c>
      <c r="E3932" t="s">
        <v>18</v>
      </c>
      <c r="F3932" t="s">
        <v>19</v>
      </c>
      <c r="G3932" t="s">
        <v>20</v>
      </c>
      <c r="J3932" t="s">
        <v>17</v>
      </c>
      <c r="K3932" t="str">
        <f>"91311369"</f>
        <v>91311369</v>
      </c>
      <c r="L3932" t="str">
        <f>"91311369"</f>
        <v>91311369</v>
      </c>
      <c r="M3932" t="s">
        <v>75</v>
      </c>
      <c r="N3932" s="1">
        <v>42872.847222222219</v>
      </c>
      <c r="O3932" t="s">
        <v>19</v>
      </c>
    </row>
    <row r="3933" spans="1:15" x14ac:dyDescent="0.25">
      <c r="A3933" t="s">
        <v>3280</v>
      </c>
      <c r="B3933" t="s">
        <v>15</v>
      </c>
      <c r="C3933" t="s">
        <v>37</v>
      </c>
      <c r="D3933" t="s">
        <v>17</v>
      </c>
      <c r="E3933" t="s">
        <v>18</v>
      </c>
      <c r="F3933" t="s">
        <v>19</v>
      </c>
      <c r="G3933" t="s">
        <v>20</v>
      </c>
      <c r="J3933" t="s">
        <v>17</v>
      </c>
      <c r="K3933" t="str">
        <f>"766623211062"</f>
        <v>766623211062</v>
      </c>
      <c r="L3933" t="str">
        <f>"56521062"</f>
        <v>56521062</v>
      </c>
      <c r="M3933" t="s">
        <v>21</v>
      </c>
      <c r="N3933" s="1">
        <v>43985.847916666666</v>
      </c>
      <c r="O3933" t="s">
        <v>19</v>
      </c>
    </row>
    <row r="3934" spans="1:15" x14ac:dyDescent="0.25">
      <c r="A3934" t="s">
        <v>3281</v>
      </c>
      <c r="B3934" t="s">
        <v>15</v>
      </c>
      <c r="C3934" t="s">
        <v>37</v>
      </c>
      <c r="D3934" t="s">
        <v>17</v>
      </c>
      <c r="E3934" t="s">
        <v>18</v>
      </c>
      <c r="F3934" t="s">
        <v>19</v>
      </c>
      <c r="G3934" t="s">
        <v>20</v>
      </c>
      <c r="J3934" t="s">
        <v>17</v>
      </c>
      <c r="K3934" t="str">
        <f>"766623211048"</f>
        <v>766623211048</v>
      </c>
      <c r="L3934" t="str">
        <f>"56521048"</f>
        <v>56521048</v>
      </c>
      <c r="M3934" t="s">
        <v>21</v>
      </c>
      <c r="N3934" s="1">
        <v>43985.850694444445</v>
      </c>
      <c r="O3934" t="s">
        <v>19</v>
      </c>
    </row>
    <row r="3935" spans="1:15" x14ac:dyDescent="0.25">
      <c r="A3935" t="s">
        <v>3282</v>
      </c>
      <c r="B3935" t="s">
        <v>15</v>
      </c>
      <c r="C3935" t="s">
        <v>37</v>
      </c>
      <c r="D3935" t="s">
        <v>17</v>
      </c>
      <c r="E3935" t="s">
        <v>18</v>
      </c>
      <c r="F3935" t="s">
        <v>19</v>
      </c>
      <c r="G3935" t="s">
        <v>20</v>
      </c>
      <c r="J3935" t="s">
        <v>17</v>
      </c>
      <c r="K3935" t="str">
        <f>"66524106"</f>
        <v>66524106</v>
      </c>
      <c r="L3935" t="str">
        <f>"66524106"</f>
        <v>66524106</v>
      </c>
      <c r="M3935" t="s">
        <v>75</v>
      </c>
      <c r="N3935" s="1">
        <v>43096.876388888886</v>
      </c>
      <c r="O3935" t="s">
        <v>19</v>
      </c>
    </row>
    <row r="3936" spans="1:15" x14ac:dyDescent="0.25">
      <c r="A3936" t="s">
        <v>3283</v>
      </c>
      <c r="B3936" t="s">
        <v>15</v>
      </c>
      <c r="C3936" t="s">
        <v>217</v>
      </c>
      <c r="D3936" t="s">
        <v>17</v>
      </c>
      <c r="E3936" t="s">
        <v>18</v>
      </c>
      <c r="F3936" t="s">
        <v>19</v>
      </c>
      <c r="G3936" t="s">
        <v>20</v>
      </c>
      <c r="J3936" t="s">
        <v>17</v>
      </c>
      <c r="K3936" t="str">
        <f>"34521111"</f>
        <v>34521111</v>
      </c>
      <c r="L3936" t="str">
        <f>"34521111"</f>
        <v>34521111</v>
      </c>
      <c r="M3936" t="s">
        <v>21</v>
      </c>
      <c r="N3936" s="1">
        <v>43825.924305555556</v>
      </c>
      <c r="O3936" t="s">
        <v>19</v>
      </c>
    </row>
    <row r="3937" spans="1:15" x14ac:dyDescent="0.25">
      <c r="A3937" t="s">
        <v>3284</v>
      </c>
      <c r="B3937" t="s">
        <v>15</v>
      </c>
      <c r="C3937" t="s">
        <v>217</v>
      </c>
      <c r="D3937" t="s">
        <v>17</v>
      </c>
      <c r="E3937" t="s">
        <v>18</v>
      </c>
      <c r="F3937" t="s">
        <v>19</v>
      </c>
      <c r="G3937" t="s">
        <v>20</v>
      </c>
      <c r="J3937" t="s">
        <v>17</v>
      </c>
      <c r="K3937" t="str">
        <f>"10011581"</f>
        <v>10011581</v>
      </c>
      <c r="L3937" t="str">
        <f>"10011581"</f>
        <v>10011581</v>
      </c>
      <c r="M3937" t="s">
        <v>84</v>
      </c>
      <c r="N3937" s="1">
        <v>43546.592361111114</v>
      </c>
      <c r="O3937" t="s">
        <v>19</v>
      </c>
    </row>
    <row r="3938" spans="1:15" x14ac:dyDescent="0.25">
      <c r="A3938" t="s">
        <v>3285</v>
      </c>
      <c r="B3938" t="s">
        <v>15</v>
      </c>
      <c r="C3938" t="s">
        <v>37</v>
      </c>
      <c r="D3938" t="s">
        <v>17</v>
      </c>
      <c r="E3938" t="s">
        <v>18</v>
      </c>
      <c r="F3938" t="s">
        <v>19</v>
      </c>
      <c r="G3938" t="s">
        <v>20</v>
      </c>
      <c r="J3938" t="s">
        <v>17</v>
      </c>
      <c r="K3938" t="str">
        <f>"859184004867"</f>
        <v>859184004867</v>
      </c>
      <c r="L3938" t="str">
        <f>"10000693"</f>
        <v>10000693</v>
      </c>
      <c r="M3938" t="s">
        <v>84</v>
      </c>
      <c r="N3938" s="1">
        <v>42894.853472222225</v>
      </c>
      <c r="O3938" t="s">
        <v>19</v>
      </c>
    </row>
    <row r="3939" spans="1:15" x14ac:dyDescent="0.25">
      <c r="A3939" t="s">
        <v>3286</v>
      </c>
      <c r="B3939" t="s">
        <v>15</v>
      </c>
      <c r="C3939" t="s">
        <v>217</v>
      </c>
      <c r="D3939" t="s">
        <v>17</v>
      </c>
      <c r="E3939" t="s">
        <v>18</v>
      </c>
      <c r="F3939" t="s">
        <v>19</v>
      </c>
      <c r="G3939" t="s">
        <v>20</v>
      </c>
      <c r="J3939" t="s">
        <v>17</v>
      </c>
      <c r="K3939" t="str">
        <f>"10006279"</f>
        <v>10006279</v>
      </c>
      <c r="L3939" t="str">
        <f>"10006279"</f>
        <v>10006279</v>
      </c>
      <c r="M3939" t="s">
        <v>84</v>
      </c>
      <c r="N3939" s="1">
        <v>43546.593055555553</v>
      </c>
      <c r="O3939" t="s">
        <v>19</v>
      </c>
    </row>
    <row r="3940" spans="1:15" x14ac:dyDescent="0.25">
      <c r="A3940" t="s">
        <v>3287</v>
      </c>
      <c r="B3940" t="s">
        <v>15</v>
      </c>
      <c r="C3940" t="s">
        <v>37</v>
      </c>
      <c r="D3940" t="s">
        <v>17</v>
      </c>
      <c r="E3940" t="s">
        <v>18</v>
      </c>
      <c r="F3940" t="s">
        <v>19</v>
      </c>
      <c r="G3940" t="s">
        <v>20</v>
      </c>
      <c r="J3940" t="s">
        <v>17</v>
      </c>
      <c r="K3940" t="str">
        <f>"7858816049705"</f>
        <v>7858816049705</v>
      </c>
      <c r="L3940" t="str">
        <f>"87524970"</f>
        <v>87524970</v>
      </c>
      <c r="M3940" t="s">
        <v>84</v>
      </c>
      <c r="N3940" s="1">
        <v>43446.884027777778</v>
      </c>
      <c r="O3940" t="s">
        <v>19</v>
      </c>
    </row>
    <row r="3941" spans="1:15" x14ac:dyDescent="0.25">
      <c r="A3941" t="s">
        <v>3288</v>
      </c>
      <c r="B3941" t="s">
        <v>15</v>
      </c>
      <c r="C3941" t="s">
        <v>217</v>
      </c>
      <c r="D3941" t="s">
        <v>17</v>
      </c>
      <c r="E3941" t="s">
        <v>18</v>
      </c>
      <c r="F3941" t="s">
        <v>19</v>
      </c>
      <c r="G3941" t="s">
        <v>20</v>
      </c>
      <c r="J3941" t="s">
        <v>17</v>
      </c>
      <c r="K3941" t="str">
        <f>"10011900"</f>
        <v>10011900</v>
      </c>
      <c r="L3941" t="str">
        <f>"10011900"</f>
        <v>10011900</v>
      </c>
      <c r="M3941" t="s">
        <v>84</v>
      </c>
      <c r="N3941" s="1">
        <v>43546.591666666667</v>
      </c>
      <c r="O3941" t="s">
        <v>19</v>
      </c>
    </row>
    <row r="3942" spans="1:15" x14ac:dyDescent="0.25">
      <c r="A3942" t="s">
        <v>3289</v>
      </c>
      <c r="B3942" t="s">
        <v>15</v>
      </c>
      <c r="C3942" t="s">
        <v>37</v>
      </c>
      <c r="D3942" t="s">
        <v>17</v>
      </c>
      <c r="E3942" t="s">
        <v>18</v>
      </c>
      <c r="F3942" t="s">
        <v>19</v>
      </c>
      <c r="G3942" t="s">
        <v>20</v>
      </c>
      <c r="J3942" t="s">
        <v>17</v>
      </c>
      <c r="K3942" t="str">
        <f>"17524010"</f>
        <v>17524010</v>
      </c>
      <c r="L3942" t="str">
        <f>"17524010"</f>
        <v>17524010</v>
      </c>
      <c r="M3942" t="s">
        <v>75</v>
      </c>
      <c r="N3942" s="1">
        <v>43150.629861111112</v>
      </c>
      <c r="O3942" t="s">
        <v>19</v>
      </c>
    </row>
    <row r="3943" spans="1:15" x14ac:dyDescent="0.25">
      <c r="A3943" t="s">
        <v>3289</v>
      </c>
      <c r="B3943" t="s">
        <v>15</v>
      </c>
      <c r="C3943" t="s">
        <v>37</v>
      </c>
      <c r="D3943" t="s">
        <v>17</v>
      </c>
      <c r="E3943" t="s">
        <v>18</v>
      </c>
      <c r="F3943" t="s">
        <v>19</v>
      </c>
      <c r="G3943" t="s">
        <v>20</v>
      </c>
      <c r="J3943" t="s">
        <v>17</v>
      </c>
      <c r="K3943" t="str">
        <f>"859184004010"</f>
        <v>859184004010</v>
      </c>
      <c r="L3943" t="str">
        <f>"66524010"</f>
        <v>66524010</v>
      </c>
      <c r="M3943" t="s">
        <v>75</v>
      </c>
      <c r="N3943" s="1">
        <v>43195.661111111112</v>
      </c>
      <c r="O3943" t="s">
        <v>19</v>
      </c>
    </row>
    <row r="3944" spans="1:15" x14ac:dyDescent="0.25">
      <c r="A3944" t="s">
        <v>3289</v>
      </c>
      <c r="B3944" t="s">
        <v>15</v>
      </c>
      <c r="C3944" t="s">
        <v>37</v>
      </c>
      <c r="D3944" t="s">
        <v>17</v>
      </c>
      <c r="E3944" t="s">
        <v>18</v>
      </c>
      <c r="F3944" t="s">
        <v>19</v>
      </c>
      <c r="G3944" t="s">
        <v>20</v>
      </c>
      <c r="J3944" t="s">
        <v>17</v>
      </c>
      <c r="K3944" t="str">
        <f>"17520001"</f>
        <v>17520001</v>
      </c>
      <c r="L3944" t="str">
        <f>"17520001"</f>
        <v>17520001</v>
      </c>
      <c r="M3944" t="s">
        <v>75</v>
      </c>
      <c r="N3944" s="1">
        <v>43237.738888888889</v>
      </c>
      <c r="O3944" t="s">
        <v>19</v>
      </c>
    </row>
    <row r="3945" spans="1:15" x14ac:dyDescent="0.25">
      <c r="A3945" t="s">
        <v>3290</v>
      </c>
      <c r="B3945" t="s">
        <v>15</v>
      </c>
      <c r="C3945" t="s">
        <v>217</v>
      </c>
      <c r="D3945" t="s">
        <v>17</v>
      </c>
      <c r="E3945" t="s">
        <v>18</v>
      </c>
      <c r="F3945" t="s">
        <v>19</v>
      </c>
      <c r="G3945" t="s">
        <v>20</v>
      </c>
      <c r="J3945" t="s">
        <v>17</v>
      </c>
      <c r="K3945" t="str">
        <f>"10005014"</f>
        <v>10005014</v>
      </c>
      <c r="L3945" t="str">
        <f>"10005014"</f>
        <v>10005014</v>
      </c>
      <c r="M3945" t="s">
        <v>21</v>
      </c>
      <c r="N3945" s="1">
        <v>43753.647916666669</v>
      </c>
      <c r="O3945" t="s">
        <v>19</v>
      </c>
    </row>
    <row r="3946" spans="1:15" x14ac:dyDescent="0.25">
      <c r="A3946" t="s">
        <v>3291</v>
      </c>
      <c r="B3946" t="s">
        <v>15</v>
      </c>
      <c r="C3946" t="s">
        <v>217</v>
      </c>
      <c r="D3946" t="s">
        <v>17</v>
      </c>
      <c r="E3946" t="s">
        <v>18</v>
      </c>
      <c r="F3946" t="s">
        <v>19</v>
      </c>
      <c r="G3946" t="s">
        <v>20</v>
      </c>
      <c r="J3946" t="s">
        <v>17</v>
      </c>
      <c r="K3946" t="str">
        <f>"10006345"</f>
        <v>10006345</v>
      </c>
      <c r="L3946" t="str">
        <f>"10006345"</f>
        <v>10006345</v>
      </c>
      <c r="M3946" t="s">
        <v>21</v>
      </c>
      <c r="N3946" s="1">
        <v>43753.647916666669</v>
      </c>
      <c r="O3946" t="s">
        <v>19</v>
      </c>
    </row>
    <row r="3947" spans="1:15" x14ac:dyDescent="0.25">
      <c r="A3947" t="s">
        <v>3292</v>
      </c>
      <c r="B3947" t="s">
        <v>15</v>
      </c>
      <c r="C3947" t="s">
        <v>2481</v>
      </c>
      <c r="D3947" t="s">
        <v>17</v>
      </c>
      <c r="E3947" t="s">
        <v>18</v>
      </c>
      <c r="F3947" t="s">
        <v>19</v>
      </c>
      <c r="G3947" t="s">
        <v>20</v>
      </c>
      <c r="J3947" t="s">
        <v>17</v>
      </c>
      <c r="K3947" t="str">
        <f>"7858816038969"</f>
        <v>7858816038969</v>
      </c>
      <c r="L3947" t="str">
        <f>"87383896"</f>
        <v>87383896</v>
      </c>
      <c r="M3947" t="s">
        <v>21</v>
      </c>
      <c r="N3947" s="1">
        <v>43819.623611111114</v>
      </c>
      <c r="O3947" t="s">
        <v>19</v>
      </c>
    </row>
    <row r="3948" spans="1:15" x14ac:dyDescent="0.25">
      <c r="A3948" t="s">
        <v>3293</v>
      </c>
      <c r="B3948" t="s">
        <v>15</v>
      </c>
      <c r="C3948" t="s">
        <v>217</v>
      </c>
      <c r="D3948" t="s">
        <v>17</v>
      </c>
      <c r="E3948" t="s">
        <v>18</v>
      </c>
      <c r="F3948" t="s">
        <v>19</v>
      </c>
      <c r="G3948" t="s">
        <v>20</v>
      </c>
      <c r="J3948" t="s">
        <v>17</v>
      </c>
      <c r="K3948" t="str">
        <f>"2019080200109"</f>
        <v>2019080200109</v>
      </c>
      <c r="L3948" t="str">
        <f>"17525809"</f>
        <v>17525809</v>
      </c>
      <c r="M3948" t="s">
        <v>21</v>
      </c>
      <c r="N3948" s="1">
        <v>43890.571527777778</v>
      </c>
      <c r="O3948" t="s">
        <v>19</v>
      </c>
    </row>
    <row r="3949" spans="1:15" x14ac:dyDescent="0.25">
      <c r="A3949" t="s">
        <v>3294</v>
      </c>
      <c r="B3949" t="s">
        <v>15</v>
      </c>
      <c r="C3949" t="s">
        <v>37</v>
      </c>
      <c r="D3949" t="s">
        <v>17</v>
      </c>
      <c r="E3949" t="s">
        <v>18</v>
      </c>
      <c r="F3949" t="s">
        <v>19</v>
      </c>
      <c r="G3949" t="s">
        <v>20</v>
      </c>
      <c r="J3949" t="s">
        <v>17</v>
      </c>
      <c r="K3949" t="str">
        <f>"4710007735190"</f>
        <v>4710007735190</v>
      </c>
      <c r="L3949" t="str">
        <f>"65525190"</f>
        <v>65525190</v>
      </c>
      <c r="M3949" t="s">
        <v>75</v>
      </c>
      <c r="N3949" s="1">
        <v>43029.611111111109</v>
      </c>
      <c r="O3949" t="s">
        <v>19</v>
      </c>
    </row>
    <row r="3950" spans="1:15" x14ac:dyDescent="0.25">
      <c r="A3950" t="s">
        <v>3295</v>
      </c>
      <c r="B3950" t="s">
        <v>15</v>
      </c>
      <c r="C3950" t="s">
        <v>37</v>
      </c>
      <c r="D3950" t="s">
        <v>17</v>
      </c>
      <c r="E3950" t="s">
        <v>18</v>
      </c>
      <c r="F3950" t="s">
        <v>19</v>
      </c>
      <c r="G3950" t="s">
        <v>20</v>
      </c>
      <c r="J3950" t="s">
        <v>17</v>
      </c>
      <c r="K3950" t="str">
        <f>"4710007735237"</f>
        <v>4710007735237</v>
      </c>
      <c r="L3950" t="str">
        <f>"65525237"</f>
        <v>65525237</v>
      </c>
      <c r="M3950" t="s">
        <v>75</v>
      </c>
      <c r="N3950" s="1">
        <v>43029.612500000003</v>
      </c>
      <c r="O3950" t="s">
        <v>19</v>
      </c>
    </row>
    <row r="3951" spans="1:15" x14ac:dyDescent="0.25">
      <c r="A3951" t="s">
        <v>3296</v>
      </c>
      <c r="B3951" t="s">
        <v>15</v>
      </c>
      <c r="C3951" t="s">
        <v>2481</v>
      </c>
      <c r="D3951" t="s">
        <v>17</v>
      </c>
      <c r="E3951" t="s">
        <v>18</v>
      </c>
      <c r="F3951" t="s">
        <v>19</v>
      </c>
      <c r="G3951" t="s">
        <v>20</v>
      </c>
      <c r="J3951" t="s">
        <v>17</v>
      </c>
      <c r="K3951" t="str">
        <f>"10001680"</f>
        <v>10001680</v>
      </c>
      <c r="L3951" t="str">
        <f>"10001680"</f>
        <v>10001680</v>
      </c>
      <c r="M3951" t="s">
        <v>21</v>
      </c>
      <c r="N3951" s="1">
        <v>43753.646527777775</v>
      </c>
      <c r="O3951" t="s">
        <v>19</v>
      </c>
    </row>
    <row r="3952" spans="1:15" x14ac:dyDescent="0.25">
      <c r="A3952" t="s">
        <v>3297</v>
      </c>
      <c r="B3952" t="s">
        <v>15</v>
      </c>
      <c r="C3952" t="s">
        <v>2481</v>
      </c>
      <c r="D3952" t="s">
        <v>17</v>
      </c>
      <c r="E3952" t="s">
        <v>18</v>
      </c>
      <c r="F3952" t="s">
        <v>19</v>
      </c>
      <c r="G3952" t="s">
        <v>20</v>
      </c>
      <c r="J3952" t="s">
        <v>17</v>
      </c>
      <c r="K3952" t="str">
        <f>"307000447"</f>
        <v>307000447</v>
      </c>
      <c r="L3952" t="str">
        <f>"307000447"</f>
        <v>307000447</v>
      </c>
      <c r="M3952" t="s">
        <v>75</v>
      </c>
      <c r="N3952" s="1">
        <v>42872.849305555559</v>
      </c>
      <c r="O3952" t="s">
        <v>19</v>
      </c>
    </row>
    <row r="3953" spans="1:15" x14ac:dyDescent="0.25">
      <c r="A3953" t="s">
        <v>3298</v>
      </c>
      <c r="B3953" t="s">
        <v>15</v>
      </c>
      <c r="C3953" t="s">
        <v>2481</v>
      </c>
      <c r="D3953" t="s">
        <v>17</v>
      </c>
      <c r="E3953" t="s">
        <v>18</v>
      </c>
      <c r="F3953" t="s">
        <v>19</v>
      </c>
      <c r="G3953" t="s">
        <v>20</v>
      </c>
      <c r="J3953" t="s">
        <v>17</v>
      </c>
      <c r="K3953" t="str">
        <f>"76380001"</f>
        <v>76380001</v>
      </c>
      <c r="L3953" t="str">
        <f>"76380001"</f>
        <v>76380001</v>
      </c>
      <c r="M3953" t="s">
        <v>75</v>
      </c>
      <c r="N3953" s="1">
        <v>42872.847222222219</v>
      </c>
      <c r="O3953" t="s">
        <v>19</v>
      </c>
    </row>
    <row r="3954" spans="1:15" x14ac:dyDescent="0.25">
      <c r="A3954" t="s">
        <v>3298</v>
      </c>
      <c r="B3954" t="s">
        <v>15</v>
      </c>
      <c r="C3954" t="s">
        <v>2481</v>
      </c>
      <c r="D3954" t="s">
        <v>17</v>
      </c>
      <c r="E3954" t="s">
        <v>18</v>
      </c>
      <c r="F3954" t="s">
        <v>19</v>
      </c>
      <c r="G3954" t="s">
        <v>20</v>
      </c>
      <c r="J3954" t="s">
        <v>17</v>
      </c>
      <c r="K3954" t="str">
        <f>"88380001"</f>
        <v>88380001</v>
      </c>
      <c r="L3954" t="str">
        <f>"88380001"</f>
        <v>88380001</v>
      </c>
      <c r="M3954" t="s">
        <v>75</v>
      </c>
      <c r="N3954" s="1">
        <v>42872.847222222219</v>
      </c>
      <c r="O3954" t="s">
        <v>19</v>
      </c>
    </row>
    <row r="3955" spans="1:15" x14ac:dyDescent="0.25">
      <c r="A3955" t="s">
        <v>3298</v>
      </c>
      <c r="B3955" t="s">
        <v>15</v>
      </c>
      <c r="C3955" t="s">
        <v>2481</v>
      </c>
      <c r="D3955" t="s">
        <v>17</v>
      </c>
      <c r="E3955" t="s">
        <v>18</v>
      </c>
      <c r="F3955" t="s">
        <v>19</v>
      </c>
      <c r="G3955" t="s">
        <v>20</v>
      </c>
      <c r="J3955" t="s">
        <v>17</v>
      </c>
      <c r="K3955" t="str">
        <f>"873800814"</f>
        <v>873800814</v>
      </c>
      <c r="L3955" t="str">
        <f>"873800814"</f>
        <v>873800814</v>
      </c>
      <c r="M3955" t="s">
        <v>75</v>
      </c>
      <c r="N3955" s="1">
        <v>42872.849305555559</v>
      </c>
      <c r="O3955" t="s">
        <v>19</v>
      </c>
    </row>
    <row r="3956" spans="1:15" x14ac:dyDescent="0.25">
      <c r="A3956" t="s">
        <v>3299</v>
      </c>
      <c r="B3956" t="s">
        <v>15</v>
      </c>
      <c r="C3956" t="s">
        <v>2481</v>
      </c>
      <c r="D3956" t="s">
        <v>17</v>
      </c>
      <c r="E3956" t="s">
        <v>18</v>
      </c>
      <c r="F3956" t="s">
        <v>19</v>
      </c>
      <c r="G3956" t="s">
        <v>20</v>
      </c>
      <c r="J3956" t="s">
        <v>17</v>
      </c>
      <c r="K3956" t="str">
        <f>"10000515"</f>
        <v>10000515</v>
      </c>
      <c r="L3956" t="str">
        <f>"10000515"</f>
        <v>10000515</v>
      </c>
      <c r="M3956" t="s">
        <v>75</v>
      </c>
      <c r="N3956" s="1">
        <v>42872.839583333334</v>
      </c>
      <c r="O3956" t="s">
        <v>19</v>
      </c>
    </row>
    <row r="3957" spans="1:15" x14ac:dyDescent="0.25">
      <c r="A3957" t="s">
        <v>3300</v>
      </c>
      <c r="B3957" t="s">
        <v>15</v>
      </c>
      <c r="C3957" t="s">
        <v>2481</v>
      </c>
      <c r="D3957" t="s">
        <v>17</v>
      </c>
      <c r="E3957" t="s">
        <v>18</v>
      </c>
      <c r="F3957" t="s">
        <v>19</v>
      </c>
      <c r="G3957" t="s">
        <v>20</v>
      </c>
      <c r="J3957" t="s">
        <v>17</v>
      </c>
      <c r="K3957" t="str">
        <f>"87380017"</f>
        <v>87380017</v>
      </c>
      <c r="L3957" t="str">
        <f>"87380017"</f>
        <v>87380017</v>
      </c>
      <c r="M3957" t="s">
        <v>75</v>
      </c>
      <c r="N3957" s="1">
        <v>42872.847222222219</v>
      </c>
      <c r="O3957" t="s">
        <v>19</v>
      </c>
    </row>
    <row r="3958" spans="1:15" x14ac:dyDescent="0.25">
      <c r="A3958" t="s">
        <v>3301</v>
      </c>
      <c r="B3958" t="s">
        <v>15</v>
      </c>
      <c r="C3958" t="s">
        <v>2481</v>
      </c>
      <c r="D3958" t="s">
        <v>17</v>
      </c>
      <c r="E3958" t="s">
        <v>18</v>
      </c>
      <c r="F3958" t="s">
        <v>19</v>
      </c>
      <c r="G3958" t="s">
        <v>20</v>
      </c>
      <c r="J3958" t="s">
        <v>17</v>
      </c>
      <c r="K3958" t="str">
        <f>"6986698983358"</f>
        <v>6986698983358</v>
      </c>
      <c r="L3958" t="str">
        <f>"40388335"</f>
        <v>40388335</v>
      </c>
      <c r="M3958" t="s">
        <v>21</v>
      </c>
      <c r="N3958" s="1">
        <v>42956.884722222225</v>
      </c>
      <c r="O3958" t="s">
        <v>19</v>
      </c>
    </row>
    <row r="3959" spans="1:15" x14ac:dyDescent="0.25">
      <c r="A3959" t="s">
        <v>3302</v>
      </c>
      <c r="B3959" t="s">
        <v>15</v>
      </c>
      <c r="C3959" t="s">
        <v>2481</v>
      </c>
      <c r="D3959" t="s">
        <v>17</v>
      </c>
      <c r="E3959" t="s">
        <v>18</v>
      </c>
      <c r="F3959" t="s">
        <v>19</v>
      </c>
      <c r="G3959" t="s">
        <v>20</v>
      </c>
      <c r="J3959" t="s">
        <v>17</v>
      </c>
      <c r="K3959" t="str">
        <f>"86380006"</f>
        <v>86380006</v>
      </c>
      <c r="L3959" t="str">
        <f>"86380006"</f>
        <v>86380006</v>
      </c>
      <c r="M3959" t="s">
        <v>84</v>
      </c>
      <c r="N3959" s="1">
        <v>43260.800000000003</v>
      </c>
      <c r="O3959" t="s">
        <v>19</v>
      </c>
    </row>
    <row r="3960" spans="1:15" x14ac:dyDescent="0.25">
      <c r="A3960" t="s">
        <v>3303</v>
      </c>
      <c r="B3960" t="s">
        <v>15</v>
      </c>
      <c r="C3960" t="s">
        <v>2481</v>
      </c>
      <c r="D3960" t="s">
        <v>17</v>
      </c>
      <c r="E3960" t="s">
        <v>18</v>
      </c>
      <c r="F3960" t="s">
        <v>19</v>
      </c>
      <c r="G3960" t="s">
        <v>20</v>
      </c>
      <c r="J3960" t="s">
        <v>17</v>
      </c>
      <c r="K3960" t="str">
        <f>"66002145"</f>
        <v>66002145</v>
      </c>
      <c r="L3960" t="str">
        <f>"66002145"</f>
        <v>66002145</v>
      </c>
      <c r="M3960" t="s">
        <v>75</v>
      </c>
      <c r="N3960" s="1">
        <v>42872.847222222219</v>
      </c>
      <c r="O3960" t="s">
        <v>19</v>
      </c>
    </row>
    <row r="3961" spans="1:15" x14ac:dyDescent="0.25">
      <c r="A3961" t="s">
        <v>3304</v>
      </c>
      <c r="B3961" t="s">
        <v>15</v>
      </c>
      <c r="C3961" t="s">
        <v>2481</v>
      </c>
      <c r="D3961" t="s">
        <v>17</v>
      </c>
      <c r="E3961" t="s">
        <v>18</v>
      </c>
      <c r="F3961" t="s">
        <v>19</v>
      </c>
      <c r="G3961" t="s">
        <v>20</v>
      </c>
      <c r="J3961" t="s">
        <v>17</v>
      </c>
      <c r="K3961" t="str">
        <f>"34380097"</f>
        <v>34380097</v>
      </c>
      <c r="L3961" t="str">
        <f>"34380097"</f>
        <v>34380097</v>
      </c>
      <c r="M3961" t="s">
        <v>75</v>
      </c>
      <c r="N3961" s="1">
        <v>42872.839583333334</v>
      </c>
      <c r="O3961" t="s">
        <v>19</v>
      </c>
    </row>
    <row r="3962" spans="1:15" x14ac:dyDescent="0.25">
      <c r="A3962" t="s">
        <v>3305</v>
      </c>
      <c r="B3962" t="s">
        <v>15</v>
      </c>
      <c r="C3962" t="s">
        <v>2481</v>
      </c>
      <c r="D3962" t="s">
        <v>17</v>
      </c>
      <c r="E3962" t="s">
        <v>18</v>
      </c>
      <c r="F3962" t="s">
        <v>19</v>
      </c>
      <c r="G3962" t="s">
        <v>20</v>
      </c>
      <c r="J3962" t="s">
        <v>17</v>
      </c>
      <c r="K3962" t="str">
        <f>"30380451"</f>
        <v>30380451</v>
      </c>
      <c r="L3962" t="str">
        <f>"30380451"</f>
        <v>30380451</v>
      </c>
      <c r="M3962" t="s">
        <v>75</v>
      </c>
      <c r="N3962" s="1">
        <v>42872.839583333334</v>
      </c>
      <c r="O3962" t="s">
        <v>19</v>
      </c>
    </row>
    <row r="3963" spans="1:15" x14ac:dyDescent="0.25">
      <c r="A3963" t="s">
        <v>3306</v>
      </c>
      <c r="B3963" t="s">
        <v>15</v>
      </c>
      <c r="C3963" t="s">
        <v>2481</v>
      </c>
      <c r="D3963" t="s">
        <v>17</v>
      </c>
      <c r="E3963" t="s">
        <v>18</v>
      </c>
      <c r="F3963" t="s">
        <v>19</v>
      </c>
      <c r="G3963" t="s">
        <v>20</v>
      </c>
      <c r="J3963" t="s">
        <v>17</v>
      </c>
      <c r="K3963" t="str">
        <f>"17380000"</f>
        <v>17380000</v>
      </c>
      <c r="L3963" t="str">
        <f>"17380000"</f>
        <v>17380000</v>
      </c>
      <c r="M3963" t="s">
        <v>75</v>
      </c>
      <c r="N3963" s="1">
        <v>42872.839583333334</v>
      </c>
      <c r="O3963" t="s">
        <v>19</v>
      </c>
    </row>
    <row r="3964" spans="1:15" x14ac:dyDescent="0.25">
      <c r="A3964" t="s">
        <v>3307</v>
      </c>
      <c r="B3964" t="s">
        <v>15</v>
      </c>
      <c r="C3964" t="s">
        <v>2481</v>
      </c>
      <c r="D3964" t="s">
        <v>17</v>
      </c>
      <c r="E3964" t="s">
        <v>18</v>
      </c>
      <c r="F3964" t="s">
        <v>19</v>
      </c>
      <c r="G3964" t="s">
        <v>20</v>
      </c>
      <c r="J3964" t="s">
        <v>17</v>
      </c>
      <c r="K3964" t="str">
        <f>"17380001"</f>
        <v>17380001</v>
      </c>
      <c r="L3964" t="str">
        <f>"17380001"</f>
        <v>17380001</v>
      </c>
      <c r="M3964" t="s">
        <v>75</v>
      </c>
      <c r="N3964" s="1">
        <v>42872.839583333334</v>
      </c>
      <c r="O3964" t="s">
        <v>19</v>
      </c>
    </row>
    <row r="3965" spans="1:15" x14ac:dyDescent="0.25">
      <c r="A3965" t="s">
        <v>3308</v>
      </c>
      <c r="B3965" t="s">
        <v>15</v>
      </c>
      <c r="C3965" t="s">
        <v>2481</v>
      </c>
      <c r="D3965" t="s">
        <v>17</v>
      </c>
      <c r="E3965" t="s">
        <v>18</v>
      </c>
      <c r="F3965" t="s">
        <v>19</v>
      </c>
      <c r="G3965" t="s">
        <v>20</v>
      </c>
      <c r="J3965" t="s">
        <v>17</v>
      </c>
      <c r="K3965" t="str">
        <f>"76380700"</f>
        <v>76380700</v>
      </c>
      <c r="L3965" t="str">
        <f>"76380700"</f>
        <v>76380700</v>
      </c>
      <c r="M3965" t="s">
        <v>75</v>
      </c>
      <c r="N3965" s="1">
        <v>43006.65347222222</v>
      </c>
      <c r="O3965" t="s">
        <v>19</v>
      </c>
    </row>
    <row r="3966" spans="1:15" x14ac:dyDescent="0.25">
      <c r="A3966" t="s">
        <v>3309</v>
      </c>
      <c r="B3966" t="s">
        <v>15</v>
      </c>
      <c r="C3966" t="s">
        <v>2481</v>
      </c>
      <c r="D3966" t="s">
        <v>17</v>
      </c>
      <c r="E3966" t="s">
        <v>18</v>
      </c>
      <c r="F3966" t="s">
        <v>19</v>
      </c>
      <c r="G3966" t="s">
        <v>20</v>
      </c>
      <c r="J3966" t="s">
        <v>17</v>
      </c>
      <c r="K3966" t="str">
        <f>"3325201505534"</f>
        <v>3325201505534</v>
      </c>
      <c r="L3966" t="str">
        <f>"41380553"</f>
        <v>41380553</v>
      </c>
      <c r="M3966" t="s">
        <v>75</v>
      </c>
      <c r="N3966" s="1">
        <v>42895.731249999997</v>
      </c>
      <c r="O3966" t="s">
        <v>19</v>
      </c>
    </row>
    <row r="3967" spans="1:15" x14ac:dyDescent="0.25">
      <c r="A3967" t="s">
        <v>3310</v>
      </c>
      <c r="B3967" t="s">
        <v>15</v>
      </c>
      <c r="C3967" t="s">
        <v>2481</v>
      </c>
      <c r="D3967" t="s">
        <v>17</v>
      </c>
      <c r="E3967" t="s">
        <v>18</v>
      </c>
      <c r="F3967" t="s">
        <v>19</v>
      </c>
      <c r="G3967" t="s">
        <v>20</v>
      </c>
      <c r="J3967" t="s">
        <v>17</v>
      </c>
      <c r="K3967" t="str">
        <f>"66380213"</f>
        <v>66380213</v>
      </c>
      <c r="L3967" t="str">
        <f>"66380213"</f>
        <v>66380213</v>
      </c>
      <c r="M3967" t="s">
        <v>75</v>
      </c>
      <c r="N3967" s="1">
        <v>42872.847222222219</v>
      </c>
      <c r="O3967" t="s">
        <v>19</v>
      </c>
    </row>
    <row r="3968" spans="1:15" x14ac:dyDescent="0.25">
      <c r="A3968" t="s">
        <v>3311</v>
      </c>
      <c r="B3968" t="s">
        <v>15</v>
      </c>
      <c r="C3968" t="s">
        <v>2481</v>
      </c>
      <c r="D3968" t="s">
        <v>17</v>
      </c>
      <c r="E3968" t="s">
        <v>18</v>
      </c>
      <c r="F3968" t="s">
        <v>19</v>
      </c>
      <c r="G3968" t="s">
        <v>20</v>
      </c>
      <c r="J3968" t="s">
        <v>17</v>
      </c>
      <c r="K3968" t="str">
        <f>"7858816038228"</f>
        <v>7858816038228</v>
      </c>
      <c r="L3968" t="str">
        <f>"87383822"</f>
        <v>87383822</v>
      </c>
      <c r="M3968" t="s">
        <v>84</v>
      </c>
      <c r="N3968" s="1">
        <v>43252.729166666664</v>
      </c>
      <c r="O3968" t="s">
        <v>19</v>
      </c>
    </row>
    <row r="3969" spans="1:15" x14ac:dyDescent="0.25">
      <c r="A3969" t="s">
        <v>3312</v>
      </c>
      <c r="B3969" t="s">
        <v>15</v>
      </c>
      <c r="C3969" t="s">
        <v>2481</v>
      </c>
      <c r="D3969" t="s">
        <v>17</v>
      </c>
      <c r="E3969" t="s">
        <v>18</v>
      </c>
      <c r="F3969" t="s">
        <v>19</v>
      </c>
      <c r="G3969" t="s">
        <v>20</v>
      </c>
      <c r="J3969" t="s">
        <v>17</v>
      </c>
      <c r="K3969" t="str">
        <f>"25383001"</f>
        <v>25383001</v>
      </c>
      <c r="L3969" t="str">
        <f>"25383001"</f>
        <v>25383001</v>
      </c>
      <c r="M3969" t="s">
        <v>75</v>
      </c>
      <c r="N3969" s="1">
        <v>42872.839583333334</v>
      </c>
      <c r="O3969" t="s">
        <v>19</v>
      </c>
    </row>
    <row r="3970" spans="1:15" x14ac:dyDescent="0.25">
      <c r="A3970" t="s">
        <v>3313</v>
      </c>
      <c r="B3970" t="s">
        <v>15</v>
      </c>
      <c r="C3970" t="s">
        <v>2481</v>
      </c>
      <c r="D3970" t="s">
        <v>17</v>
      </c>
      <c r="E3970" t="s">
        <v>18</v>
      </c>
      <c r="F3970" t="s">
        <v>19</v>
      </c>
      <c r="G3970" t="s">
        <v>20</v>
      </c>
      <c r="J3970" t="s">
        <v>17</v>
      </c>
      <c r="K3970" t="str">
        <f>"40380001"</f>
        <v>40380001</v>
      </c>
      <c r="L3970" t="str">
        <f>"40380001"</f>
        <v>40380001</v>
      </c>
      <c r="M3970" t="s">
        <v>21</v>
      </c>
      <c r="N3970" s="1">
        <v>44349.824999999997</v>
      </c>
      <c r="O3970" t="s">
        <v>19</v>
      </c>
    </row>
    <row r="3971" spans="1:15" x14ac:dyDescent="0.25">
      <c r="A3971" t="s">
        <v>3314</v>
      </c>
      <c r="B3971" t="s">
        <v>15</v>
      </c>
      <c r="C3971" t="s">
        <v>2481</v>
      </c>
      <c r="D3971" t="s">
        <v>17</v>
      </c>
      <c r="E3971" t="s">
        <v>18</v>
      </c>
      <c r="F3971" t="s">
        <v>19</v>
      </c>
      <c r="G3971" t="s">
        <v>20</v>
      </c>
      <c r="J3971" t="s">
        <v>17</v>
      </c>
      <c r="K3971" t="str">
        <f>"6901634517404"</f>
        <v>6901634517404</v>
      </c>
      <c r="L3971" t="str">
        <f>"40383105"</f>
        <v>40383105</v>
      </c>
      <c r="M3971" t="s">
        <v>21</v>
      </c>
      <c r="N3971" s="1">
        <v>44349.824305555558</v>
      </c>
      <c r="O3971" t="s">
        <v>19</v>
      </c>
    </row>
    <row r="3972" spans="1:15" x14ac:dyDescent="0.25">
      <c r="A3972" t="s">
        <v>3315</v>
      </c>
      <c r="B3972" t="s">
        <v>15</v>
      </c>
      <c r="C3972" t="s">
        <v>2481</v>
      </c>
      <c r="D3972" t="s">
        <v>17</v>
      </c>
      <c r="E3972" t="s">
        <v>18</v>
      </c>
      <c r="F3972" t="s">
        <v>19</v>
      </c>
      <c r="G3972" t="s">
        <v>20</v>
      </c>
      <c r="J3972" t="s">
        <v>17</v>
      </c>
      <c r="K3972" t="str">
        <f>"76520010"</f>
        <v>76520010</v>
      </c>
      <c r="L3972" t="str">
        <f>"76520010"</f>
        <v>76520010</v>
      </c>
      <c r="M3972" t="s">
        <v>75</v>
      </c>
      <c r="N3972" s="1">
        <v>43071.675000000003</v>
      </c>
      <c r="O3972" t="s">
        <v>19</v>
      </c>
    </row>
    <row r="3973" spans="1:15" x14ac:dyDescent="0.25">
      <c r="A3973" t="s">
        <v>3316</v>
      </c>
      <c r="B3973" t="s">
        <v>15</v>
      </c>
      <c r="C3973" t="s">
        <v>2481</v>
      </c>
      <c r="D3973" t="s">
        <v>17</v>
      </c>
      <c r="E3973" t="s">
        <v>18</v>
      </c>
      <c r="F3973" t="s">
        <v>19</v>
      </c>
      <c r="G3973" t="s">
        <v>20</v>
      </c>
      <c r="J3973" t="s">
        <v>17</v>
      </c>
      <c r="K3973" t="str">
        <f>"34380556"</f>
        <v>34380556</v>
      </c>
      <c r="L3973" t="str">
        <f>"34380556"</f>
        <v>34380556</v>
      </c>
      <c r="M3973" t="s">
        <v>84</v>
      </c>
      <c r="N3973" s="1">
        <v>43378.589583333334</v>
      </c>
      <c r="O3973" t="s">
        <v>19</v>
      </c>
    </row>
    <row r="3974" spans="1:15" x14ac:dyDescent="0.25">
      <c r="A3974" t="s">
        <v>3317</v>
      </c>
      <c r="B3974" t="s">
        <v>15</v>
      </c>
      <c r="C3974" t="s">
        <v>2481</v>
      </c>
      <c r="D3974" t="s">
        <v>17</v>
      </c>
      <c r="E3974" t="s">
        <v>18</v>
      </c>
      <c r="F3974" t="s">
        <v>19</v>
      </c>
      <c r="G3974" t="s">
        <v>20</v>
      </c>
      <c r="J3974" t="s">
        <v>17</v>
      </c>
      <c r="K3974" t="str">
        <f>"8521797308886"</f>
        <v>8521797308886</v>
      </c>
      <c r="L3974" t="str">
        <f>"10006246"</f>
        <v>10006246</v>
      </c>
      <c r="M3974" t="s">
        <v>84</v>
      </c>
      <c r="N3974" s="1">
        <v>43496.604166666664</v>
      </c>
      <c r="O3974" t="s">
        <v>19</v>
      </c>
    </row>
    <row r="3975" spans="1:15" x14ac:dyDescent="0.25">
      <c r="A3975" t="s">
        <v>3318</v>
      </c>
      <c r="B3975" t="s">
        <v>15</v>
      </c>
      <c r="C3975" t="s">
        <v>2481</v>
      </c>
      <c r="D3975" t="s">
        <v>17</v>
      </c>
      <c r="E3975" t="s">
        <v>18</v>
      </c>
      <c r="F3975" t="s">
        <v>19</v>
      </c>
      <c r="G3975" t="s">
        <v>20</v>
      </c>
      <c r="J3975" t="s">
        <v>17</v>
      </c>
      <c r="K3975" t="str">
        <f>"1000001075716"</f>
        <v>1000001075716</v>
      </c>
      <c r="L3975" t="str">
        <f>"76388807"</f>
        <v>76388807</v>
      </c>
      <c r="M3975" t="s">
        <v>21</v>
      </c>
      <c r="N3975" s="1">
        <v>43890.634722222225</v>
      </c>
      <c r="O3975" t="s">
        <v>19</v>
      </c>
    </row>
    <row r="3976" spans="1:15" x14ac:dyDescent="0.25">
      <c r="A3976" t="s">
        <v>3319</v>
      </c>
      <c r="B3976" t="s">
        <v>15</v>
      </c>
      <c r="C3976" t="s">
        <v>2481</v>
      </c>
      <c r="D3976" t="s">
        <v>17</v>
      </c>
      <c r="E3976" t="s">
        <v>18</v>
      </c>
      <c r="F3976" t="s">
        <v>19</v>
      </c>
      <c r="G3976" t="s">
        <v>20</v>
      </c>
      <c r="J3976" t="s">
        <v>17</v>
      </c>
      <c r="K3976" t="str">
        <f>"6933138622025"</f>
        <v>6933138622025</v>
      </c>
      <c r="L3976" t="str">
        <f>"76380111"</f>
        <v>76380111</v>
      </c>
      <c r="M3976" t="s">
        <v>21</v>
      </c>
      <c r="N3976" s="1">
        <v>44210.908333333333</v>
      </c>
      <c r="O3976" t="s">
        <v>19</v>
      </c>
    </row>
    <row r="3977" spans="1:15" x14ac:dyDescent="0.25">
      <c r="A3977" t="s">
        <v>3320</v>
      </c>
      <c r="B3977" t="s">
        <v>15</v>
      </c>
      <c r="C3977" t="s">
        <v>2481</v>
      </c>
      <c r="D3977" t="s">
        <v>17</v>
      </c>
      <c r="E3977" t="s">
        <v>18</v>
      </c>
      <c r="F3977" t="s">
        <v>19</v>
      </c>
      <c r="G3977" t="s">
        <v>20</v>
      </c>
      <c r="J3977" t="s">
        <v>17</v>
      </c>
      <c r="K3977" t="str">
        <f>"76381111"</f>
        <v>76381111</v>
      </c>
      <c r="L3977" t="str">
        <f>"76381111"</f>
        <v>76381111</v>
      </c>
      <c r="M3977" t="s">
        <v>21</v>
      </c>
      <c r="N3977" s="1">
        <v>44210.906944444447</v>
      </c>
      <c r="O3977" t="s">
        <v>19</v>
      </c>
    </row>
    <row r="3978" spans="1:15" x14ac:dyDescent="0.25">
      <c r="A3978" t="s">
        <v>3321</v>
      </c>
      <c r="B3978" t="s">
        <v>15</v>
      </c>
      <c r="C3978" t="s">
        <v>965</v>
      </c>
      <c r="D3978" t="s">
        <v>17</v>
      </c>
      <c r="E3978" t="s">
        <v>18</v>
      </c>
      <c r="F3978" t="s">
        <v>19</v>
      </c>
      <c r="G3978" t="s">
        <v>20</v>
      </c>
      <c r="J3978" t="s">
        <v>17</v>
      </c>
      <c r="K3978" t="str">
        <f>"10005927"</f>
        <v>10005927</v>
      </c>
      <c r="L3978" t="str">
        <f>"10005927"</f>
        <v>10005927</v>
      </c>
      <c r="M3978" t="s">
        <v>21</v>
      </c>
      <c r="N3978" s="1">
        <v>43610.956944444442</v>
      </c>
      <c r="O3978" t="s">
        <v>19</v>
      </c>
    </row>
    <row r="3979" spans="1:15" x14ac:dyDescent="0.25">
      <c r="A3979" t="s">
        <v>3322</v>
      </c>
      <c r="B3979" t="s">
        <v>15</v>
      </c>
      <c r="C3979" t="s">
        <v>2481</v>
      </c>
      <c r="D3979" t="s">
        <v>17</v>
      </c>
      <c r="E3979" t="s">
        <v>18</v>
      </c>
      <c r="F3979" t="s">
        <v>19</v>
      </c>
      <c r="G3979" t="s">
        <v>20</v>
      </c>
      <c r="J3979" t="s">
        <v>17</v>
      </c>
      <c r="K3979" t="str">
        <f>"34380000"</f>
        <v>34380000</v>
      </c>
      <c r="L3979" t="str">
        <f>"34380000"</f>
        <v>34380000</v>
      </c>
      <c r="M3979" t="s">
        <v>75</v>
      </c>
      <c r="N3979" s="1">
        <v>42872.839583333334</v>
      </c>
      <c r="O3979" t="s">
        <v>19</v>
      </c>
    </row>
    <row r="3980" spans="1:15" x14ac:dyDescent="0.25">
      <c r="A3980" t="s">
        <v>3323</v>
      </c>
      <c r="B3980" t="s">
        <v>15</v>
      </c>
      <c r="C3980" t="s">
        <v>2481</v>
      </c>
      <c r="D3980" t="s">
        <v>17</v>
      </c>
      <c r="E3980" t="s">
        <v>18</v>
      </c>
      <c r="F3980" t="s">
        <v>19</v>
      </c>
      <c r="G3980" t="s">
        <v>20</v>
      </c>
      <c r="J3980" t="s">
        <v>17</v>
      </c>
      <c r="K3980" t="str">
        <f>"343880000"</f>
        <v>343880000</v>
      </c>
      <c r="L3980" t="str">
        <f>"343880000"</f>
        <v>343880000</v>
      </c>
      <c r="M3980" t="s">
        <v>75</v>
      </c>
      <c r="N3980" s="1">
        <v>42872.849305555559</v>
      </c>
      <c r="O3980" t="s">
        <v>19</v>
      </c>
    </row>
    <row r="3981" spans="1:15" x14ac:dyDescent="0.25">
      <c r="A3981" t="s">
        <v>3324</v>
      </c>
      <c r="B3981" t="s">
        <v>15</v>
      </c>
      <c r="C3981" t="s">
        <v>2481</v>
      </c>
      <c r="D3981" t="s">
        <v>17</v>
      </c>
      <c r="E3981" t="s">
        <v>18</v>
      </c>
      <c r="F3981" t="s">
        <v>19</v>
      </c>
      <c r="G3981" t="s">
        <v>20</v>
      </c>
      <c r="J3981" t="s">
        <v>17</v>
      </c>
      <c r="K3981" t="str">
        <f>"10111792"</f>
        <v>10111792</v>
      </c>
      <c r="L3981" t="str">
        <f>"10111792"</f>
        <v>10111792</v>
      </c>
      <c r="M3981" t="s">
        <v>21</v>
      </c>
      <c r="N3981" s="1">
        <v>43819.893750000003</v>
      </c>
      <c r="O3981" t="s">
        <v>19</v>
      </c>
    </row>
    <row r="3982" spans="1:15" x14ac:dyDescent="0.25">
      <c r="A3982" t="s">
        <v>3325</v>
      </c>
      <c r="B3982" t="s">
        <v>15</v>
      </c>
      <c r="C3982" t="s">
        <v>2481</v>
      </c>
      <c r="D3982" t="s">
        <v>17</v>
      </c>
      <c r="E3982" t="s">
        <v>18</v>
      </c>
      <c r="F3982" t="s">
        <v>19</v>
      </c>
      <c r="G3982" t="s">
        <v>20</v>
      </c>
      <c r="J3982" t="s">
        <v>17</v>
      </c>
      <c r="K3982" t="str">
        <f>"2019010720011"</f>
        <v>2019010720011</v>
      </c>
      <c r="L3982" t="str">
        <f>"10112078"</f>
        <v>10112078</v>
      </c>
      <c r="M3982" t="s">
        <v>21</v>
      </c>
      <c r="N3982" s="1">
        <v>43788.882638888892</v>
      </c>
      <c r="O3982" t="s">
        <v>19</v>
      </c>
    </row>
    <row r="3983" spans="1:15" x14ac:dyDescent="0.25">
      <c r="A3983" t="s">
        <v>3326</v>
      </c>
      <c r="B3983" t="s">
        <v>15</v>
      </c>
      <c r="C3983" t="s">
        <v>2481</v>
      </c>
      <c r="D3983" t="s">
        <v>17</v>
      </c>
      <c r="E3983" t="s">
        <v>18</v>
      </c>
      <c r="F3983" t="s">
        <v>19</v>
      </c>
      <c r="G3983" t="s">
        <v>20</v>
      </c>
      <c r="J3983" t="s">
        <v>17</v>
      </c>
      <c r="K3983" t="str">
        <f>"2687020120048"</f>
        <v>2687020120048</v>
      </c>
      <c r="L3983" t="str">
        <f>"10112089"</f>
        <v>10112089</v>
      </c>
      <c r="M3983" t="s">
        <v>21</v>
      </c>
      <c r="N3983" s="1">
        <v>43788.883333333331</v>
      </c>
      <c r="O3983" t="s">
        <v>19</v>
      </c>
    </row>
    <row r="3984" spans="1:15" x14ac:dyDescent="0.25">
      <c r="A3984" t="s">
        <v>3327</v>
      </c>
      <c r="B3984" t="s">
        <v>15</v>
      </c>
      <c r="C3984" t="s">
        <v>2481</v>
      </c>
      <c r="D3984" t="s">
        <v>17</v>
      </c>
      <c r="E3984" t="s">
        <v>18</v>
      </c>
      <c r="F3984" t="s">
        <v>19</v>
      </c>
      <c r="G3984" t="s">
        <v>20</v>
      </c>
      <c r="J3984" t="s">
        <v>17</v>
      </c>
      <c r="K3984" t="str">
        <f>"10113530"</f>
        <v>10113530</v>
      </c>
      <c r="L3984" t="str">
        <f>"10113530"</f>
        <v>10113530</v>
      </c>
      <c r="M3984" t="s">
        <v>21</v>
      </c>
      <c r="N3984" s="1">
        <v>43546.636111111111</v>
      </c>
      <c r="O3984" t="s">
        <v>19</v>
      </c>
    </row>
    <row r="3985" spans="1:15" x14ac:dyDescent="0.25">
      <c r="A3985" t="s">
        <v>3328</v>
      </c>
      <c r="B3985" t="s">
        <v>15</v>
      </c>
      <c r="C3985" t="s">
        <v>2481</v>
      </c>
      <c r="D3985" t="s">
        <v>17</v>
      </c>
      <c r="E3985" t="s">
        <v>18</v>
      </c>
      <c r="F3985" t="s">
        <v>19</v>
      </c>
      <c r="G3985" t="s">
        <v>20</v>
      </c>
      <c r="J3985" t="s">
        <v>17</v>
      </c>
      <c r="K3985" t="str">
        <f>"10114476"</f>
        <v>10114476</v>
      </c>
      <c r="L3985" t="str">
        <f>"10114476"</f>
        <v>10114476</v>
      </c>
      <c r="M3985" t="s">
        <v>21</v>
      </c>
      <c r="N3985" s="1">
        <v>43893.658333333333</v>
      </c>
      <c r="O3985" t="s">
        <v>19</v>
      </c>
    </row>
    <row r="3986" spans="1:15" x14ac:dyDescent="0.25">
      <c r="A3986" t="s">
        <v>3329</v>
      </c>
      <c r="B3986" t="s">
        <v>15</v>
      </c>
      <c r="C3986" t="s">
        <v>2481</v>
      </c>
      <c r="D3986" t="s">
        <v>17</v>
      </c>
      <c r="E3986" t="s">
        <v>18</v>
      </c>
      <c r="F3986" t="s">
        <v>19</v>
      </c>
      <c r="G3986" t="s">
        <v>20</v>
      </c>
      <c r="J3986" t="s">
        <v>17</v>
      </c>
      <c r="K3986" t="str">
        <f>"10117094"</f>
        <v>10117094</v>
      </c>
      <c r="L3986" t="str">
        <f>"10117094"</f>
        <v>10117094</v>
      </c>
      <c r="M3986" t="s">
        <v>21</v>
      </c>
      <c r="N3986" s="1">
        <v>43893.657638888886</v>
      </c>
      <c r="O3986" t="s">
        <v>19</v>
      </c>
    </row>
    <row r="3987" spans="1:15" x14ac:dyDescent="0.25">
      <c r="A3987" t="s">
        <v>3330</v>
      </c>
      <c r="B3987" t="s">
        <v>15</v>
      </c>
      <c r="C3987" t="s">
        <v>2481</v>
      </c>
      <c r="D3987" t="s">
        <v>17</v>
      </c>
      <c r="E3987" t="s">
        <v>18</v>
      </c>
      <c r="F3987" t="s">
        <v>19</v>
      </c>
      <c r="G3987" t="s">
        <v>20</v>
      </c>
      <c r="J3987" t="s">
        <v>17</v>
      </c>
      <c r="K3987" t="str">
        <f>"9256210150061"</f>
        <v>9256210150061</v>
      </c>
      <c r="L3987" t="str">
        <f>"10117677"</f>
        <v>10117677</v>
      </c>
      <c r="M3987" t="s">
        <v>21</v>
      </c>
      <c r="N3987" s="1">
        <v>43967.685416666667</v>
      </c>
      <c r="O3987" t="s">
        <v>19</v>
      </c>
    </row>
    <row r="3988" spans="1:15" x14ac:dyDescent="0.25">
      <c r="A3988" t="s">
        <v>3331</v>
      </c>
      <c r="B3988" t="s">
        <v>15</v>
      </c>
      <c r="C3988" t="s">
        <v>2481</v>
      </c>
      <c r="D3988" t="s">
        <v>17</v>
      </c>
      <c r="E3988" t="s">
        <v>18</v>
      </c>
      <c r="F3988" t="s">
        <v>19</v>
      </c>
      <c r="G3988" t="s">
        <v>20</v>
      </c>
      <c r="J3988" t="s">
        <v>17</v>
      </c>
      <c r="K3988" t="str">
        <f>"10119129"</f>
        <v>10119129</v>
      </c>
      <c r="L3988" t="str">
        <f>"10119129"</f>
        <v>10119129</v>
      </c>
      <c r="M3988" t="s">
        <v>21</v>
      </c>
      <c r="N3988" s="1">
        <v>43064.620833333334</v>
      </c>
      <c r="O3988" t="s">
        <v>19</v>
      </c>
    </row>
    <row r="3989" spans="1:15" x14ac:dyDescent="0.25">
      <c r="A3989" t="s">
        <v>3332</v>
      </c>
      <c r="B3989" t="s">
        <v>15</v>
      </c>
      <c r="C3989" t="s">
        <v>2481</v>
      </c>
      <c r="D3989" t="s">
        <v>17</v>
      </c>
      <c r="E3989" t="s">
        <v>18</v>
      </c>
      <c r="F3989" t="s">
        <v>19</v>
      </c>
      <c r="G3989" t="s">
        <v>20</v>
      </c>
      <c r="J3989" t="s">
        <v>17</v>
      </c>
      <c r="K3989" t="str">
        <f>"10119228"</f>
        <v>10119228</v>
      </c>
      <c r="L3989" t="str">
        <f>"10119228"</f>
        <v>10119228</v>
      </c>
      <c r="M3989" t="s">
        <v>21</v>
      </c>
      <c r="N3989" s="1">
        <v>42872.839583333334</v>
      </c>
      <c r="O3989" t="s">
        <v>19</v>
      </c>
    </row>
    <row r="3990" spans="1:15" x14ac:dyDescent="0.25">
      <c r="A3990" t="s">
        <v>3333</v>
      </c>
      <c r="B3990" t="s">
        <v>15</v>
      </c>
      <c r="C3990" t="s">
        <v>2481</v>
      </c>
      <c r="D3990" t="s">
        <v>17</v>
      </c>
      <c r="E3990" t="s">
        <v>18</v>
      </c>
      <c r="F3990" t="s">
        <v>19</v>
      </c>
      <c r="G3990" t="s">
        <v>20</v>
      </c>
      <c r="J3990" t="s">
        <v>17</v>
      </c>
      <c r="K3990" t="str">
        <f>"10119239"</f>
        <v>10119239</v>
      </c>
      <c r="L3990" t="str">
        <f>"10119239"</f>
        <v>10119239</v>
      </c>
      <c r="M3990" t="s">
        <v>21</v>
      </c>
      <c r="N3990" s="1">
        <v>42872.849305555559</v>
      </c>
      <c r="O3990" t="s">
        <v>19</v>
      </c>
    </row>
    <row r="3991" spans="1:15" x14ac:dyDescent="0.25">
      <c r="A3991" t="s">
        <v>3334</v>
      </c>
      <c r="B3991" t="s">
        <v>15</v>
      </c>
      <c r="C3991" t="s">
        <v>2481</v>
      </c>
      <c r="D3991" t="s">
        <v>17</v>
      </c>
      <c r="E3991" t="s">
        <v>18</v>
      </c>
      <c r="F3991" t="s">
        <v>19</v>
      </c>
      <c r="G3991" t="s">
        <v>20</v>
      </c>
      <c r="J3991" t="s">
        <v>17</v>
      </c>
      <c r="K3991" t="str">
        <f>"10119393"</f>
        <v>10119393</v>
      </c>
      <c r="L3991" t="str">
        <f>"10119393"</f>
        <v>10119393</v>
      </c>
      <c r="M3991" t="s">
        <v>21</v>
      </c>
      <c r="N3991" s="1">
        <v>42872.847222222219</v>
      </c>
      <c r="O3991" t="s">
        <v>19</v>
      </c>
    </row>
    <row r="3992" spans="1:15" x14ac:dyDescent="0.25">
      <c r="A3992" t="s">
        <v>3335</v>
      </c>
      <c r="B3992" t="s">
        <v>15</v>
      </c>
      <c r="C3992" t="s">
        <v>2481</v>
      </c>
      <c r="D3992" t="s">
        <v>17</v>
      </c>
      <c r="E3992" t="s">
        <v>18</v>
      </c>
      <c r="F3992" t="s">
        <v>19</v>
      </c>
      <c r="G3992" t="s">
        <v>20</v>
      </c>
      <c r="J3992" t="s">
        <v>17</v>
      </c>
      <c r="K3992" t="str">
        <f>"6915112582679"</f>
        <v>6915112582679</v>
      </c>
      <c r="L3992" t="str">
        <f>"10119569"</f>
        <v>10119569</v>
      </c>
      <c r="M3992" t="s">
        <v>21</v>
      </c>
      <c r="N3992" s="1">
        <v>44371.814583333333</v>
      </c>
      <c r="O3992" t="s">
        <v>19</v>
      </c>
    </row>
    <row r="3993" spans="1:15" x14ac:dyDescent="0.25">
      <c r="A3993" t="s">
        <v>3336</v>
      </c>
      <c r="B3993" t="s">
        <v>15</v>
      </c>
      <c r="C3993" t="s">
        <v>2481</v>
      </c>
      <c r="D3993" t="s">
        <v>17</v>
      </c>
      <c r="E3993" t="s">
        <v>18</v>
      </c>
      <c r="F3993" t="s">
        <v>19</v>
      </c>
      <c r="G3993" t="s">
        <v>20</v>
      </c>
      <c r="J3993" t="s">
        <v>17</v>
      </c>
      <c r="K3993" t="str">
        <f>"10119877"</f>
        <v>10119877</v>
      </c>
      <c r="L3993" t="str">
        <f>"10119877"</f>
        <v>10119877</v>
      </c>
      <c r="M3993" t="s">
        <v>21</v>
      </c>
      <c r="N3993" s="1">
        <v>42872.847222222219</v>
      </c>
      <c r="O3993" t="s">
        <v>19</v>
      </c>
    </row>
    <row r="3994" spans="1:15" x14ac:dyDescent="0.25">
      <c r="A3994" t="s">
        <v>3337</v>
      </c>
      <c r="B3994" t="s">
        <v>15</v>
      </c>
      <c r="C3994" t="s">
        <v>2481</v>
      </c>
      <c r="D3994" t="s">
        <v>17</v>
      </c>
      <c r="E3994" t="s">
        <v>18</v>
      </c>
      <c r="F3994" t="s">
        <v>19</v>
      </c>
      <c r="G3994" t="s">
        <v>20</v>
      </c>
      <c r="J3994" t="s">
        <v>17</v>
      </c>
      <c r="K3994" t="str">
        <f>"9780201379662"</f>
        <v>9780201379662</v>
      </c>
      <c r="L3994" t="str">
        <f>"10119888"</f>
        <v>10119888</v>
      </c>
      <c r="M3994" t="s">
        <v>21</v>
      </c>
      <c r="N3994" s="1">
        <v>42872.839583333334</v>
      </c>
      <c r="O3994" t="s">
        <v>19</v>
      </c>
    </row>
    <row r="3995" spans="1:15" x14ac:dyDescent="0.25">
      <c r="A3995" t="s">
        <v>3338</v>
      </c>
      <c r="B3995" t="s">
        <v>15</v>
      </c>
      <c r="C3995" t="s">
        <v>2481</v>
      </c>
      <c r="D3995" t="s">
        <v>17</v>
      </c>
      <c r="E3995" t="s">
        <v>18</v>
      </c>
      <c r="F3995" t="s">
        <v>19</v>
      </c>
      <c r="G3995" t="s">
        <v>20</v>
      </c>
      <c r="J3995" t="s">
        <v>17</v>
      </c>
      <c r="K3995" t="str">
        <f>"10001270"</f>
        <v>10001270</v>
      </c>
      <c r="L3995" t="str">
        <f>"10001270"</f>
        <v>10001270</v>
      </c>
      <c r="M3995" t="s">
        <v>84</v>
      </c>
      <c r="N3995" s="1">
        <v>43396.688888888886</v>
      </c>
      <c r="O3995" t="s">
        <v>19</v>
      </c>
    </row>
    <row r="3996" spans="1:15" x14ac:dyDescent="0.25">
      <c r="A3996" t="s">
        <v>3339</v>
      </c>
      <c r="B3996" t="s">
        <v>15</v>
      </c>
      <c r="C3996" t="s">
        <v>2481</v>
      </c>
      <c r="D3996" t="s">
        <v>17</v>
      </c>
      <c r="E3996" t="s">
        <v>18</v>
      </c>
      <c r="F3996" t="s">
        <v>19</v>
      </c>
      <c r="G3996" t="s">
        <v>20</v>
      </c>
      <c r="J3996" t="s">
        <v>17</v>
      </c>
      <c r="K3996" t="str">
        <f>"10001664"</f>
        <v>10001664</v>
      </c>
      <c r="L3996" t="str">
        <f>"10001664"</f>
        <v>10001664</v>
      </c>
      <c r="M3996" t="s">
        <v>84</v>
      </c>
      <c r="N3996" s="1">
        <v>43510.677083333336</v>
      </c>
      <c r="O3996" t="s">
        <v>19</v>
      </c>
    </row>
    <row r="3997" spans="1:15" x14ac:dyDescent="0.25">
      <c r="A3997" t="s">
        <v>3340</v>
      </c>
      <c r="B3997" t="s">
        <v>15</v>
      </c>
      <c r="C3997" t="s">
        <v>2481</v>
      </c>
      <c r="D3997" t="s">
        <v>17</v>
      </c>
      <c r="E3997" t="s">
        <v>18</v>
      </c>
      <c r="F3997" t="s">
        <v>19</v>
      </c>
      <c r="G3997" t="s">
        <v>20</v>
      </c>
      <c r="J3997" t="s">
        <v>17</v>
      </c>
      <c r="K3997" t="str">
        <f>"10002461"</f>
        <v>10002461</v>
      </c>
      <c r="L3997" t="str">
        <f>"10002461"</f>
        <v>10002461</v>
      </c>
      <c r="M3997" t="s">
        <v>21</v>
      </c>
      <c r="N3997" s="1">
        <v>43131.702777777777</v>
      </c>
      <c r="O3997" t="s">
        <v>19</v>
      </c>
    </row>
    <row r="3998" spans="1:15" x14ac:dyDescent="0.25">
      <c r="A3998" t="s">
        <v>3341</v>
      </c>
      <c r="B3998" t="s">
        <v>15</v>
      </c>
      <c r="C3998" t="s">
        <v>2481</v>
      </c>
      <c r="D3998" t="s">
        <v>17</v>
      </c>
      <c r="E3998" t="s">
        <v>18</v>
      </c>
      <c r="F3998" t="s">
        <v>19</v>
      </c>
      <c r="G3998" t="s">
        <v>20</v>
      </c>
      <c r="J3998" t="s">
        <v>17</v>
      </c>
      <c r="K3998" t="str">
        <f>"10003547"</f>
        <v>10003547</v>
      </c>
      <c r="L3998" t="str">
        <f>"10003547"</f>
        <v>10003547</v>
      </c>
      <c r="M3998" t="s">
        <v>21</v>
      </c>
      <c r="N3998" s="1">
        <v>43610.957638888889</v>
      </c>
      <c r="O3998" t="s">
        <v>19</v>
      </c>
    </row>
    <row r="3999" spans="1:15" x14ac:dyDescent="0.25">
      <c r="A3999" t="s">
        <v>3342</v>
      </c>
      <c r="B3999" t="s">
        <v>15</v>
      </c>
      <c r="C3999" t="s">
        <v>2481</v>
      </c>
      <c r="D3999" t="s">
        <v>17</v>
      </c>
      <c r="E3999" t="s">
        <v>18</v>
      </c>
      <c r="F3999" t="s">
        <v>19</v>
      </c>
      <c r="G3999" t="s">
        <v>20</v>
      </c>
      <c r="J3999" t="s">
        <v>17</v>
      </c>
      <c r="K3999" t="str">
        <f>"30380703"</f>
        <v>30380703</v>
      </c>
      <c r="L3999" t="str">
        <f>"30380703"</f>
        <v>30380703</v>
      </c>
      <c r="M3999" t="s">
        <v>75</v>
      </c>
      <c r="N3999" s="1">
        <v>42872.839583333334</v>
      </c>
      <c r="O3999" t="s">
        <v>19</v>
      </c>
    </row>
    <row r="4000" spans="1:15" x14ac:dyDescent="0.25">
      <c r="A4000" t="s">
        <v>3343</v>
      </c>
      <c r="B4000" t="s">
        <v>15</v>
      </c>
      <c r="C4000" t="s">
        <v>2481</v>
      </c>
      <c r="D4000" t="s">
        <v>17</v>
      </c>
      <c r="E4000" t="s">
        <v>18</v>
      </c>
      <c r="F4000" t="s">
        <v>19</v>
      </c>
      <c r="G4000" t="s">
        <v>20</v>
      </c>
      <c r="J4000" t="s">
        <v>17</v>
      </c>
      <c r="K4000" t="str">
        <f>"10005806"</f>
        <v>10005806</v>
      </c>
      <c r="L4000" t="str">
        <f>"10005806"</f>
        <v>10005806</v>
      </c>
      <c r="M4000" t="s">
        <v>21</v>
      </c>
      <c r="N4000" s="1">
        <v>43708.876388888886</v>
      </c>
      <c r="O4000" t="s">
        <v>19</v>
      </c>
    </row>
    <row r="4001" spans="1:15" x14ac:dyDescent="0.25">
      <c r="A4001" t="s">
        <v>3344</v>
      </c>
      <c r="B4001" t="s">
        <v>15</v>
      </c>
      <c r="C4001" t="s">
        <v>2481</v>
      </c>
      <c r="D4001" t="s">
        <v>17</v>
      </c>
      <c r="E4001" t="s">
        <v>18</v>
      </c>
      <c r="F4001" t="s">
        <v>19</v>
      </c>
      <c r="G4001" t="s">
        <v>20</v>
      </c>
      <c r="J4001" t="s">
        <v>17</v>
      </c>
      <c r="K4001" t="str">
        <f>"10008204"</f>
        <v>10008204</v>
      </c>
      <c r="L4001" t="str">
        <f>"10008204"</f>
        <v>10008204</v>
      </c>
      <c r="M4001" t="s">
        <v>75</v>
      </c>
      <c r="N4001" s="1">
        <v>43195.696527777778</v>
      </c>
      <c r="O4001" t="s">
        <v>19</v>
      </c>
    </row>
    <row r="4002" spans="1:15" x14ac:dyDescent="0.25">
      <c r="A4002" t="s">
        <v>3345</v>
      </c>
      <c r="B4002" t="s">
        <v>15</v>
      </c>
      <c r="C4002" t="s">
        <v>2481</v>
      </c>
      <c r="D4002" t="s">
        <v>17</v>
      </c>
      <c r="E4002" t="s">
        <v>18</v>
      </c>
      <c r="F4002" t="s">
        <v>19</v>
      </c>
      <c r="G4002" t="s">
        <v>20</v>
      </c>
      <c r="J4002" t="s">
        <v>18</v>
      </c>
      <c r="K4002" t="str">
        <f>"86380001"</f>
        <v>86380001</v>
      </c>
      <c r="L4002" t="str">
        <f>"86380001"</f>
        <v>86380001</v>
      </c>
      <c r="M4002" t="s">
        <v>84</v>
      </c>
      <c r="N4002" s="1">
        <v>43260.657638888886</v>
      </c>
      <c r="O4002" t="s">
        <v>19</v>
      </c>
    </row>
    <row r="4003" spans="1:15" x14ac:dyDescent="0.25">
      <c r="A4003" t="s">
        <v>3346</v>
      </c>
      <c r="B4003" t="s">
        <v>15</v>
      </c>
      <c r="C4003" t="s">
        <v>2481</v>
      </c>
      <c r="D4003" t="s">
        <v>17</v>
      </c>
      <c r="E4003" t="s">
        <v>18</v>
      </c>
      <c r="F4003" t="s">
        <v>19</v>
      </c>
      <c r="G4003" t="s">
        <v>20</v>
      </c>
      <c r="J4003" t="s">
        <v>17</v>
      </c>
      <c r="K4003" t="str">
        <f>"10108052"</f>
        <v>10108052</v>
      </c>
      <c r="L4003" t="str">
        <f>"10108052"</f>
        <v>10108052</v>
      </c>
      <c r="M4003" t="s">
        <v>75</v>
      </c>
      <c r="N4003" s="1">
        <v>42872.839583333334</v>
      </c>
      <c r="O4003" t="s">
        <v>19</v>
      </c>
    </row>
    <row r="4004" spans="1:15" x14ac:dyDescent="0.25">
      <c r="A4004" t="s">
        <v>3347</v>
      </c>
      <c r="B4004" t="s">
        <v>15</v>
      </c>
      <c r="C4004" t="s">
        <v>2481</v>
      </c>
      <c r="D4004" t="s">
        <v>17</v>
      </c>
      <c r="E4004" t="s">
        <v>18</v>
      </c>
      <c r="F4004" t="s">
        <v>19</v>
      </c>
      <c r="G4004" t="s">
        <v>20</v>
      </c>
      <c r="J4004" t="s">
        <v>17</v>
      </c>
      <c r="K4004" t="str">
        <f>"8230810004154"</f>
        <v>8230810004154</v>
      </c>
      <c r="L4004" t="str">
        <f>"10000972"</f>
        <v>10000972</v>
      </c>
      <c r="M4004" t="s">
        <v>84</v>
      </c>
      <c r="N4004" s="1">
        <v>43307.866666666669</v>
      </c>
      <c r="O4004" t="s">
        <v>19</v>
      </c>
    </row>
    <row r="4005" spans="1:15" x14ac:dyDescent="0.25">
      <c r="A4005" t="s">
        <v>3348</v>
      </c>
      <c r="B4005" t="s">
        <v>15</v>
      </c>
      <c r="C4005" t="s">
        <v>2481</v>
      </c>
      <c r="D4005" t="s">
        <v>17</v>
      </c>
      <c r="E4005" t="s">
        <v>18</v>
      </c>
      <c r="F4005" t="s">
        <v>19</v>
      </c>
      <c r="G4005" t="s">
        <v>20</v>
      </c>
      <c r="J4005" t="s">
        <v>18</v>
      </c>
      <c r="K4005" t="str">
        <f>"6905631250111"</f>
        <v>6905631250111</v>
      </c>
      <c r="L4005" t="str">
        <f>"40380008"</f>
        <v>40380008</v>
      </c>
      <c r="M4005" t="s">
        <v>21</v>
      </c>
      <c r="N4005" s="1">
        <v>43371.836805555555</v>
      </c>
      <c r="O4005" t="s">
        <v>19</v>
      </c>
    </row>
    <row r="4006" spans="1:15" x14ac:dyDescent="0.25">
      <c r="A4006" t="s">
        <v>3349</v>
      </c>
      <c r="B4006" t="s">
        <v>15</v>
      </c>
      <c r="C4006" t="s">
        <v>2481</v>
      </c>
      <c r="D4006" t="s">
        <v>17</v>
      </c>
      <c r="E4006" t="s">
        <v>18</v>
      </c>
      <c r="F4006" t="s">
        <v>19</v>
      </c>
      <c r="G4006" t="s">
        <v>20</v>
      </c>
      <c r="J4006" t="s">
        <v>17</v>
      </c>
      <c r="K4006" t="str">
        <f>"8669885013172"</f>
        <v>8669885013172</v>
      </c>
      <c r="L4006" t="str">
        <f>"66381317"</f>
        <v>66381317</v>
      </c>
      <c r="M4006" t="s">
        <v>75</v>
      </c>
      <c r="N4006" s="1">
        <v>43096.897916666669</v>
      </c>
      <c r="O4006" t="s">
        <v>19</v>
      </c>
    </row>
    <row r="4007" spans="1:15" x14ac:dyDescent="0.25">
      <c r="A4007" t="s">
        <v>3350</v>
      </c>
      <c r="B4007" t="s">
        <v>15</v>
      </c>
      <c r="C4007" t="s">
        <v>2481</v>
      </c>
      <c r="D4007" t="s">
        <v>17</v>
      </c>
      <c r="E4007" t="s">
        <v>18</v>
      </c>
      <c r="F4007" t="s">
        <v>19</v>
      </c>
      <c r="G4007" t="s">
        <v>20</v>
      </c>
      <c r="J4007" t="s">
        <v>17</v>
      </c>
      <c r="K4007" t="str">
        <f>"8813231655077"</f>
        <v>8813231655077</v>
      </c>
      <c r="L4007" t="str">
        <f>"49380007"</f>
        <v>49380007</v>
      </c>
      <c r="M4007" t="s">
        <v>75</v>
      </c>
      <c r="N4007" s="1">
        <v>42894.739583333336</v>
      </c>
      <c r="O4007" t="s">
        <v>19</v>
      </c>
    </row>
    <row r="4008" spans="1:15" x14ac:dyDescent="0.25">
      <c r="A4008" t="s">
        <v>3351</v>
      </c>
      <c r="B4008" t="s">
        <v>15</v>
      </c>
      <c r="C4008" t="s">
        <v>2481</v>
      </c>
      <c r="D4008" t="s">
        <v>17</v>
      </c>
      <c r="E4008" t="s">
        <v>18</v>
      </c>
      <c r="F4008" t="s">
        <v>19</v>
      </c>
      <c r="G4008" t="s">
        <v>20</v>
      </c>
      <c r="J4008" t="s">
        <v>17</v>
      </c>
      <c r="K4008" t="str">
        <f>"7858816074448"</f>
        <v>7858816074448</v>
      </c>
      <c r="L4008" t="str">
        <f>"87387444"</f>
        <v>87387444</v>
      </c>
      <c r="M4008" t="s">
        <v>21</v>
      </c>
      <c r="N4008" s="1">
        <v>44356.87222222222</v>
      </c>
      <c r="O4008" t="s">
        <v>19</v>
      </c>
    </row>
    <row r="4009" spans="1:15" x14ac:dyDescent="0.25">
      <c r="A4009" t="s">
        <v>3352</v>
      </c>
      <c r="B4009" t="s">
        <v>15</v>
      </c>
      <c r="C4009" t="s">
        <v>2481</v>
      </c>
      <c r="D4009" t="s">
        <v>17</v>
      </c>
      <c r="E4009" t="s">
        <v>18</v>
      </c>
      <c r="F4009" t="s">
        <v>19</v>
      </c>
      <c r="G4009" t="s">
        <v>20</v>
      </c>
      <c r="J4009" t="s">
        <v>17</v>
      </c>
      <c r="K4009" t="str">
        <f>"6925871602563"</f>
        <v>6925871602563</v>
      </c>
      <c r="L4009" t="str">
        <f>"22380256"</f>
        <v>22380256</v>
      </c>
      <c r="M4009" t="s">
        <v>21</v>
      </c>
      <c r="N4009" s="1">
        <v>43707.796527777777</v>
      </c>
      <c r="O4009" t="s">
        <v>19</v>
      </c>
    </row>
    <row r="4010" spans="1:15" x14ac:dyDescent="0.25">
      <c r="A4010" t="s">
        <v>3353</v>
      </c>
      <c r="B4010" t="s">
        <v>15</v>
      </c>
      <c r="C4010" t="s">
        <v>2481</v>
      </c>
      <c r="D4010" t="s">
        <v>17</v>
      </c>
      <c r="E4010" t="s">
        <v>18</v>
      </c>
      <c r="F4010" t="s">
        <v>19</v>
      </c>
      <c r="G4010" t="s">
        <v>20</v>
      </c>
      <c r="J4010" t="s">
        <v>17</v>
      </c>
      <c r="K4010" t="str">
        <f>"6925871602525"</f>
        <v>6925871602525</v>
      </c>
      <c r="L4010" t="str">
        <f>"22380252"</f>
        <v>22380252</v>
      </c>
      <c r="M4010" t="s">
        <v>21</v>
      </c>
      <c r="N4010" s="1">
        <v>43707.796527777777</v>
      </c>
      <c r="O4010" t="s">
        <v>19</v>
      </c>
    </row>
    <row r="4011" spans="1:15" x14ac:dyDescent="0.25">
      <c r="A4011" t="s">
        <v>3354</v>
      </c>
      <c r="B4011" t="s">
        <v>15</v>
      </c>
      <c r="C4011" t="s">
        <v>2481</v>
      </c>
      <c r="D4011" t="s">
        <v>17</v>
      </c>
      <c r="E4011" t="s">
        <v>18</v>
      </c>
      <c r="F4011" t="s">
        <v>19</v>
      </c>
      <c r="G4011" t="s">
        <v>20</v>
      </c>
      <c r="J4011" t="s">
        <v>17</v>
      </c>
      <c r="K4011" t="str">
        <f>"6925871602648"</f>
        <v>6925871602648</v>
      </c>
      <c r="L4011" t="str">
        <f>"98380264"</f>
        <v>98380264</v>
      </c>
      <c r="M4011" t="s">
        <v>21</v>
      </c>
      <c r="N4011" s="1">
        <v>42872.847222222219</v>
      </c>
      <c r="O4011" t="s">
        <v>19</v>
      </c>
    </row>
    <row r="4012" spans="1:15" x14ac:dyDescent="0.25">
      <c r="A4012" t="s">
        <v>3355</v>
      </c>
      <c r="B4012" t="s">
        <v>15</v>
      </c>
      <c r="C4012" t="s">
        <v>2481</v>
      </c>
      <c r="D4012" t="s">
        <v>17</v>
      </c>
      <c r="E4012" t="s">
        <v>18</v>
      </c>
      <c r="F4012" t="s">
        <v>19</v>
      </c>
      <c r="G4012" t="s">
        <v>20</v>
      </c>
      <c r="J4012" t="s">
        <v>17</v>
      </c>
      <c r="K4012" t="str">
        <f>"6958816008144"</f>
        <v>6958816008144</v>
      </c>
      <c r="L4012" t="str">
        <f>"87388144"</f>
        <v>87388144</v>
      </c>
      <c r="M4012" t="s">
        <v>75</v>
      </c>
      <c r="N4012" s="1">
        <v>43125.975694444445</v>
      </c>
      <c r="O4012" t="s">
        <v>19</v>
      </c>
    </row>
    <row r="4013" spans="1:15" x14ac:dyDescent="0.25">
      <c r="A4013" t="s">
        <v>3356</v>
      </c>
      <c r="B4013" t="s">
        <v>15</v>
      </c>
      <c r="C4013" t="s">
        <v>2481</v>
      </c>
      <c r="D4013" t="s">
        <v>17</v>
      </c>
      <c r="E4013" t="s">
        <v>18</v>
      </c>
      <c r="F4013" t="s">
        <v>19</v>
      </c>
      <c r="G4013" t="s">
        <v>20</v>
      </c>
      <c r="J4013" t="s">
        <v>18</v>
      </c>
      <c r="K4013" t="str">
        <f>"17380002"</f>
        <v>17380002</v>
      </c>
      <c r="L4013" t="str">
        <f>"17380002"</f>
        <v>17380002</v>
      </c>
      <c r="M4013" t="s">
        <v>84</v>
      </c>
      <c r="N4013" s="1">
        <v>43404.688194444447</v>
      </c>
      <c r="O4013" t="s">
        <v>19</v>
      </c>
    </row>
    <row r="4014" spans="1:15" x14ac:dyDescent="0.25">
      <c r="A4014" t="s">
        <v>3357</v>
      </c>
      <c r="B4014" t="s">
        <v>15</v>
      </c>
      <c r="C4014" t="s">
        <v>2481</v>
      </c>
      <c r="D4014" t="s">
        <v>17</v>
      </c>
      <c r="E4014" t="s">
        <v>18</v>
      </c>
      <c r="F4014" t="s">
        <v>19</v>
      </c>
      <c r="G4014" t="s">
        <v>20</v>
      </c>
      <c r="J4014" t="s">
        <v>17</v>
      </c>
      <c r="K4014" t="str">
        <f>"6665011203310"</f>
        <v>6665011203310</v>
      </c>
      <c r="L4014" t="str">
        <f>"543820331"</f>
        <v>543820331</v>
      </c>
      <c r="M4014" t="s">
        <v>21</v>
      </c>
      <c r="N4014" s="1">
        <v>44210.768750000003</v>
      </c>
      <c r="O4014" t="s">
        <v>19</v>
      </c>
    </row>
    <row r="4015" spans="1:15" x14ac:dyDescent="0.25">
      <c r="A4015" t="s">
        <v>3358</v>
      </c>
      <c r="B4015" t="s">
        <v>15</v>
      </c>
      <c r="C4015" t="s">
        <v>2481</v>
      </c>
      <c r="D4015" t="s">
        <v>17</v>
      </c>
      <c r="E4015" t="s">
        <v>18</v>
      </c>
      <c r="F4015" t="s">
        <v>19</v>
      </c>
      <c r="G4015" t="s">
        <v>20</v>
      </c>
      <c r="J4015" t="s">
        <v>17</v>
      </c>
      <c r="K4015" t="str">
        <f>"10000572"</f>
        <v>10000572</v>
      </c>
      <c r="L4015" t="str">
        <f>"10000572"</f>
        <v>10000572</v>
      </c>
      <c r="M4015" t="s">
        <v>84</v>
      </c>
      <c r="N4015" s="1">
        <v>43546.622916666667</v>
      </c>
      <c r="O4015" t="s">
        <v>19</v>
      </c>
    </row>
    <row r="4016" spans="1:15" x14ac:dyDescent="0.25">
      <c r="A4016" t="s">
        <v>3359</v>
      </c>
      <c r="B4016" t="s">
        <v>15</v>
      </c>
      <c r="C4016" t="s">
        <v>2481</v>
      </c>
      <c r="D4016" t="s">
        <v>17</v>
      </c>
      <c r="E4016" t="s">
        <v>18</v>
      </c>
      <c r="F4016" t="s">
        <v>19</v>
      </c>
      <c r="G4016" t="s">
        <v>20</v>
      </c>
      <c r="J4016" t="s">
        <v>17</v>
      </c>
      <c r="K4016" t="str">
        <f>"10008622"</f>
        <v>10008622</v>
      </c>
      <c r="L4016" t="str">
        <f>"10008622"</f>
        <v>10008622</v>
      </c>
      <c r="M4016" t="s">
        <v>84</v>
      </c>
      <c r="N4016" s="1">
        <v>43546.624305555553</v>
      </c>
      <c r="O4016" t="s">
        <v>19</v>
      </c>
    </row>
    <row r="4017" spans="1:15" x14ac:dyDescent="0.25">
      <c r="A4017" t="s">
        <v>3360</v>
      </c>
      <c r="B4017" t="s">
        <v>15</v>
      </c>
      <c r="C4017" t="s">
        <v>2481</v>
      </c>
      <c r="D4017" t="s">
        <v>17</v>
      </c>
      <c r="E4017" t="s">
        <v>18</v>
      </c>
      <c r="F4017" t="s">
        <v>19</v>
      </c>
      <c r="G4017" t="s">
        <v>20</v>
      </c>
      <c r="J4017" t="s">
        <v>17</v>
      </c>
      <c r="K4017" t="str">
        <f>"6956282712404"</f>
        <v>6956282712404</v>
      </c>
      <c r="L4017" t="str">
        <f>"10003230"</f>
        <v>10003230</v>
      </c>
      <c r="M4017" t="s">
        <v>21</v>
      </c>
      <c r="N4017" s="1">
        <v>43788.881249999999</v>
      </c>
      <c r="O4017" t="s">
        <v>19</v>
      </c>
    </row>
    <row r="4018" spans="1:15" x14ac:dyDescent="0.25">
      <c r="A4018" t="s">
        <v>3361</v>
      </c>
      <c r="B4018" t="s">
        <v>15</v>
      </c>
      <c r="C4018" t="s">
        <v>2481</v>
      </c>
      <c r="D4018" t="s">
        <v>17</v>
      </c>
      <c r="E4018" t="s">
        <v>18</v>
      </c>
      <c r="F4018" t="s">
        <v>19</v>
      </c>
      <c r="G4018" t="s">
        <v>20</v>
      </c>
      <c r="J4018" t="s">
        <v>17</v>
      </c>
      <c r="K4018" t="str">
        <f>"7000444"</f>
        <v>7000444</v>
      </c>
      <c r="L4018" t="str">
        <f>"30380080"</f>
        <v>30380080</v>
      </c>
      <c r="M4018" t="s">
        <v>75</v>
      </c>
      <c r="N4018" s="1">
        <v>43083.78402777778</v>
      </c>
      <c r="O4018" t="s">
        <v>19</v>
      </c>
    </row>
    <row r="4019" spans="1:15" x14ac:dyDescent="0.25">
      <c r="A4019" t="s">
        <v>3362</v>
      </c>
      <c r="B4019" t="s">
        <v>15</v>
      </c>
      <c r="C4019" t="s">
        <v>2481</v>
      </c>
      <c r="D4019" t="s">
        <v>17</v>
      </c>
      <c r="E4019" t="s">
        <v>18</v>
      </c>
      <c r="F4019" t="s">
        <v>19</v>
      </c>
      <c r="G4019" t="s">
        <v>20</v>
      </c>
      <c r="J4019" t="s">
        <v>17</v>
      </c>
      <c r="K4019" t="str">
        <f>"7858816017216"</f>
        <v>7858816017216</v>
      </c>
      <c r="L4019" t="str">
        <f>"87381721"</f>
        <v>87381721</v>
      </c>
      <c r="M4019" t="s">
        <v>84</v>
      </c>
      <c r="N4019" s="1">
        <v>43178.59097222222</v>
      </c>
      <c r="O4019" t="s">
        <v>19</v>
      </c>
    </row>
    <row r="4020" spans="1:15" x14ac:dyDescent="0.25">
      <c r="A4020" t="s">
        <v>3363</v>
      </c>
      <c r="B4020" t="s">
        <v>15</v>
      </c>
      <c r="C4020" t="s">
        <v>2481</v>
      </c>
      <c r="D4020" t="s">
        <v>17</v>
      </c>
      <c r="E4020" t="s">
        <v>18</v>
      </c>
      <c r="F4020" t="s">
        <v>19</v>
      </c>
      <c r="G4020" t="s">
        <v>20</v>
      </c>
      <c r="J4020" t="s">
        <v>17</v>
      </c>
      <c r="K4020" t="str">
        <f>"7858816017223"</f>
        <v>7858816017223</v>
      </c>
      <c r="L4020" t="str">
        <f>"87381722"</f>
        <v>87381722</v>
      </c>
      <c r="M4020" t="s">
        <v>75</v>
      </c>
      <c r="N4020" s="1">
        <v>42872.847222222219</v>
      </c>
      <c r="O4020" t="s">
        <v>19</v>
      </c>
    </row>
    <row r="4021" spans="1:15" x14ac:dyDescent="0.25">
      <c r="A4021" t="s">
        <v>3364</v>
      </c>
      <c r="B4021" t="s">
        <v>15</v>
      </c>
      <c r="C4021" t="s">
        <v>2481</v>
      </c>
      <c r="D4021" t="s">
        <v>17</v>
      </c>
      <c r="E4021" t="s">
        <v>18</v>
      </c>
      <c r="F4021" t="s">
        <v>19</v>
      </c>
      <c r="G4021" t="s">
        <v>20</v>
      </c>
      <c r="J4021" t="s">
        <v>17</v>
      </c>
      <c r="K4021" t="str">
        <f>"17001724"</f>
        <v>17001724</v>
      </c>
      <c r="L4021" t="str">
        <f>"17001724"</f>
        <v>17001724</v>
      </c>
      <c r="M4021" t="s">
        <v>75</v>
      </c>
      <c r="N4021" s="1">
        <v>42872.839583333334</v>
      </c>
      <c r="O4021" t="s">
        <v>19</v>
      </c>
    </row>
    <row r="4022" spans="1:15" x14ac:dyDescent="0.25">
      <c r="A4022" t="s">
        <v>3364</v>
      </c>
      <c r="B4022" t="s">
        <v>15</v>
      </c>
      <c r="C4022" t="s">
        <v>2481</v>
      </c>
      <c r="D4022" t="s">
        <v>17</v>
      </c>
      <c r="E4022" t="s">
        <v>18</v>
      </c>
      <c r="F4022" t="s">
        <v>19</v>
      </c>
      <c r="G4022" t="s">
        <v>20</v>
      </c>
      <c r="J4022" t="s">
        <v>17</v>
      </c>
      <c r="K4022" t="str">
        <f>"7858816017247"</f>
        <v>7858816017247</v>
      </c>
      <c r="L4022" t="str">
        <f>"87001724"</f>
        <v>87001724</v>
      </c>
      <c r="M4022" t="s">
        <v>75</v>
      </c>
      <c r="N4022" s="1">
        <v>42872.847222222219</v>
      </c>
      <c r="O4022" t="s">
        <v>19</v>
      </c>
    </row>
    <row r="4023" spans="1:15" x14ac:dyDescent="0.25">
      <c r="A4023" t="s">
        <v>3365</v>
      </c>
      <c r="B4023" t="s">
        <v>15</v>
      </c>
      <c r="C4023" t="s">
        <v>2481</v>
      </c>
      <c r="D4023" t="s">
        <v>17</v>
      </c>
      <c r="E4023" t="s">
        <v>18</v>
      </c>
      <c r="F4023" t="s">
        <v>19</v>
      </c>
      <c r="G4023" t="s">
        <v>20</v>
      </c>
      <c r="J4023" t="s">
        <v>17</v>
      </c>
      <c r="K4023" t="str">
        <f>"7858816021336"</f>
        <v>7858816021336</v>
      </c>
      <c r="L4023" t="str">
        <f>"87382133"</f>
        <v>87382133</v>
      </c>
      <c r="M4023" t="s">
        <v>84</v>
      </c>
      <c r="N4023" s="1">
        <v>43495.647222222222</v>
      </c>
      <c r="O4023" t="s">
        <v>19</v>
      </c>
    </row>
    <row r="4024" spans="1:15" x14ac:dyDescent="0.25">
      <c r="A4024" t="s">
        <v>3366</v>
      </c>
      <c r="B4024" t="s">
        <v>15</v>
      </c>
      <c r="C4024" t="s">
        <v>2481</v>
      </c>
      <c r="D4024" t="s">
        <v>17</v>
      </c>
      <c r="E4024" t="s">
        <v>18</v>
      </c>
      <c r="F4024" t="s">
        <v>19</v>
      </c>
      <c r="G4024" t="s">
        <v>20</v>
      </c>
      <c r="J4024" t="s">
        <v>17</v>
      </c>
      <c r="K4024" t="str">
        <f>"7858816035081"</f>
        <v>7858816035081</v>
      </c>
      <c r="L4024" t="str">
        <f>"87383506"</f>
        <v>87383506</v>
      </c>
      <c r="M4024" t="s">
        <v>84</v>
      </c>
      <c r="N4024" s="1">
        <v>43252.729861111111</v>
      </c>
      <c r="O4024" t="s">
        <v>19</v>
      </c>
    </row>
    <row r="4025" spans="1:15" x14ac:dyDescent="0.25">
      <c r="A4025" t="s">
        <v>3367</v>
      </c>
      <c r="B4025" t="s">
        <v>15</v>
      </c>
      <c r="C4025" t="s">
        <v>2481</v>
      </c>
      <c r="D4025" t="s">
        <v>17</v>
      </c>
      <c r="E4025" t="s">
        <v>18</v>
      </c>
      <c r="F4025" t="s">
        <v>19</v>
      </c>
      <c r="G4025" t="s">
        <v>20</v>
      </c>
      <c r="J4025" t="s">
        <v>17</v>
      </c>
      <c r="K4025" t="str">
        <f>"7858816035074"</f>
        <v>7858816035074</v>
      </c>
      <c r="L4025" t="str">
        <f>"87383507"</f>
        <v>87383507</v>
      </c>
      <c r="M4025" t="s">
        <v>75</v>
      </c>
      <c r="N4025" s="1">
        <v>43244.692361111112</v>
      </c>
      <c r="O4025" t="s">
        <v>19</v>
      </c>
    </row>
    <row r="4026" spans="1:15" x14ac:dyDescent="0.25">
      <c r="A4026" t="s">
        <v>3368</v>
      </c>
      <c r="B4026" t="s">
        <v>15</v>
      </c>
      <c r="C4026" t="s">
        <v>2481</v>
      </c>
      <c r="D4026" t="s">
        <v>17</v>
      </c>
      <c r="E4026" t="s">
        <v>18</v>
      </c>
      <c r="F4026" t="s">
        <v>19</v>
      </c>
      <c r="G4026" t="s">
        <v>20</v>
      </c>
      <c r="J4026" t="s">
        <v>17</v>
      </c>
      <c r="K4026" t="str">
        <f>"7858816041105"</f>
        <v>7858816041105</v>
      </c>
      <c r="L4026" t="str">
        <f>"87384110"</f>
        <v>87384110</v>
      </c>
      <c r="M4026" t="s">
        <v>21</v>
      </c>
      <c r="N4026" s="1">
        <v>43178.591666666667</v>
      </c>
      <c r="O4026" t="s">
        <v>19</v>
      </c>
    </row>
    <row r="4027" spans="1:15" x14ac:dyDescent="0.25">
      <c r="A4027" t="s">
        <v>3369</v>
      </c>
      <c r="B4027" t="s">
        <v>15</v>
      </c>
      <c r="C4027" t="s">
        <v>2481</v>
      </c>
      <c r="D4027" t="s">
        <v>17</v>
      </c>
      <c r="E4027" t="s">
        <v>18</v>
      </c>
      <c r="F4027" t="s">
        <v>19</v>
      </c>
      <c r="G4027" t="s">
        <v>20</v>
      </c>
      <c r="J4027" t="s">
        <v>17</v>
      </c>
      <c r="K4027" t="str">
        <f>"7858816041112"</f>
        <v>7858816041112</v>
      </c>
      <c r="L4027" t="str">
        <f>"87384111"</f>
        <v>87384111</v>
      </c>
      <c r="M4027" t="s">
        <v>21</v>
      </c>
      <c r="N4027" s="1">
        <v>43595.84097222222</v>
      </c>
      <c r="O4027" t="s">
        <v>19</v>
      </c>
    </row>
    <row r="4028" spans="1:15" x14ac:dyDescent="0.25">
      <c r="A4028" t="s">
        <v>3370</v>
      </c>
      <c r="B4028" t="s">
        <v>15</v>
      </c>
      <c r="C4028" t="s">
        <v>2481</v>
      </c>
      <c r="D4028" t="s">
        <v>17</v>
      </c>
      <c r="E4028" t="s">
        <v>18</v>
      </c>
      <c r="F4028" t="s">
        <v>19</v>
      </c>
      <c r="G4028" t="s">
        <v>20</v>
      </c>
      <c r="J4028" t="s">
        <v>17</v>
      </c>
      <c r="K4028" t="str">
        <f>"7858816052835"</f>
        <v>7858816052835</v>
      </c>
      <c r="L4028" t="str">
        <f>"87385283"</f>
        <v>87385283</v>
      </c>
      <c r="M4028" t="s">
        <v>84</v>
      </c>
      <c r="N4028" s="1">
        <v>43463.686805555553</v>
      </c>
      <c r="O4028" t="s">
        <v>19</v>
      </c>
    </row>
    <row r="4029" spans="1:15" x14ac:dyDescent="0.25">
      <c r="A4029" t="s">
        <v>3371</v>
      </c>
      <c r="B4029" t="s">
        <v>15</v>
      </c>
      <c r="C4029" t="s">
        <v>2481</v>
      </c>
      <c r="D4029" t="s">
        <v>17</v>
      </c>
      <c r="E4029" t="s">
        <v>18</v>
      </c>
      <c r="F4029" t="s">
        <v>19</v>
      </c>
      <c r="G4029" t="s">
        <v>20</v>
      </c>
      <c r="J4029" t="s">
        <v>17</v>
      </c>
      <c r="K4029" t="str">
        <f>"7858816059452"</f>
        <v>7858816059452</v>
      </c>
      <c r="L4029" t="str">
        <f>"87385945"</f>
        <v>87385945</v>
      </c>
      <c r="M4029" t="s">
        <v>21</v>
      </c>
      <c r="N4029" s="1">
        <v>44404.727083333331</v>
      </c>
      <c r="O4029" t="s">
        <v>19</v>
      </c>
    </row>
    <row r="4030" spans="1:15" x14ac:dyDescent="0.25">
      <c r="A4030" t="s">
        <v>3372</v>
      </c>
      <c r="B4030" t="s">
        <v>15</v>
      </c>
      <c r="C4030" t="s">
        <v>2481</v>
      </c>
      <c r="D4030" t="s">
        <v>17</v>
      </c>
      <c r="E4030" t="s">
        <v>18</v>
      </c>
      <c r="F4030" t="s">
        <v>19</v>
      </c>
      <c r="G4030" t="s">
        <v>20</v>
      </c>
      <c r="J4030" t="s">
        <v>17</v>
      </c>
      <c r="K4030" t="str">
        <f>"7858816061752"</f>
        <v>7858816061752</v>
      </c>
      <c r="L4030" t="str">
        <f>"87386175"</f>
        <v>87386175</v>
      </c>
      <c r="M4030" t="s">
        <v>21</v>
      </c>
      <c r="N4030" s="1">
        <v>42872.849305555559</v>
      </c>
      <c r="O4030" t="s">
        <v>19</v>
      </c>
    </row>
    <row r="4031" spans="1:15" x14ac:dyDescent="0.25">
      <c r="A4031" t="s">
        <v>3373</v>
      </c>
      <c r="B4031" t="s">
        <v>15</v>
      </c>
      <c r="C4031" t="s">
        <v>2481</v>
      </c>
      <c r="D4031" t="s">
        <v>17</v>
      </c>
      <c r="E4031" t="s">
        <v>18</v>
      </c>
      <c r="F4031" t="s">
        <v>19</v>
      </c>
      <c r="G4031" t="s">
        <v>20</v>
      </c>
      <c r="J4031" t="s">
        <v>17</v>
      </c>
      <c r="K4031" t="str">
        <f>"7858816061776"</f>
        <v>7858816061776</v>
      </c>
      <c r="L4031" t="str">
        <f>"87386177"</f>
        <v>87386177</v>
      </c>
      <c r="M4031" t="s">
        <v>21</v>
      </c>
      <c r="N4031" s="1">
        <v>43853.63958333333</v>
      </c>
      <c r="O4031" t="s">
        <v>19</v>
      </c>
    </row>
    <row r="4032" spans="1:15" x14ac:dyDescent="0.25">
      <c r="A4032" t="s">
        <v>3374</v>
      </c>
      <c r="B4032" t="s">
        <v>15</v>
      </c>
      <c r="C4032" t="s">
        <v>2481</v>
      </c>
      <c r="D4032" t="s">
        <v>17</v>
      </c>
      <c r="E4032" t="s">
        <v>18</v>
      </c>
      <c r="F4032" t="s">
        <v>19</v>
      </c>
      <c r="G4032" t="s">
        <v>20</v>
      </c>
      <c r="J4032" t="s">
        <v>17</v>
      </c>
      <c r="K4032" t="str">
        <f>"7858816061790"</f>
        <v>7858816061790</v>
      </c>
      <c r="L4032" t="str">
        <f>"87386179"</f>
        <v>87386179</v>
      </c>
      <c r="M4032" t="s">
        <v>21</v>
      </c>
      <c r="N4032" s="1">
        <v>43853.648611111108</v>
      </c>
      <c r="O4032" t="s">
        <v>19</v>
      </c>
    </row>
    <row r="4033" spans="1:15" x14ac:dyDescent="0.25">
      <c r="A4033" t="s">
        <v>3375</v>
      </c>
      <c r="B4033" t="s">
        <v>15</v>
      </c>
      <c r="C4033" t="s">
        <v>2481</v>
      </c>
      <c r="D4033" t="s">
        <v>17</v>
      </c>
      <c r="E4033" t="s">
        <v>18</v>
      </c>
      <c r="F4033" t="s">
        <v>19</v>
      </c>
      <c r="G4033" t="s">
        <v>20</v>
      </c>
      <c r="J4033" t="s">
        <v>17</v>
      </c>
      <c r="K4033" t="str">
        <f>"7858816065026"</f>
        <v>7858816065026</v>
      </c>
      <c r="L4033" t="str">
        <f>"87386502"</f>
        <v>87386502</v>
      </c>
      <c r="M4033" t="s">
        <v>21</v>
      </c>
      <c r="N4033" s="1">
        <v>43889.863194444442</v>
      </c>
      <c r="O4033" t="s">
        <v>19</v>
      </c>
    </row>
    <row r="4034" spans="1:15" x14ac:dyDescent="0.25">
      <c r="A4034" t="s">
        <v>3376</v>
      </c>
      <c r="B4034" t="s">
        <v>15</v>
      </c>
      <c r="C4034" t="s">
        <v>2481</v>
      </c>
      <c r="D4034" t="s">
        <v>17</v>
      </c>
      <c r="E4034" t="s">
        <v>18</v>
      </c>
      <c r="F4034" t="s">
        <v>19</v>
      </c>
      <c r="G4034" t="s">
        <v>20</v>
      </c>
      <c r="J4034" t="s">
        <v>17</v>
      </c>
      <c r="K4034" t="str">
        <f>"7858816065033"</f>
        <v>7858816065033</v>
      </c>
      <c r="L4034" t="str">
        <f>"87386503"</f>
        <v>87386503</v>
      </c>
      <c r="M4034" t="s">
        <v>21</v>
      </c>
      <c r="N4034" s="1">
        <v>43853.664583333331</v>
      </c>
      <c r="O4034" t="s">
        <v>19</v>
      </c>
    </row>
    <row r="4035" spans="1:15" x14ac:dyDescent="0.25">
      <c r="A4035" t="s">
        <v>3377</v>
      </c>
      <c r="B4035" t="s">
        <v>15</v>
      </c>
      <c r="C4035" t="s">
        <v>2481</v>
      </c>
      <c r="D4035" t="s">
        <v>17</v>
      </c>
      <c r="E4035" t="s">
        <v>18</v>
      </c>
      <c r="F4035" t="s">
        <v>19</v>
      </c>
      <c r="G4035" t="s">
        <v>20</v>
      </c>
      <c r="J4035" t="s">
        <v>17</v>
      </c>
      <c r="K4035" t="str">
        <f>"7858816065675"</f>
        <v>7858816065675</v>
      </c>
      <c r="L4035" t="str">
        <f>"87386567"</f>
        <v>87386567</v>
      </c>
      <c r="M4035" t="s">
        <v>21</v>
      </c>
      <c r="N4035" s="1">
        <v>43097.753472222219</v>
      </c>
      <c r="O4035" t="s">
        <v>19</v>
      </c>
    </row>
    <row r="4036" spans="1:15" x14ac:dyDescent="0.25">
      <c r="A4036" t="s">
        <v>3378</v>
      </c>
      <c r="B4036" t="s">
        <v>15</v>
      </c>
      <c r="C4036" t="s">
        <v>2481</v>
      </c>
      <c r="D4036" t="s">
        <v>17</v>
      </c>
      <c r="E4036" t="s">
        <v>18</v>
      </c>
      <c r="F4036" t="s">
        <v>19</v>
      </c>
      <c r="G4036" t="s">
        <v>20</v>
      </c>
      <c r="J4036" t="s">
        <v>17</v>
      </c>
      <c r="K4036" t="str">
        <f>"7858816066597"</f>
        <v>7858816066597</v>
      </c>
      <c r="L4036" t="str">
        <f>"87386659"</f>
        <v>87386659</v>
      </c>
      <c r="M4036" t="s">
        <v>21</v>
      </c>
      <c r="N4036" s="1">
        <v>44211.912499999999</v>
      </c>
      <c r="O4036" t="s">
        <v>19</v>
      </c>
    </row>
    <row r="4037" spans="1:15" x14ac:dyDescent="0.25">
      <c r="A4037" t="s">
        <v>3379</v>
      </c>
      <c r="B4037" t="s">
        <v>15</v>
      </c>
      <c r="C4037" t="s">
        <v>2481</v>
      </c>
      <c r="D4037" t="s">
        <v>17</v>
      </c>
      <c r="E4037" t="s">
        <v>18</v>
      </c>
      <c r="F4037" t="s">
        <v>19</v>
      </c>
      <c r="G4037" t="s">
        <v>20</v>
      </c>
      <c r="J4037" t="s">
        <v>17</v>
      </c>
      <c r="K4037" t="str">
        <f>"7858816068782"</f>
        <v>7858816068782</v>
      </c>
      <c r="L4037" t="str">
        <f>"87386878"</f>
        <v>87386878</v>
      </c>
      <c r="M4037" t="s">
        <v>21</v>
      </c>
      <c r="N4037" s="1">
        <v>43853.678472222222</v>
      </c>
      <c r="O4037" t="s">
        <v>19</v>
      </c>
    </row>
    <row r="4038" spans="1:15" x14ac:dyDescent="0.25">
      <c r="A4038" t="s">
        <v>3380</v>
      </c>
      <c r="B4038" t="s">
        <v>15</v>
      </c>
      <c r="C4038" t="s">
        <v>2481</v>
      </c>
      <c r="D4038" t="s">
        <v>17</v>
      </c>
      <c r="E4038" t="s">
        <v>18</v>
      </c>
      <c r="F4038" t="s">
        <v>19</v>
      </c>
      <c r="G4038" t="s">
        <v>20</v>
      </c>
      <c r="J4038" t="s">
        <v>17</v>
      </c>
      <c r="K4038" t="str">
        <f>"7858816071508"</f>
        <v>7858816071508</v>
      </c>
      <c r="L4038" t="str">
        <f>"87387150"</f>
        <v>87387150</v>
      </c>
      <c r="M4038" t="s">
        <v>21</v>
      </c>
      <c r="N4038" s="1">
        <v>43889.902083333334</v>
      </c>
      <c r="O4038" t="s">
        <v>19</v>
      </c>
    </row>
    <row r="4039" spans="1:15" x14ac:dyDescent="0.25">
      <c r="A4039" t="s">
        <v>3381</v>
      </c>
      <c r="B4039" t="s">
        <v>15</v>
      </c>
      <c r="C4039" t="s">
        <v>2481</v>
      </c>
      <c r="D4039" t="s">
        <v>17</v>
      </c>
      <c r="E4039" t="s">
        <v>18</v>
      </c>
      <c r="F4039" t="s">
        <v>19</v>
      </c>
      <c r="G4039" t="s">
        <v>20</v>
      </c>
      <c r="J4039" t="s">
        <v>17</v>
      </c>
      <c r="K4039" t="str">
        <f>"7858816071515"</f>
        <v>7858816071515</v>
      </c>
      <c r="L4039" t="str">
        <f>"87387151"</f>
        <v>87387151</v>
      </c>
      <c r="M4039" t="s">
        <v>21</v>
      </c>
      <c r="N4039" s="1">
        <v>43889.899305555555</v>
      </c>
      <c r="O4039" t="s">
        <v>19</v>
      </c>
    </row>
    <row r="4040" spans="1:15" x14ac:dyDescent="0.25">
      <c r="A4040" t="s">
        <v>3382</v>
      </c>
      <c r="B4040" t="s">
        <v>15</v>
      </c>
      <c r="C4040" t="s">
        <v>2481</v>
      </c>
      <c r="D4040" t="s">
        <v>17</v>
      </c>
      <c r="E4040" t="s">
        <v>18</v>
      </c>
      <c r="F4040" t="s">
        <v>19</v>
      </c>
      <c r="G4040" t="s">
        <v>20</v>
      </c>
      <c r="J4040" t="s">
        <v>17</v>
      </c>
      <c r="K4040" t="str">
        <f>"7858816073786"</f>
        <v>7858816073786</v>
      </c>
      <c r="L4040" t="str">
        <f>"87387378"</f>
        <v>87387378</v>
      </c>
      <c r="M4040" t="s">
        <v>21</v>
      </c>
      <c r="N4040" s="1">
        <v>43853.665277777778</v>
      </c>
      <c r="O4040" t="s">
        <v>19</v>
      </c>
    </row>
    <row r="4041" spans="1:15" x14ac:dyDescent="0.25">
      <c r="A4041" t="s">
        <v>3383</v>
      </c>
      <c r="B4041" t="s">
        <v>15</v>
      </c>
      <c r="C4041" t="s">
        <v>2481</v>
      </c>
      <c r="D4041" t="s">
        <v>17</v>
      </c>
      <c r="E4041" t="s">
        <v>18</v>
      </c>
      <c r="F4041" t="s">
        <v>19</v>
      </c>
      <c r="G4041" t="s">
        <v>20</v>
      </c>
      <c r="J4041" t="s">
        <v>17</v>
      </c>
      <c r="K4041" t="str">
        <f>"7858816073809"</f>
        <v>7858816073809</v>
      </c>
      <c r="L4041" t="str">
        <f>"873807380"</f>
        <v>873807380</v>
      </c>
      <c r="M4041" t="s">
        <v>21</v>
      </c>
      <c r="N4041" s="1">
        <v>43853.671527777777</v>
      </c>
      <c r="O4041" t="s">
        <v>19</v>
      </c>
    </row>
    <row r="4042" spans="1:15" x14ac:dyDescent="0.25">
      <c r="A4042" t="s">
        <v>3384</v>
      </c>
      <c r="B4042" t="s">
        <v>15</v>
      </c>
      <c r="C4042" t="s">
        <v>2481</v>
      </c>
      <c r="D4042" t="s">
        <v>17</v>
      </c>
      <c r="E4042" t="s">
        <v>18</v>
      </c>
      <c r="F4042" t="s">
        <v>19</v>
      </c>
      <c r="G4042" t="s">
        <v>20</v>
      </c>
      <c r="J4042" t="s">
        <v>17</v>
      </c>
      <c r="K4042" t="str">
        <f>"7858816073878"</f>
        <v>7858816073878</v>
      </c>
      <c r="L4042" t="str">
        <f>"87387387"</f>
        <v>87387387</v>
      </c>
      <c r="M4042" t="s">
        <v>21</v>
      </c>
      <c r="N4042" s="1">
        <v>43889.895833333336</v>
      </c>
      <c r="O4042" t="s">
        <v>19</v>
      </c>
    </row>
    <row r="4043" spans="1:15" x14ac:dyDescent="0.25">
      <c r="A4043" t="s">
        <v>3385</v>
      </c>
      <c r="B4043" t="s">
        <v>15</v>
      </c>
      <c r="C4043" t="s">
        <v>2481</v>
      </c>
      <c r="D4043" t="s">
        <v>17</v>
      </c>
      <c r="E4043" t="s">
        <v>18</v>
      </c>
      <c r="F4043" t="s">
        <v>19</v>
      </c>
      <c r="G4043" t="s">
        <v>20</v>
      </c>
      <c r="J4043" t="s">
        <v>17</v>
      </c>
      <c r="K4043" t="str">
        <f>"7858816073885"</f>
        <v>7858816073885</v>
      </c>
      <c r="L4043" t="str">
        <f>"87387388"</f>
        <v>87387388</v>
      </c>
      <c r="M4043" t="s">
        <v>21</v>
      </c>
      <c r="N4043" s="1">
        <v>43889.895138888889</v>
      </c>
      <c r="O4043" t="s">
        <v>19</v>
      </c>
    </row>
    <row r="4044" spans="1:15" x14ac:dyDescent="0.25">
      <c r="A4044" t="s">
        <v>3386</v>
      </c>
      <c r="B4044" t="s">
        <v>15</v>
      </c>
      <c r="C4044" t="s">
        <v>2481</v>
      </c>
      <c r="D4044" t="s">
        <v>17</v>
      </c>
      <c r="E4044" t="s">
        <v>18</v>
      </c>
      <c r="F4044" t="s">
        <v>19</v>
      </c>
      <c r="G4044" t="s">
        <v>20</v>
      </c>
      <c r="J4044" t="s">
        <v>17</v>
      </c>
      <c r="K4044" t="str">
        <f>"7858816075209"</f>
        <v>7858816075209</v>
      </c>
      <c r="L4044" t="str">
        <f>"87387520"</f>
        <v>87387520</v>
      </c>
      <c r="M4044" t="s">
        <v>21</v>
      </c>
      <c r="N4044" s="1">
        <v>44252.763888888891</v>
      </c>
      <c r="O4044" t="s">
        <v>19</v>
      </c>
    </row>
    <row r="4045" spans="1:15" x14ac:dyDescent="0.25">
      <c r="A4045" t="s">
        <v>3387</v>
      </c>
      <c r="B4045" t="s">
        <v>15</v>
      </c>
      <c r="C4045" t="s">
        <v>2481</v>
      </c>
      <c r="D4045" t="s">
        <v>17</v>
      </c>
      <c r="E4045" t="s">
        <v>18</v>
      </c>
      <c r="F4045" t="s">
        <v>19</v>
      </c>
      <c r="G4045" t="s">
        <v>20</v>
      </c>
      <c r="J4045" t="s">
        <v>17</v>
      </c>
      <c r="K4045" t="str">
        <f>"7858816077821"</f>
        <v>7858816077821</v>
      </c>
      <c r="L4045" t="str">
        <f>"87387782"</f>
        <v>87387782</v>
      </c>
      <c r="M4045" t="s">
        <v>21</v>
      </c>
      <c r="N4045" s="1">
        <v>44356.873611111114</v>
      </c>
      <c r="O4045" t="s">
        <v>19</v>
      </c>
    </row>
    <row r="4046" spans="1:15" x14ac:dyDescent="0.25">
      <c r="A4046" t="s">
        <v>3388</v>
      </c>
      <c r="B4046" t="s">
        <v>15</v>
      </c>
      <c r="C4046" t="s">
        <v>2481</v>
      </c>
      <c r="D4046" t="s">
        <v>17</v>
      </c>
      <c r="E4046" t="s">
        <v>18</v>
      </c>
      <c r="F4046" t="s">
        <v>19</v>
      </c>
      <c r="G4046" t="s">
        <v>20</v>
      </c>
      <c r="J4046" t="s">
        <v>17</v>
      </c>
      <c r="K4046" t="str">
        <f>"7858816080401"</f>
        <v>7858816080401</v>
      </c>
      <c r="L4046" t="str">
        <f>"87388040"</f>
        <v>87388040</v>
      </c>
      <c r="M4046" t="s">
        <v>21</v>
      </c>
      <c r="N4046" s="1">
        <v>44211.861111111109</v>
      </c>
      <c r="O4046" t="s">
        <v>19</v>
      </c>
    </row>
    <row r="4047" spans="1:15" x14ac:dyDescent="0.25">
      <c r="A4047" t="s">
        <v>3389</v>
      </c>
      <c r="B4047" t="s">
        <v>15</v>
      </c>
      <c r="C4047" t="s">
        <v>2481</v>
      </c>
      <c r="D4047" t="s">
        <v>17</v>
      </c>
      <c r="E4047" t="s">
        <v>18</v>
      </c>
      <c r="F4047" t="s">
        <v>19</v>
      </c>
      <c r="G4047" t="s">
        <v>20</v>
      </c>
      <c r="J4047" t="s">
        <v>17</v>
      </c>
      <c r="K4047" t="str">
        <f>"7858816080418"</f>
        <v>7858816080418</v>
      </c>
      <c r="L4047" t="str">
        <f>"87388041"</f>
        <v>87388041</v>
      </c>
      <c r="M4047" t="s">
        <v>21</v>
      </c>
      <c r="N4047" s="1">
        <v>44211.847222222219</v>
      </c>
      <c r="O4047" t="s">
        <v>19</v>
      </c>
    </row>
    <row r="4048" spans="1:15" x14ac:dyDescent="0.25">
      <c r="A4048" t="s">
        <v>3390</v>
      </c>
      <c r="B4048" t="s">
        <v>15</v>
      </c>
      <c r="C4048" t="s">
        <v>2481</v>
      </c>
      <c r="D4048" t="s">
        <v>17</v>
      </c>
      <c r="E4048" t="s">
        <v>18</v>
      </c>
      <c r="F4048" t="s">
        <v>19</v>
      </c>
      <c r="G4048" t="s">
        <v>20</v>
      </c>
      <c r="J4048" t="s">
        <v>17</v>
      </c>
      <c r="K4048" t="str">
        <f>"7858816080470"</f>
        <v>7858816080470</v>
      </c>
      <c r="L4048" t="str">
        <f>"87388047"</f>
        <v>87388047</v>
      </c>
      <c r="M4048" t="s">
        <v>21</v>
      </c>
      <c r="N4048" s="1">
        <v>44211.828472222223</v>
      </c>
      <c r="O4048" t="s">
        <v>19</v>
      </c>
    </row>
    <row r="4049" spans="1:15" x14ac:dyDescent="0.25">
      <c r="A4049" t="s">
        <v>3391</v>
      </c>
      <c r="B4049" t="s">
        <v>15</v>
      </c>
      <c r="C4049" t="s">
        <v>2481</v>
      </c>
      <c r="D4049" t="s">
        <v>17</v>
      </c>
      <c r="E4049" t="s">
        <v>18</v>
      </c>
      <c r="F4049" t="s">
        <v>19</v>
      </c>
      <c r="G4049" t="s">
        <v>20</v>
      </c>
      <c r="J4049" t="s">
        <v>17</v>
      </c>
      <c r="K4049" t="str">
        <f>"7858816082023"</f>
        <v>7858816082023</v>
      </c>
      <c r="L4049" t="str">
        <f>"87388202"</f>
        <v>87388202</v>
      </c>
      <c r="M4049" t="s">
        <v>21</v>
      </c>
      <c r="N4049" s="1">
        <v>44356.94027777778</v>
      </c>
      <c r="O4049" t="s">
        <v>19</v>
      </c>
    </row>
    <row r="4050" spans="1:15" x14ac:dyDescent="0.25">
      <c r="A4050" t="s">
        <v>3392</v>
      </c>
      <c r="B4050" t="s">
        <v>15</v>
      </c>
      <c r="C4050" t="s">
        <v>2481</v>
      </c>
      <c r="D4050" t="s">
        <v>17</v>
      </c>
      <c r="E4050" t="s">
        <v>18</v>
      </c>
      <c r="F4050" t="s">
        <v>19</v>
      </c>
      <c r="G4050" t="s">
        <v>20</v>
      </c>
      <c r="J4050" t="s">
        <v>17</v>
      </c>
      <c r="K4050" t="str">
        <f>"7858816082177"</f>
        <v>7858816082177</v>
      </c>
      <c r="L4050" t="str">
        <f>"87388217"</f>
        <v>87388217</v>
      </c>
      <c r="M4050" t="s">
        <v>21</v>
      </c>
      <c r="N4050" s="1">
        <v>44252.770833333336</v>
      </c>
      <c r="O4050" t="s">
        <v>19</v>
      </c>
    </row>
    <row r="4051" spans="1:15" x14ac:dyDescent="0.25">
      <c r="A4051" t="s">
        <v>3393</v>
      </c>
      <c r="B4051" t="s">
        <v>15</v>
      </c>
      <c r="C4051" t="s">
        <v>2481</v>
      </c>
      <c r="D4051" t="s">
        <v>17</v>
      </c>
      <c r="E4051" t="s">
        <v>18</v>
      </c>
      <c r="F4051" t="s">
        <v>19</v>
      </c>
      <c r="G4051" t="s">
        <v>20</v>
      </c>
      <c r="J4051" t="s">
        <v>17</v>
      </c>
      <c r="K4051" t="str">
        <f>"7858816083051"</f>
        <v>7858816083051</v>
      </c>
      <c r="L4051" t="str">
        <f>"87388305"</f>
        <v>87388305</v>
      </c>
      <c r="M4051" t="s">
        <v>21</v>
      </c>
      <c r="N4051" s="1">
        <v>44441.646527777775</v>
      </c>
      <c r="O4051" t="s">
        <v>19</v>
      </c>
    </row>
    <row r="4052" spans="1:15" x14ac:dyDescent="0.25">
      <c r="A4052" t="s">
        <v>3394</v>
      </c>
      <c r="B4052" t="s">
        <v>15</v>
      </c>
      <c r="C4052" t="s">
        <v>1613</v>
      </c>
      <c r="D4052" t="s">
        <v>17</v>
      </c>
      <c r="E4052" t="s">
        <v>18</v>
      </c>
      <c r="F4052" t="s">
        <v>19</v>
      </c>
      <c r="G4052" t="s">
        <v>20</v>
      </c>
      <c r="J4052" t="s">
        <v>17</v>
      </c>
      <c r="K4052" t="str">
        <f>"7858816083433"</f>
        <v>7858816083433</v>
      </c>
      <c r="L4052" t="str">
        <f>"87388343"</f>
        <v>87388343</v>
      </c>
      <c r="M4052" t="s">
        <v>21</v>
      </c>
      <c r="N4052" s="1">
        <v>44404.730555555558</v>
      </c>
      <c r="O4052" t="s">
        <v>19</v>
      </c>
    </row>
    <row r="4053" spans="1:15" x14ac:dyDescent="0.25">
      <c r="A4053" t="s">
        <v>3395</v>
      </c>
      <c r="B4053" t="s">
        <v>15</v>
      </c>
      <c r="C4053" t="s">
        <v>2481</v>
      </c>
      <c r="D4053" t="s">
        <v>17</v>
      </c>
      <c r="E4053" t="s">
        <v>18</v>
      </c>
      <c r="F4053" t="s">
        <v>19</v>
      </c>
      <c r="G4053" t="s">
        <v>20</v>
      </c>
      <c r="J4053" t="s">
        <v>17</v>
      </c>
      <c r="K4053" t="str">
        <f>"7858816083440"</f>
        <v>7858816083440</v>
      </c>
      <c r="L4053" t="str">
        <f>"87388344"</f>
        <v>87388344</v>
      </c>
      <c r="M4053" t="s">
        <v>21</v>
      </c>
      <c r="N4053" s="1">
        <v>44404.729166666664</v>
      </c>
      <c r="O4053" t="s">
        <v>19</v>
      </c>
    </row>
    <row r="4054" spans="1:15" x14ac:dyDescent="0.25">
      <c r="A4054" t="s">
        <v>3396</v>
      </c>
      <c r="B4054" t="s">
        <v>15</v>
      </c>
      <c r="C4054" t="s">
        <v>2481</v>
      </c>
      <c r="D4054" t="s">
        <v>17</v>
      </c>
      <c r="E4054" t="s">
        <v>18</v>
      </c>
      <c r="F4054" t="s">
        <v>19</v>
      </c>
      <c r="G4054" t="s">
        <v>20</v>
      </c>
      <c r="J4054" t="s">
        <v>17</v>
      </c>
      <c r="K4054" t="str">
        <f>"7858816085802"</f>
        <v>7858816085802</v>
      </c>
      <c r="L4054" t="str">
        <f>"873808580"</f>
        <v>873808580</v>
      </c>
      <c r="M4054" t="s">
        <v>21</v>
      </c>
      <c r="N4054" s="1">
        <v>44356.880555555559</v>
      </c>
      <c r="O4054" t="s">
        <v>19</v>
      </c>
    </row>
    <row r="4055" spans="1:15" x14ac:dyDescent="0.25">
      <c r="A4055" t="s">
        <v>3397</v>
      </c>
      <c r="B4055" t="s">
        <v>15</v>
      </c>
      <c r="C4055" t="s">
        <v>2481</v>
      </c>
      <c r="D4055" t="s">
        <v>17</v>
      </c>
      <c r="E4055" t="s">
        <v>18</v>
      </c>
      <c r="F4055" t="s">
        <v>19</v>
      </c>
      <c r="G4055" t="s">
        <v>20</v>
      </c>
      <c r="J4055" t="s">
        <v>17</v>
      </c>
      <c r="K4055" t="str">
        <f>"7858816088070"</f>
        <v>7858816088070</v>
      </c>
      <c r="L4055" t="str">
        <f>"87388807"</f>
        <v>87388807</v>
      </c>
      <c r="M4055" t="s">
        <v>21</v>
      </c>
      <c r="N4055" s="1">
        <v>44404.679861111108</v>
      </c>
      <c r="O4055" t="s">
        <v>19</v>
      </c>
    </row>
    <row r="4056" spans="1:15" x14ac:dyDescent="0.25">
      <c r="A4056" t="s">
        <v>3398</v>
      </c>
      <c r="B4056" t="s">
        <v>15</v>
      </c>
      <c r="C4056" t="s">
        <v>2481</v>
      </c>
      <c r="D4056" t="s">
        <v>17</v>
      </c>
      <c r="E4056" t="s">
        <v>18</v>
      </c>
      <c r="F4056" t="s">
        <v>19</v>
      </c>
      <c r="G4056" t="s">
        <v>20</v>
      </c>
      <c r="J4056" t="s">
        <v>17</v>
      </c>
      <c r="K4056" t="str">
        <f>"8435606820301"</f>
        <v>8435606820301</v>
      </c>
      <c r="L4056" t="str">
        <f>"8435606820295"</f>
        <v>8435606820295</v>
      </c>
      <c r="M4056" t="s">
        <v>21</v>
      </c>
      <c r="N4056" s="1">
        <v>44404.731249999997</v>
      </c>
      <c r="O4056" t="s">
        <v>19</v>
      </c>
    </row>
    <row r="4057" spans="1:15" x14ac:dyDescent="0.25">
      <c r="A4057" t="s">
        <v>3399</v>
      </c>
      <c r="B4057" t="s">
        <v>15</v>
      </c>
      <c r="C4057" t="s">
        <v>2481</v>
      </c>
      <c r="D4057" t="s">
        <v>17</v>
      </c>
      <c r="E4057" t="s">
        <v>18</v>
      </c>
      <c r="F4057" t="s">
        <v>19</v>
      </c>
      <c r="G4057" t="s">
        <v>20</v>
      </c>
      <c r="J4057" t="s">
        <v>17</v>
      </c>
      <c r="K4057" t="str">
        <f>"8435606820325"</f>
        <v>8435606820325</v>
      </c>
      <c r="L4057" t="str">
        <f>"87380013"</f>
        <v>87380013</v>
      </c>
      <c r="M4057" t="s">
        <v>21</v>
      </c>
      <c r="N4057" s="1">
        <v>44252.763194444444</v>
      </c>
      <c r="O4057" t="s">
        <v>19</v>
      </c>
    </row>
    <row r="4058" spans="1:15" x14ac:dyDescent="0.25">
      <c r="A4058" t="s">
        <v>3400</v>
      </c>
      <c r="B4058" t="s">
        <v>15</v>
      </c>
      <c r="C4058" t="s">
        <v>2481</v>
      </c>
      <c r="D4058" t="s">
        <v>17</v>
      </c>
      <c r="E4058" t="s">
        <v>18</v>
      </c>
      <c r="F4058" t="s">
        <v>19</v>
      </c>
      <c r="G4058" t="s">
        <v>20</v>
      </c>
      <c r="J4058" t="s">
        <v>17</v>
      </c>
      <c r="K4058" t="str">
        <f>"8435606820387"</f>
        <v>8435606820387</v>
      </c>
      <c r="L4058" t="str">
        <f>"8435606820370"</f>
        <v>8435606820370</v>
      </c>
      <c r="M4058" t="s">
        <v>21</v>
      </c>
      <c r="N4058" s="1">
        <v>44404.724305555559</v>
      </c>
      <c r="O4058" t="s">
        <v>19</v>
      </c>
    </row>
    <row r="4059" spans="1:15" x14ac:dyDescent="0.25">
      <c r="A4059" t="s">
        <v>3401</v>
      </c>
      <c r="B4059" t="s">
        <v>15</v>
      </c>
      <c r="C4059" t="s">
        <v>2481</v>
      </c>
      <c r="D4059" t="s">
        <v>17</v>
      </c>
      <c r="E4059" t="s">
        <v>18</v>
      </c>
      <c r="F4059" t="s">
        <v>19</v>
      </c>
      <c r="G4059" t="s">
        <v>20</v>
      </c>
      <c r="J4059" t="s">
        <v>17</v>
      </c>
      <c r="K4059" t="str">
        <f>"17380003"</f>
        <v>17380003</v>
      </c>
      <c r="L4059" t="str">
        <f>"17380003"</f>
        <v>17380003</v>
      </c>
      <c r="M4059" t="s">
        <v>75</v>
      </c>
      <c r="N4059" s="1">
        <v>42872.839583333334</v>
      </c>
      <c r="O4059" t="s">
        <v>19</v>
      </c>
    </row>
    <row r="4060" spans="1:15" x14ac:dyDescent="0.25">
      <c r="A4060" t="s">
        <v>3402</v>
      </c>
      <c r="B4060" t="s">
        <v>15</v>
      </c>
      <c r="C4060" t="s">
        <v>2481</v>
      </c>
      <c r="D4060" t="s">
        <v>17</v>
      </c>
      <c r="E4060" t="s">
        <v>18</v>
      </c>
      <c r="F4060" t="s">
        <v>19</v>
      </c>
      <c r="G4060" t="s">
        <v>20</v>
      </c>
      <c r="J4060" t="s">
        <v>17</v>
      </c>
      <c r="K4060" t="str">
        <f>"10000555"</f>
        <v>10000555</v>
      </c>
      <c r="L4060" t="str">
        <f>"10000555"</f>
        <v>10000555</v>
      </c>
      <c r="M4060" t="s">
        <v>75</v>
      </c>
      <c r="N4060" s="1">
        <v>43195.694444444445</v>
      </c>
      <c r="O4060" t="s">
        <v>19</v>
      </c>
    </row>
    <row r="4061" spans="1:15" x14ac:dyDescent="0.25">
      <c r="A4061" t="s">
        <v>3403</v>
      </c>
      <c r="B4061" t="s">
        <v>15</v>
      </c>
      <c r="C4061" t="s">
        <v>2481</v>
      </c>
      <c r="D4061" t="s">
        <v>17</v>
      </c>
      <c r="E4061" t="s">
        <v>18</v>
      </c>
      <c r="F4061" t="s">
        <v>19</v>
      </c>
      <c r="G4061" t="s">
        <v>20</v>
      </c>
      <c r="J4061" t="s">
        <v>17</v>
      </c>
      <c r="K4061" t="str">
        <f>"10000331"</f>
        <v>10000331</v>
      </c>
      <c r="L4061" t="str">
        <f>"10000331"</f>
        <v>10000331</v>
      </c>
      <c r="M4061" t="s">
        <v>75</v>
      </c>
      <c r="N4061" s="1">
        <v>42872.839583333334</v>
      </c>
      <c r="O4061" t="s">
        <v>19</v>
      </c>
    </row>
    <row r="4062" spans="1:15" x14ac:dyDescent="0.25">
      <c r="A4062" t="s">
        <v>3404</v>
      </c>
      <c r="B4062" t="s">
        <v>15</v>
      </c>
      <c r="C4062" t="s">
        <v>2481</v>
      </c>
      <c r="D4062" t="s">
        <v>17</v>
      </c>
      <c r="E4062" t="s">
        <v>18</v>
      </c>
      <c r="F4062" t="s">
        <v>19</v>
      </c>
      <c r="G4062" t="s">
        <v>20</v>
      </c>
      <c r="J4062" t="s">
        <v>17</v>
      </c>
      <c r="K4062" t="str">
        <f>"7804625560917"</f>
        <v>7804625560917</v>
      </c>
      <c r="L4062" t="str">
        <f>"42380004"</f>
        <v>42380004</v>
      </c>
      <c r="M4062" t="s">
        <v>84</v>
      </c>
      <c r="N4062" s="1">
        <v>43572.804166666669</v>
      </c>
      <c r="O4062" t="s">
        <v>19</v>
      </c>
    </row>
    <row r="4063" spans="1:15" x14ac:dyDescent="0.25">
      <c r="A4063" t="s">
        <v>3405</v>
      </c>
      <c r="B4063" t="s">
        <v>15</v>
      </c>
      <c r="C4063" t="s">
        <v>2481</v>
      </c>
      <c r="D4063" t="s">
        <v>17</v>
      </c>
      <c r="E4063" t="s">
        <v>18</v>
      </c>
      <c r="F4063" t="s">
        <v>19</v>
      </c>
      <c r="G4063" t="s">
        <v>20</v>
      </c>
      <c r="J4063" t="s">
        <v>17</v>
      </c>
      <c r="K4063" t="str">
        <f>"6931326001638"</f>
        <v>6931326001638</v>
      </c>
      <c r="L4063" t="str">
        <f>"40381638"</f>
        <v>40381638</v>
      </c>
      <c r="M4063" t="s">
        <v>21</v>
      </c>
      <c r="N4063" s="1">
        <v>43125.634722222225</v>
      </c>
      <c r="O4063" t="s">
        <v>19</v>
      </c>
    </row>
    <row r="4064" spans="1:15" x14ac:dyDescent="0.25">
      <c r="A4064" t="s">
        <v>3406</v>
      </c>
      <c r="B4064" t="s">
        <v>15</v>
      </c>
      <c r="C4064" t="s">
        <v>2481</v>
      </c>
      <c r="D4064" t="s">
        <v>17</v>
      </c>
      <c r="E4064" t="s">
        <v>18</v>
      </c>
      <c r="F4064" t="s">
        <v>19</v>
      </c>
      <c r="G4064" t="s">
        <v>20</v>
      </c>
      <c r="J4064" t="s">
        <v>17</v>
      </c>
      <c r="K4064" t="str">
        <f>"10000140"</f>
        <v>10000140</v>
      </c>
      <c r="L4064" t="str">
        <f>"10000140"</f>
        <v>10000140</v>
      </c>
      <c r="M4064" t="s">
        <v>84</v>
      </c>
      <c r="N4064" s="1">
        <v>43447.629861111112</v>
      </c>
      <c r="O4064" t="s">
        <v>19</v>
      </c>
    </row>
    <row r="4065" spans="1:15" x14ac:dyDescent="0.25">
      <c r="A4065" t="s">
        <v>3407</v>
      </c>
      <c r="B4065" t="s">
        <v>15</v>
      </c>
      <c r="C4065" t="s">
        <v>2481</v>
      </c>
      <c r="D4065" t="s">
        <v>17</v>
      </c>
      <c r="E4065" t="s">
        <v>18</v>
      </c>
      <c r="F4065" t="s">
        <v>19</v>
      </c>
      <c r="G4065" t="s">
        <v>20</v>
      </c>
      <c r="J4065" t="s">
        <v>17</v>
      </c>
      <c r="K4065" t="str">
        <f>"10015288"</f>
        <v>10015288</v>
      </c>
      <c r="L4065" t="str">
        <f>"10015288"</f>
        <v>10015288</v>
      </c>
      <c r="M4065" t="s">
        <v>21</v>
      </c>
      <c r="N4065" s="1">
        <v>43610.959027777775</v>
      </c>
      <c r="O4065" t="s">
        <v>19</v>
      </c>
    </row>
    <row r="4066" spans="1:15" x14ac:dyDescent="0.25">
      <c r="A4066" t="s">
        <v>3408</v>
      </c>
      <c r="B4066" t="s">
        <v>15</v>
      </c>
      <c r="C4066" t="s">
        <v>2481</v>
      </c>
      <c r="D4066" t="s">
        <v>17</v>
      </c>
      <c r="E4066" t="s">
        <v>18</v>
      </c>
      <c r="F4066" t="s">
        <v>19</v>
      </c>
      <c r="G4066" t="s">
        <v>20</v>
      </c>
      <c r="J4066" t="s">
        <v>17</v>
      </c>
      <c r="K4066" t="str">
        <f>"7858816053894"</f>
        <v>7858816053894</v>
      </c>
      <c r="L4066" t="str">
        <f>"87385389"</f>
        <v>87385389</v>
      </c>
      <c r="M4066" t="s">
        <v>84</v>
      </c>
      <c r="N4066" s="1">
        <v>43495.651388888888</v>
      </c>
      <c r="O4066" t="s">
        <v>19</v>
      </c>
    </row>
    <row r="4067" spans="1:15" x14ac:dyDescent="0.25">
      <c r="A4067" t="s">
        <v>3409</v>
      </c>
      <c r="B4067" t="s">
        <v>15</v>
      </c>
      <c r="C4067" t="s">
        <v>2481</v>
      </c>
      <c r="D4067" t="s">
        <v>17</v>
      </c>
      <c r="E4067" t="s">
        <v>18</v>
      </c>
      <c r="F4067" t="s">
        <v>19</v>
      </c>
      <c r="G4067" t="s">
        <v>20</v>
      </c>
      <c r="J4067" t="s">
        <v>17</v>
      </c>
      <c r="K4067" t="str">
        <f>"7638118"</f>
        <v>7638118</v>
      </c>
      <c r="L4067" t="str">
        <f>"7638118"</f>
        <v>7638118</v>
      </c>
      <c r="M4067" t="s">
        <v>75</v>
      </c>
      <c r="N4067" s="1">
        <v>42872.839583333334</v>
      </c>
      <c r="O4067" t="s">
        <v>19</v>
      </c>
    </row>
    <row r="4068" spans="1:15" x14ac:dyDescent="0.25">
      <c r="A4068" t="s">
        <v>3410</v>
      </c>
      <c r="B4068" t="s">
        <v>15</v>
      </c>
      <c r="C4068" t="s">
        <v>2481</v>
      </c>
      <c r="D4068" t="s">
        <v>17</v>
      </c>
      <c r="E4068" t="s">
        <v>18</v>
      </c>
      <c r="F4068" t="s">
        <v>19</v>
      </c>
      <c r="G4068" t="s">
        <v>20</v>
      </c>
      <c r="J4068" t="s">
        <v>17</v>
      </c>
      <c r="K4068" t="str">
        <f>"10002986"</f>
        <v>10002986</v>
      </c>
      <c r="L4068" t="str">
        <f>"10002986"</f>
        <v>10002986</v>
      </c>
      <c r="M4068" t="s">
        <v>84</v>
      </c>
      <c r="N4068" s="1">
        <v>43510.679166666669</v>
      </c>
      <c r="O4068" t="s">
        <v>19</v>
      </c>
    </row>
    <row r="4069" spans="1:15" x14ac:dyDescent="0.25">
      <c r="A4069" t="s">
        <v>3411</v>
      </c>
      <c r="B4069" t="s">
        <v>15</v>
      </c>
      <c r="C4069" t="s">
        <v>2481</v>
      </c>
      <c r="D4069" t="s">
        <v>17</v>
      </c>
      <c r="E4069" t="s">
        <v>18</v>
      </c>
      <c r="F4069" t="s">
        <v>19</v>
      </c>
      <c r="G4069" t="s">
        <v>20</v>
      </c>
      <c r="J4069" t="s">
        <v>17</v>
      </c>
      <c r="K4069" t="str">
        <f>"7858816048067"</f>
        <v>7858816048067</v>
      </c>
      <c r="L4069" t="str">
        <f>"87384806"</f>
        <v>87384806</v>
      </c>
      <c r="M4069" t="s">
        <v>84</v>
      </c>
      <c r="N4069" s="1">
        <v>43510.640277777777</v>
      </c>
      <c r="O4069" t="s">
        <v>19</v>
      </c>
    </row>
    <row r="4070" spans="1:15" x14ac:dyDescent="0.25">
      <c r="A4070" t="s">
        <v>3412</v>
      </c>
      <c r="B4070" t="s">
        <v>15</v>
      </c>
      <c r="C4070" t="s">
        <v>2481</v>
      </c>
      <c r="D4070" t="s">
        <v>17</v>
      </c>
      <c r="E4070" t="s">
        <v>18</v>
      </c>
      <c r="F4070" t="s">
        <v>19</v>
      </c>
      <c r="G4070" t="s">
        <v>20</v>
      </c>
      <c r="J4070" t="s">
        <v>17</v>
      </c>
      <c r="K4070" t="str">
        <f>"40383327"</f>
        <v>40383327</v>
      </c>
      <c r="L4070" t="str">
        <f>"40383327"</f>
        <v>40383327</v>
      </c>
      <c r="M4070" t="s">
        <v>21</v>
      </c>
      <c r="N4070" s="1">
        <v>44306.893750000003</v>
      </c>
      <c r="O4070" t="s">
        <v>19</v>
      </c>
    </row>
    <row r="4071" spans="1:15" x14ac:dyDescent="0.25">
      <c r="A4071" t="s">
        <v>3413</v>
      </c>
      <c r="B4071" t="s">
        <v>15</v>
      </c>
      <c r="C4071" t="s">
        <v>2481</v>
      </c>
      <c r="D4071" t="s">
        <v>17</v>
      </c>
      <c r="E4071" t="s">
        <v>18</v>
      </c>
      <c r="F4071" t="s">
        <v>19</v>
      </c>
      <c r="G4071" t="s">
        <v>20</v>
      </c>
      <c r="J4071" t="s">
        <v>17</v>
      </c>
      <c r="K4071" t="str">
        <f>"66002136"</f>
        <v>66002136</v>
      </c>
      <c r="L4071" t="str">
        <f>"66002136"</f>
        <v>66002136</v>
      </c>
      <c r="M4071" t="s">
        <v>75</v>
      </c>
      <c r="N4071" s="1">
        <v>42872.847222222219</v>
      </c>
      <c r="O4071" t="s">
        <v>19</v>
      </c>
    </row>
    <row r="4072" spans="1:15" x14ac:dyDescent="0.25">
      <c r="A4072" t="s">
        <v>3414</v>
      </c>
      <c r="B4072" t="s">
        <v>15</v>
      </c>
      <c r="C4072" t="s">
        <v>2481</v>
      </c>
      <c r="D4072" t="s">
        <v>17</v>
      </c>
      <c r="E4072" t="s">
        <v>18</v>
      </c>
      <c r="F4072" t="s">
        <v>19</v>
      </c>
      <c r="G4072" t="s">
        <v>20</v>
      </c>
      <c r="J4072" t="s">
        <v>17</v>
      </c>
      <c r="K4072" t="str">
        <f>"8819180260188"</f>
        <v>8819180260188</v>
      </c>
      <c r="L4072" t="str">
        <f>"40380188"</f>
        <v>40380188</v>
      </c>
      <c r="M4072" t="s">
        <v>21</v>
      </c>
      <c r="N4072" s="1">
        <v>44349.704861111109</v>
      </c>
      <c r="O4072" t="s">
        <v>19</v>
      </c>
    </row>
    <row r="4073" spans="1:15" x14ac:dyDescent="0.25">
      <c r="A4073" t="s">
        <v>3415</v>
      </c>
      <c r="B4073" t="s">
        <v>15</v>
      </c>
      <c r="C4073" t="s">
        <v>2481</v>
      </c>
      <c r="D4073" t="s">
        <v>17</v>
      </c>
      <c r="E4073" t="s">
        <v>18</v>
      </c>
      <c r="F4073" t="s">
        <v>19</v>
      </c>
      <c r="G4073" t="s">
        <v>20</v>
      </c>
      <c r="J4073" t="s">
        <v>17</v>
      </c>
      <c r="K4073" t="str">
        <f>"10382385"</f>
        <v>10382385</v>
      </c>
      <c r="L4073" t="str">
        <f>"10382385"</f>
        <v>10382385</v>
      </c>
      <c r="M4073" t="s">
        <v>75</v>
      </c>
      <c r="N4073" s="1">
        <v>42987.786111111112</v>
      </c>
      <c r="O4073" t="s">
        <v>19</v>
      </c>
    </row>
    <row r="4074" spans="1:15" x14ac:dyDescent="0.25">
      <c r="A4074" t="s">
        <v>3416</v>
      </c>
      <c r="B4074" t="s">
        <v>15</v>
      </c>
      <c r="C4074" t="s">
        <v>2481</v>
      </c>
      <c r="D4074" t="s">
        <v>17</v>
      </c>
      <c r="E4074" t="s">
        <v>18</v>
      </c>
      <c r="F4074" t="s">
        <v>19</v>
      </c>
      <c r="G4074" t="s">
        <v>20</v>
      </c>
      <c r="J4074" t="s">
        <v>17</v>
      </c>
      <c r="K4074" t="str">
        <f>"8617051089056"</f>
        <v>8617051089056</v>
      </c>
      <c r="L4074" t="str">
        <f>"49380005"</f>
        <v>49380005</v>
      </c>
      <c r="M4074" t="s">
        <v>84</v>
      </c>
      <c r="N4074" s="1">
        <v>43396.902083333334</v>
      </c>
      <c r="O4074" t="s">
        <v>19</v>
      </c>
    </row>
    <row r="4075" spans="1:15" x14ac:dyDescent="0.25">
      <c r="A4075" t="s">
        <v>3417</v>
      </c>
      <c r="B4075" t="s">
        <v>15</v>
      </c>
      <c r="C4075" t="s">
        <v>2481</v>
      </c>
      <c r="D4075" t="s">
        <v>17</v>
      </c>
      <c r="E4075" t="s">
        <v>18</v>
      </c>
      <c r="F4075" t="s">
        <v>19</v>
      </c>
      <c r="G4075" t="s">
        <v>20</v>
      </c>
      <c r="J4075" t="s">
        <v>17</v>
      </c>
      <c r="K4075" t="str">
        <f>"10000059"</f>
        <v>10000059</v>
      </c>
      <c r="L4075" t="str">
        <f>"10000059"</f>
        <v>10000059</v>
      </c>
      <c r="M4075" t="s">
        <v>21</v>
      </c>
      <c r="N4075" s="1">
        <v>43708.877083333333</v>
      </c>
      <c r="O4075" t="s">
        <v>19</v>
      </c>
    </row>
    <row r="4076" spans="1:15" x14ac:dyDescent="0.25">
      <c r="A4076" t="s">
        <v>3418</v>
      </c>
      <c r="B4076" t="s">
        <v>15</v>
      </c>
      <c r="C4076" t="s">
        <v>2481</v>
      </c>
      <c r="D4076" t="s">
        <v>17</v>
      </c>
      <c r="E4076" t="s">
        <v>18</v>
      </c>
      <c r="F4076" t="s">
        <v>19</v>
      </c>
      <c r="G4076" t="s">
        <v>20</v>
      </c>
      <c r="J4076" t="s">
        <v>17</v>
      </c>
      <c r="K4076" t="str">
        <f>"6971410551434"</f>
        <v>6971410551434</v>
      </c>
      <c r="L4076" t="str">
        <f>"34380007"</f>
        <v>34380007</v>
      </c>
      <c r="M4076" t="s">
        <v>84</v>
      </c>
      <c r="N4076" s="1">
        <v>43378.579861111109</v>
      </c>
      <c r="O4076" t="s">
        <v>19</v>
      </c>
    </row>
    <row r="4077" spans="1:15" x14ac:dyDescent="0.25">
      <c r="A4077" t="s">
        <v>3419</v>
      </c>
      <c r="B4077" t="s">
        <v>15</v>
      </c>
      <c r="C4077" t="s">
        <v>2481</v>
      </c>
      <c r="D4077" t="s">
        <v>17</v>
      </c>
      <c r="E4077" t="s">
        <v>18</v>
      </c>
      <c r="F4077" t="s">
        <v>19</v>
      </c>
      <c r="G4077" t="s">
        <v>20</v>
      </c>
      <c r="J4077" t="s">
        <v>17</v>
      </c>
      <c r="K4077" t="str">
        <f>"86380004"</f>
        <v>86380004</v>
      </c>
      <c r="L4077" t="str">
        <f>"86380004"</f>
        <v>86380004</v>
      </c>
      <c r="M4077" t="s">
        <v>84</v>
      </c>
      <c r="N4077" s="1">
        <v>43260.747916666667</v>
      </c>
      <c r="O4077" t="s">
        <v>19</v>
      </c>
    </row>
    <row r="4078" spans="1:15" x14ac:dyDescent="0.25">
      <c r="A4078" t="s">
        <v>3420</v>
      </c>
      <c r="B4078" t="s">
        <v>15</v>
      </c>
      <c r="C4078" t="s">
        <v>2481</v>
      </c>
      <c r="D4078" t="s">
        <v>17</v>
      </c>
      <c r="E4078" t="s">
        <v>18</v>
      </c>
      <c r="F4078" t="s">
        <v>19</v>
      </c>
      <c r="G4078" t="s">
        <v>20</v>
      </c>
      <c r="J4078" t="s">
        <v>17</v>
      </c>
      <c r="K4078" t="str">
        <f>"76382201"</f>
        <v>76382201</v>
      </c>
      <c r="L4078" t="str">
        <f>"76382201"</f>
        <v>76382201</v>
      </c>
      <c r="M4078" t="s">
        <v>75</v>
      </c>
      <c r="N4078" s="1">
        <v>42872.847222222219</v>
      </c>
      <c r="O4078" t="s">
        <v>19</v>
      </c>
    </row>
    <row r="4079" spans="1:15" x14ac:dyDescent="0.25">
      <c r="A4079" t="s">
        <v>3421</v>
      </c>
      <c r="B4079" t="s">
        <v>15</v>
      </c>
      <c r="C4079" t="s">
        <v>2481</v>
      </c>
      <c r="D4079" t="s">
        <v>17</v>
      </c>
      <c r="E4079" t="s">
        <v>18</v>
      </c>
      <c r="F4079" t="s">
        <v>19</v>
      </c>
      <c r="G4079" t="s">
        <v>20</v>
      </c>
      <c r="J4079" t="s">
        <v>17</v>
      </c>
      <c r="K4079" t="str">
        <f>"025215496905"</f>
        <v>025215496905</v>
      </c>
      <c r="L4079" t="str">
        <f>"60380004"</f>
        <v>60380004</v>
      </c>
      <c r="M4079" t="s">
        <v>84</v>
      </c>
      <c r="N4079" s="1">
        <v>43566.625694444447</v>
      </c>
      <c r="O4079" t="s">
        <v>19</v>
      </c>
    </row>
    <row r="4080" spans="1:15" x14ac:dyDescent="0.25">
      <c r="A4080" t="s">
        <v>3422</v>
      </c>
      <c r="B4080" t="s">
        <v>15</v>
      </c>
      <c r="C4080" t="s">
        <v>2481</v>
      </c>
      <c r="D4080" t="s">
        <v>17</v>
      </c>
      <c r="E4080" t="s">
        <v>18</v>
      </c>
      <c r="F4080" t="s">
        <v>19</v>
      </c>
      <c r="G4080" t="s">
        <v>20</v>
      </c>
      <c r="J4080" t="s">
        <v>17</v>
      </c>
      <c r="K4080" t="str">
        <f>"7858816048128"</f>
        <v>7858816048128</v>
      </c>
      <c r="L4080" t="str">
        <f>"87384812"</f>
        <v>87384812</v>
      </c>
      <c r="M4080" t="s">
        <v>84</v>
      </c>
      <c r="N4080" s="1">
        <v>43446.878472222219</v>
      </c>
      <c r="O4080" t="s">
        <v>19</v>
      </c>
    </row>
    <row r="4081" spans="1:15" x14ac:dyDescent="0.25">
      <c r="A4081" t="s">
        <v>3423</v>
      </c>
      <c r="B4081" t="s">
        <v>15</v>
      </c>
      <c r="C4081" t="s">
        <v>2481</v>
      </c>
      <c r="D4081" t="s">
        <v>17</v>
      </c>
      <c r="E4081" t="s">
        <v>18</v>
      </c>
      <c r="F4081" t="s">
        <v>19</v>
      </c>
      <c r="G4081" t="s">
        <v>20</v>
      </c>
      <c r="J4081" t="s">
        <v>17</v>
      </c>
      <c r="K4081" t="str">
        <f>"7858816049453"</f>
        <v>7858816049453</v>
      </c>
      <c r="L4081" t="str">
        <f>"87384945"</f>
        <v>87384945</v>
      </c>
      <c r="M4081" t="s">
        <v>84</v>
      </c>
      <c r="N4081" s="1">
        <v>43510.63958333333</v>
      </c>
      <c r="O4081" t="s">
        <v>19</v>
      </c>
    </row>
    <row r="4082" spans="1:15" x14ac:dyDescent="0.25">
      <c r="A4082" t="s">
        <v>3424</v>
      </c>
      <c r="B4082" t="s">
        <v>15</v>
      </c>
      <c r="C4082" t="s">
        <v>2481</v>
      </c>
      <c r="D4082" t="s">
        <v>17</v>
      </c>
      <c r="E4082" t="s">
        <v>18</v>
      </c>
      <c r="F4082" t="s">
        <v>19</v>
      </c>
      <c r="G4082" t="s">
        <v>20</v>
      </c>
      <c r="J4082" t="s">
        <v>17</v>
      </c>
      <c r="K4082" t="str">
        <f>"8002016192209"</f>
        <v>8002016192209</v>
      </c>
      <c r="L4082" t="str">
        <f>"18383018"</f>
        <v>18383018</v>
      </c>
      <c r="M4082" t="s">
        <v>75</v>
      </c>
      <c r="N4082" s="1">
        <v>43083.839583333334</v>
      </c>
      <c r="O4082" t="s">
        <v>19</v>
      </c>
    </row>
    <row r="4083" spans="1:15" x14ac:dyDescent="0.25">
      <c r="A4083" t="s">
        <v>3425</v>
      </c>
      <c r="B4083" t="s">
        <v>15</v>
      </c>
      <c r="C4083" t="s">
        <v>2481</v>
      </c>
      <c r="D4083" t="s">
        <v>17</v>
      </c>
      <c r="E4083" t="s">
        <v>18</v>
      </c>
      <c r="F4083" t="s">
        <v>19</v>
      </c>
      <c r="G4083" t="s">
        <v>20</v>
      </c>
      <c r="J4083" t="s">
        <v>17</v>
      </c>
      <c r="K4083" t="str">
        <f>"52380001"</f>
        <v>52380001</v>
      </c>
      <c r="L4083" t="str">
        <f>"52380001"</f>
        <v>52380001</v>
      </c>
      <c r="M4083" t="s">
        <v>21</v>
      </c>
      <c r="N4083" s="1">
        <v>43609.684027777781</v>
      </c>
      <c r="O4083" t="s">
        <v>19</v>
      </c>
    </row>
    <row r="4084" spans="1:15" x14ac:dyDescent="0.25">
      <c r="A4084" t="s">
        <v>3426</v>
      </c>
      <c r="B4084" t="s">
        <v>15</v>
      </c>
      <c r="C4084" t="s">
        <v>2481</v>
      </c>
      <c r="D4084" t="s">
        <v>17</v>
      </c>
      <c r="E4084" t="s">
        <v>18</v>
      </c>
      <c r="F4084" t="s">
        <v>19</v>
      </c>
      <c r="G4084" t="s">
        <v>20</v>
      </c>
      <c r="J4084" t="s">
        <v>17</v>
      </c>
      <c r="K4084" t="str">
        <f>"6954851235620"</f>
        <v>6954851235620</v>
      </c>
      <c r="L4084" t="str">
        <f>"49380010"</f>
        <v>49380010</v>
      </c>
      <c r="M4084" t="s">
        <v>75</v>
      </c>
      <c r="N4084" s="1">
        <v>42872.839583333334</v>
      </c>
      <c r="O4084" t="s">
        <v>19</v>
      </c>
    </row>
    <row r="4085" spans="1:15" x14ac:dyDescent="0.25">
      <c r="A4085" t="s">
        <v>3427</v>
      </c>
      <c r="B4085" t="s">
        <v>15</v>
      </c>
      <c r="C4085" t="s">
        <v>2481</v>
      </c>
      <c r="D4085" t="s">
        <v>17</v>
      </c>
      <c r="E4085" t="s">
        <v>18</v>
      </c>
      <c r="F4085" t="s">
        <v>19</v>
      </c>
      <c r="G4085" t="s">
        <v>20</v>
      </c>
      <c r="J4085" t="s">
        <v>17</v>
      </c>
      <c r="K4085" t="str">
        <f>"40380005"</f>
        <v>40380005</v>
      </c>
      <c r="L4085" t="str">
        <f>"40380005"</f>
        <v>40380005</v>
      </c>
      <c r="M4085" t="s">
        <v>21</v>
      </c>
      <c r="N4085" s="1">
        <v>44349.825694444444</v>
      </c>
      <c r="O4085" t="s">
        <v>19</v>
      </c>
    </row>
    <row r="4086" spans="1:15" x14ac:dyDescent="0.25">
      <c r="A4086" t="s">
        <v>3428</v>
      </c>
      <c r="B4086" t="s">
        <v>15</v>
      </c>
      <c r="C4086" t="s">
        <v>2481</v>
      </c>
      <c r="D4086" t="s">
        <v>17</v>
      </c>
      <c r="E4086" t="s">
        <v>18</v>
      </c>
      <c r="F4086" t="s">
        <v>19</v>
      </c>
      <c r="G4086" t="s">
        <v>20</v>
      </c>
      <c r="J4086" t="s">
        <v>18</v>
      </c>
      <c r="K4086" t="str">
        <f>"7804625561471"</f>
        <v>7804625561471</v>
      </c>
      <c r="L4086" t="str">
        <f>"42380006"</f>
        <v>42380006</v>
      </c>
      <c r="M4086" t="s">
        <v>84</v>
      </c>
      <c r="N4086" s="1">
        <v>43404.811805555553</v>
      </c>
      <c r="O4086" t="s">
        <v>19</v>
      </c>
    </row>
    <row r="4087" spans="1:15" x14ac:dyDescent="0.25">
      <c r="A4087" t="s">
        <v>3429</v>
      </c>
      <c r="B4087" t="s">
        <v>15</v>
      </c>
      <c r="C4087" t="s">
        <v>2481</v>
      </c>
      <c r="D4087" t="s">
        <v>17</v>
      </c>
      <c r="E4087" t="s">
        <v>18</v>
      </c>
      <c r="F4087" t="s">
        <v>19</v>
      </c>
      <c r="G4087" t="s">
        <v>20</v>
      </c>
      <c r="J4087" t="s">
        <v>17</v>
      </c>
      <c r="K4087" t="str">
        <f>"7895623050579"</f>
        <v>7895623050579</v>
      </c>
      <c r="L4087" t="str">
        <f>"66385057"</f>
        <v>66385057</v>
      </c>
      <c r="M4087" t="s">
        <v>21</v>
      </c>
      <c r="N4087" s="1">
        <v>44392.878472222219</v>
      </c>
      <c r="O4087" t="s">
        <v>19</v>
      </c>
    </row>
    <row r="4088" spans="1:15" x14ac:dyDescent="0.25">
      <c r="A4088" t="s">
        <v>3430</v>
      </c>
      <c r="B4088" t="s">
        <v>15</v>
      </c>
      <c r="C4088" t="s">
        <v>2481</v>
      </c>
      <c r="D4088" t="s">
        <v>17</v>
      </c>
      <c r="E4088" t="s">
        <v>18</v>
      </c>
      <c r="F4088" t="s">
        <v>19</v>
      </c>
      <c r="G4088" t="s">
        <v>20</v>
      </c>
      <c r="J4088" t="s">
        <v>17</v>
      </c>
      <c r="K4088" t="str">
        <f>"8002016181302"</f>
        <v>8002016181302</v>
      </c>
      <c r="L4088" t="str">
        <f>"18382220"</f>
        <v>18382220</v>
      </c>
      <c r="M4088" t="s">
        <v>75</v>
      </c>
      <c r="N4088" s="1">
        <v>42965.695833333331</v>
      </c>
      <c r="O4088" t="s">
        <v>19</v>
      </c>
    </row>
    <row r="4089" spans="1:15" x14ac:dyDescent="0.25">
      <c r="A4089" t="s">
        <v>3431</v>
      </c>
      <c r="B4089" t="s">
        <v>15</v>
      </c>
      <c r="C4089" t="s">
        <v>2481</v>
      </c>
      <c r="D4089" t="s">
        <v>17</v>
      </c>
      <c r="E4089" t="s">
        <v>18</v>
      </c>
      <c r="F4089" t="s">
        <v>19</v>
      </c>
      <c r="G4089" t="s">
        <v>20</v>
      </c>
      <c r="J4089" t="s">
        <v>17</v>
      </c>
      <c r="K4089" t="str">
        <f>"86380002"</f>
        <v>86380002</v>
      </c>
      <c r="L4089" t="str">
        <f>"86380002"</f>
        <v>86380002</v>
      </c>
      <c r="M4089" t="s">
        <v>84</v>
      </c>
      <c r="N4089" s="1">
        <v>43260.67083333333</v>
      </c>
      <c r="O4089" t="s">
        <v>19</v>
      </c>
    </row>
    <row r="4090" spans="1:15" x14ac:dyDescent="0.25">
      <c r="A4090" t="s">
        <v>3432</v>
      </c>
      <c r="B4090" t="s">
        <v>15</v>
      </c>
      <c r="C4090" t="s">
        <v>2481</v>
      </c>
      <c r="D4090" t="s">
        <v>17</v>
      </c>
      <c r="E4090" t="s">
        <v>18</v>
      </c>
      <c r="F4090" t="s">
        <v>19</v>
      </c>
      <c r="G4090" t="s">
        <v>20</v>
      </c>
      <c r="J4090" t="s">
        <v>17</v>
      </c>
      <c r="K4090" t="str">
        <f>"34380002"</f>
        <v>34380002</v>
      </c>
      <c r="L4090" t="str">
        <f>"34380002"</f>
        <v>34380002</v>
      </c>
      <c r="M4090" t="s">
        <v>75</v>
      </c>
      <c r="N4090" s="1">
        <v>43066.759722222225</v>
      </c>
      <c r="O4090" t="s">
        <v>19</v>
      </c>
    </row>
    <row r="4091" spans="1:15" x14ac:dyDescent="0.25">
      <c r="A4091" t="s">
        <v>3433</v>
      </c>
      <c r="B4091" t="s">
        <v>15</v>
      </c>
      <c r="C4091" t="s">
        <v>2481</v>
      </c>
      <c r="D4091" t="s">
        <v>17</v>
      </c>
      <c r="E4091" t="s">
        <v>18</v>
      </c>
      <c r="F4091" t="s">
        <v>19</v>
      </c>
      <c r="G4091" t="s">
        <v>20</v>
      </c>
      <c r="J4091" t="s">
        <v>17</v>
      </c>
      <c r="K4091" t="str">
        <f>"34380001"</f>
        <v>34380001</v>
      </c>
      <c r="L4091" t="str">
        <f>"34380001"</f>
        <v>34380001</v>
      </c>
      <c r="M4091" t="s">
        <v>75</v>
      </c>
      <c r="N4091" s="1">
        <v>42872.839583333334</v>
      </c>
      <c r="O4091" t="s">
        <v>19</v>
      </c>
    </row>
    <row r="4092" spans="1:15" x14ac:dyDescent="0.25">
      <c r="A4092" t="s">
        <v>3434</v>
      </c>
      <c r="B4092" t="s">
        <v>15</v>
      </c>
      <c r="C4092" t="s">
        <v>2481</v>
      </c>
      <c r="D4092" t="s">
        <v>17</v>
      </c>
      <c r="E4092" t="s">
        <v>18</v>
      </c>
      <c r="F4092" t="s">
        <v>19</v>
      </c>
      <c r="G4092" t="s">
        <v>20</v>
      </c>
      <c r="J4092" t="s">
        <v>17</v>
      </c>
      <c r="K4092" t="str">
        <f>"1578761687499"</f>
        <v>1578761687499</v>
      </c>
      <c r="L4092" t="str">
        <f>"40387499"</f>
        <v>40387499</v>
      </c>
      <c r="M4092" t="s">
        <v>21</v>
      </c>
      <c r="N4092" s="1">
        <v>44434.879861111112</v>
      </c>
      <c r="O4092" t="s">
        <v>19</v>
      </c>
    </row>
    <row r="4093" spans="1:15" x14ac:dyDescent="0.25">
      <c r="A4093" t="s">
        <v>3435</v>
      </c>
      <c r="B4093" t="s">
        <v>15</v>
      </c>
      <c r="C4093" t="s">
        <v>2481</v>
      </c>
      <c r="D4093" t="s">
        <v>17</v>
      </c>
      <c r="E4093" t="s">
        <v>18</v>
      </c>
      <c r="F4093" t="s">
        <v>19</v>
      </c>
      <c r="G4093" t="s">
        <v>20</v>
      </c>
      <c r="J4093" t="s">
        <v>17</v>
      </c>
      <c r="K4093" t="str">
        <f>"87381230"</f>
        <v>87381230</v>
      </c>
      <c r="L4093" t="str">
        <f>"87381230"</f>
        <v>87381230</v>
      </c>
      <c r="M4093" t="s">
        <v>75</v>
      </c>
      <c r="N4093" s="1">
        <v>42872.847222222219</v>
      </c>
      <c r="O4093" t="s">
        <v>19</v>
      </c>
    </row>
    <row r="4094" spans="1:15" x14ac:dyDescent="0.25">
      <c r="A4094" t="s">
        <v>3436</v>
      </c>
      <c r="B4094" t="s">
        <v>15</v>
      </c>
      <c r="C4094" t="s">
        <v>2481</v>
      </c>
      <c r="D4094" t="s">
        <v>17</v>
      </c>
      <c r="E4094" t="s">
        <v>18</v>
      </c>
      <c r="F4094" t="s">
        <v>19</v>
      </c>
      <c r="G4094" t="s">
        <v>20</v>
      </c>
      <c r="J4094" t="s">
        <v>17</v>
      </c>
      <c r="K4094" t="str">
        <f>"10003124"</f>
        <v>10003124</v>
      </c>
      <c r="L4094" t="str">
        <f>"10003124"</f>
        <v>10003124</v>
      </c>
      <c r="M4094" t="s">
        <v>84</v>
      </c>
      <c r="N4094" s="1">
        <v>43546.642361111109</v>
      </c>
      <c r="O4094" t="s">
        <v>19</v>
      </c>
    </row>
    <row r="4095" spans="1:15" x14ac:dyDescent="0.25">
      <c r="A4095" t="s">
        <v>3437</v>
      </c>
      <c r="B4095" t="s">
        <v>15</v>
      </c>
      <c r="C4095" t="s">
        <v>2481</v>
      </c>
      <c r="D4095" t="s">
        <v>17</v>
      </c>
      <c r="E4095" t="s">
        <v>18</v>
      </c>
      <c r="F4095" t="s">
        <v>19</v>
      </c>
      <c r="G4095" t="s">
        <v>20</v>
      </c>
      <c r="J4095" t="s">
        <v>17</v>
      </c>
      <c r="K4095" t="str">
        <f>"7858816042720"</f>
        <v>7858816042720</v>
      </c>
      <c r="L4095" t="str">
        <f>"87384272"</f>
        <v>87384272</v>
      </c>
      <c r="M4095" t="s">
        <v>21</v>
      </c>
      <c r="N4095" s="1">
        <v>43595.809027777781</v>
      </c>
      <c r="O4095" t="s">
        <v>19</v>
      </c>
    </row>
    <row r="4096" spans="1:15" x14ac:dyDescent="0.25">
      <c r="A4096" t="s">
        <v>3438</v>
      </c>
      <c r="B4096" t="s">
        <v>15</v>
      </c>
      <c r="C4096" t="s">
        <v>2481</v>
      </c>
      <c r="D4096" t="s">
        <v>17</v>
      </c>
      <c r="E4096" t="s">
        <v>18</v>
      </c>
      <c r="F4096" t="s">
        <v>19</v>
      </c>
      <c r="G4096" t="s">
        <v>20</v>
      </c>
      <c r="J4096" t="s">
        <v>17</v>
      </c>
      <c r="K4096" t="str">
        <f>"87001231"</f>
        <v>87001231</v>
      </c>
      <c r="L4096" t="str">
        <f>"87001231"</f>
        <v>87001231</v>
      </c>
      <c r="M4096" t="s">
        <v>75</v>
      </c>
      <c r="N4096" s="1">
        <v>42872.847222222219</v>
      </c>
      <c r="O4096" t="s">
        <v>19</v>
      </c>
    </row>
    <row r="4097" spans="1:15" x14ac:dyDescent="0.25">
      <c r="A4097" t="s">
        <v>3439</v>
      </c>
      <c r="B4097" t="s">
        <v>15</v>
      </c>
      <c r="C4097" t="s">
        <v>37</v>
      </c>
      <c r="D4097" t="s">
        <v>17</v>
      </c>
      <c r="E4097" t="s">
        <v>18</v>
      </c>
      <c r="F4097" t="s">
        <v>19</v>
      </c>
      <c r="G4097" t="s">
        <v>20</v>
      </c>
      <c r="J4097" t="s">
        <v>17</v>
      </c>
      <c r="K4097" t="str">
        <f>"10002558"</f>
        <v>10002558</v>
      </c>
      <c r="L4097" t="str">
        <f>"10002558"</f>
        <v>10002558</v>
      </c>
      <c r="M4097" t="s">
        <v>84</v>
      </c>
      <c r="N4097" s="1">
        <v>43510.673611111109</v>
      </c>
      <c r="O4097" t="s">
        <v>19</v>
      </c>
    </row>
    <row r="4098" spans="1:15" x14ac:dyDescent="0.25">
      <c r="A4098" t="s">
        <v>3440</v>
      </c>
      <c r="B4098" t="s">
        <v>15</v>
      </c>
      <c r="C4098" t="s">
        <v>37</v>
      </c>
      <c r="D4098" t="s">
        <v>17</v>
      </c>
      <c r="E4098" t="s">
        <v>18</v>
      </c>
      <c r="F4098" t="s">
        <v>19</v>
      </c>
      <c r="G4098" t="s">
        <v>20</v>
      </c>
      <c r="J4098" t="s">
        <v>17</v>
      </c>
      <c r="K4098" t="str">
        <f>"10003227"</f>
        <v>10003227</v>
      </c>
      <c r="L4098" t="str">
        <f>"10003227"</f>
        <v>10003227</v>
      </c>
      <c r="M4098" t="s">
        <v>84</v>
      </c>
      <c r="N4098" s="1">
        <v>43419.697916666664</v>
      </c>
      <c r="O4098" t="s">
        <v>19</v>
      </c>
    </row>
    <row r="4099" spans="1:15" x14ac:dyDescent="0.25">
      <c r="A4099" t="s">
        <v>3441</v>
      </c>
      <c r="B4099" t="s">
        <v>15</v>
      </c>
      <c r="C4099" t="s">
        <v>171</v>
      </c>
      <c r="D4099" t="s">
        <v>17</v>
      </c>
      <c r="E4099" t="s">
        <v>18</v>
      </c>
      <c r="F4099" t="s">
        <v>19</v>
      </c>
      <c r="G4099" t="s">
        <v>20</v>
      </c>
      <c r="J4099" t="s">
        <v>17</v>
      </c>
      <c r="K4099" t="str">
        <f>"10002358"</f>
        <v>10002358</v>
      </c>
      <c r="L4099" t="str">
        <f>"10002358"</f>
        <v>10002358</v>
      </c>
      <c r="M4099" t="s">
        <v>84</v>
      </c>
      <c r="N4099" s="1">
        <v>43404.893055555556</v>
      </c>
      <c r="O4099" t="s">
        <v>19</v>
      </c>
    </row>
    <row r="4100" spans="1:15" x14ac:dyDescent="0.25">
      <c r="A4100" t="s">
        <v>3442</v>
      </c>
      <c r="B4100" t="s">
        <v>15</v>
      </c>
      <c r="C4100" t="s">
        <v>37</v>
      </c>
      <c r="D4100" t="s">
        <v>17</v>
      </c>
      <c r="E4100" t="s">
        <v>18</v>
      </c>
      <c r="F4100" t="s">
        <v>19</v>
      </c>
      <c r="G4100" t="s">
        <v>20</v>
      </c>
      <c r="J4100" t="s">
        <v>17</v>
      </c>
      <c r="K4100" t="str">
        <f>"10003403"</f>
        <v>10003403</v>
      </c>
      <c r="L4100" t="str">
        <f>"10003403"</f>
        <v>10003403</v>
      </c>
      <c r="M4100" t="s">
        <v>84</v>
      </c>
      <c r="N4100" s="1">
        <v>43496.611805555556</v>
      </c>
      <c r="O4100" t="s">
        <v>19</v>
      </c>
    </row>
    <row r="4101" spans="1:15" x14ac:dyDescent="0.25">
      <c r="A4101" t="s">
        <v>3443</v>
      </c>
      <c r="B4101" t="s">
        <v>15</v>
      </c>
      <c r="C4101" t="s">
        <v>37</v>
      </c>
      <c r="D4101" t="s">
        <v>17</v>
      </c>
      <c r="E4101" t="s">
        <v>18</v>
      </c>
      <c r="F4101" t="s">
        <v>19</v>
      </c>
      <c r="G4101" t="s">
        <v>20</v>
      </c>
      <c r="J4101" t="s">
        <v>17</v>
      </c>
      <c r="K4101" t="str">
        <f>"10003197"</f>
        <v>10003197</v>
      </c>
      <c r="L4101" t="str">
        <f>"10003197"</f>
        <v>10003197</v>
      </c>
      <c r="M4101" t="s">
        <v>84</v>
      </c>
      <c r="N4101" s="1">
        <v>43496.612500000003</v>
      </c>
      <c r="O4101" t="s">
        <v>19</v>
      </c>
    </row>
    <row r="4102" spans="1:15" x14ac:dyDescent="0.25">
      <c r="A4102" t="s">
        <v>3444</v>
      </c>
      <c r="B4102" t="s">
        <v>15</v>
      </c>
      <c r="C4102" t="s">
        <v>2481</v>
      </c>
      <c r="D4102" t="s">
        <v>17</v>
      </c>
      <c r="E4102" t="s">
        <v>18</v>
      </c>
      <c r="F4102" t="s">
        <v>19</v>
      </c>
      <c r="G4102" t="s">
        <v>20</v>
      </c>
      <c r="J4102" t="s">
        <v>17</v>
      </c>
      <c r="K4102" t="str">
        <f>"6901826817282"</f>
        <v>6901826817282</v>
      </c>
      <c r="L4102" t="str">
        <f>"10381544"</f>
        <v>10381544</v>
      </c>
      <c r="M4102" t="s">
        <v>75</v>
      </c>
      <c r="N4102" s="1">
        <v>42872.839583333334</v>
      </c>
      <c r="O4102" t="s">
        <v>19</v>
      </c>
    </row>
    <row r="4103" spans="1:15" x14ac:dyDescent="0.25">
      <c r="A4103" t="s">
        <v>3445</v>
      </c>
      <c r="B4103" t="s">
        <v>15</v>
      </c>
      <c r="C4103" t="s">
        <v>2481</v>
      </c>
      <c r="D4103" t="s">
        <v>17</v>
      </c>
      <c r="E4103" t="s">
        <v>18</v>
      </c>
      <c r="F4103" t="s">
        <v>19</v>
      </c>
      <c r="G4103" t="s">
        <v>20</v>
      </c>
      <c r="J4103" t="s">
        <v>17</v>
      </c>
      <c r="K4103" t="str">
        <f>"10001090"</f>
        <v>10001090</v>
      </c>
      <c r="L4103" t="str">
        <f>"10001090"</f>
        <v>10001090</v>
      </c>
      <c r="M4103" t="s">
        <v>75</v>
      </c>
      <c r="N4103" s="1">
        <v>42872.839583333334</v>
      </c>
      <c r="O4103" t="s">
        <v>19</v>
      </c>
    </row>
    <row r="4104" spans="1:15" x14ac:dyDescent="0.25">
      <c r="A4104" t="s">
        <v>3446</v>
      </c>
      <c r="B4104" t="s">
        <v>15</v>
      </c>
      <c r="C4104" t="s">
        <v>2481</v>
      </c>
      <c r="D4104" t="s">
        <v>17</v>
      </c>
      <c r="E4104" t="s">
        <v>18</v>
      </c>
      <c r="F4104" t="s">
        <v>19</v>
      </c>
      <c r="G4104" t="s">
        <v>20</v>
      </c>
      <c r="J4104" t="s">
        <v>17</v>
      </c>
      <c r="K4104" t="str">
        <f>"10383456"</f>
        <v>10383456</v>
      </c>
      <c r="L4104" t="str">
        <f>"10383456"</f>
        <v>10383456</v>
      </c>
      <c r="M4104" t="s">
        <v>75</v>
      </c>
      <c r="N4104" s="1">
        <v>42987.786805555559</v>
      </c>
      <c r="O4104" t="s">
        <v>19</v>
      </c>
    </row>
    <row r="4105" spans="1:15" x14ac:dyDescent="0.25">
      <c r="A4105" t="s">
        <v>3447</v>
      </c>
      <c r="B4105" t="s">
        <v>15</v>
      </c>
      <c r="C4105" t="s">
        <v>2481</v>
      </c>
      <c r="D4105" t="s">
        <v>17</v>
      </c>
      <c r="E4105" t="s">
        <v>18</v>
      </c>
      <c r="F4105" t="s">
        <v>19</v>
      </c>
      <c r="G4105" t="s">
        <v>20</v>
      </c>
      <c r="J4105" t="s">
        <v>17</v>
      </c>
      <c r="K4105" t="str">
        <f>"10002218"</f>
        <v>10002218</v>
      </c>
      <c r="L4105" t="str">
        <f>"10002218"</f>
        <v>10002218</v>
      </c>
      <c r="M4105" t="s">
        <v>75</v>
      </c>
      <c r="N4105" s="1">
        <v>42872.839583333334</v>
      </c>
      <c r="O4105" t="s">
        <v>19</v>
      </c>
    </row>
    <row r="4106" spans="1:15" x14ac:dyDescent="0.25">
      <c r="A4106" t="s">
        <v>3448</v>
      </c>
      <c r="B4106" t="s">
        <v>15</v>
      </c>
      <c r="C4106" t="s">
        <v>2481</v>
      </c>
      <c r="D4106" t="s">
        <v>17</v>
      </c>
      <c r="E4106" t="s">
        <v>18</v>
      </c>
      <c r="F4106" t="s">
        <v>19</v>
      </c>
      <c r="G4106" t="s">
        <v>20</v>
      </c>
      <c r="J4106" t="s">
        <v>17</v>
      </c>
      <c r="K4106" t="str">
        <f>"10000329"</f>
        <v>10000329</v>
      </c>
      <c r="L4106" t="str">
        <f>"10000329"</f>
        <v>10000329</v>
      </c>
      <c r="M4106" t="s">
        <v>75</v>
      </c>
      <c r="N4106" s="1">
        <v>42872.839583333334</v>
      </c>
      <c r="O4106" t="s">
        <v>19</v>
      </c>
    </row>
    <row r="4107" spans="1:15" x14ac:dyDescent="0.25">
      <c r="A4107" t="s">
        <v>3449</v>
      </c>
      <c r="B4107" t="s">
        <v>15</v>
      </c>
      <c r="C4107" t="s">
        <v>64</v>
      </c>
      <c r="D4107" t="s">
        <v>17</v>
      </c>
      <c r="E4107" t="s">
        <v>18</v>
      </c>
      <c r="F4107" t="s">
        <v>19</v>
      </c>
      <c r="G4107" t="s">
        <v>20</v>
      </c>
      <c r="J4107" t="s">
        <v>17</v>
      </c>
      <c r="K4107" t="str">
        <f>"7858816081903"</f>
        <v>7858816081903</v>
      </c>
      <c r="L4107" t="str">
        <f>"87938190"</f>
        <v>87938190</v>
      </c>
      <c r="M4107" t="s">
        <v>21</v>
      </c>
      <c r="N4107" s="1">
        <v>44252.784722222219</v>
      </c>
      <c r="O4107" t="s">
        <v>19</v>
      </c>
    </row>
    <row r="4108" spans="1:15" x14ac:dyDescent="0.25">
      <c r="A4108" t="s">
        <v>3450</v>
      </c>
      <c r="B4108" t="s">
        <v>15</v>
      </c>
      <c r="C4108" t="s">
        <v>64</v>
      </c>
      <c r="D4108" t="s">
        <v>17</v>
      </c>
      <c r="E4108" t="s">
        <v>18</v>
      </c>
      <c r="F4108" t="s">
        <v>19</v>
      </c>
      <c r="G4108" t="s">
        <v>20</v>
      </c>
      <c r="J4108" t="s">
        <v>17</v>
      </c>
      <c r="K4108" t="str">
        <f>"7858816081989"</f>
        <v>7858816081989</v>
      </c>
      <c r="L4108" t="str">
        <f>"87938198"</f>
        <v>87938198</v>
      </c>
      <c r="M4108" t="s">
        <v>21</v>
      </c>
      <c r="N4108" s="1">
        <v>44404.726388888892</v>
      </c>
      <c r="O4108" t="s">
        <v>19</v>
      </c>
    </row>
    <row r="4109" spans="1:15" x14ac:dyDescent="0.25">
      <c r="A4109" t="s">
        <v>3451</v>
      </c>
      <c r="B4109" t="s">
        <v>15</v>
      </c>
      <c r="C4109" t="s">
        <v>2481</v>
      </c>
      <c r="D4109" t="s">
        <v>17</v>
      </c>
      <c r="E4109" t="s">
        <v>18</v>
      </c>
      <c r="F4109" t="s">
        <v>19</v>
      </c>
      <c r="G4109" t="s">
        <v>20</v>
      </c>
      <c r="J4109" t="s">
        <v>17</v>
      </c>
      <c r="K4109" t="str">
        <f>"10000064"</f>
        <v>10000064</v>
      </c>
      <c r="L4109" t="str">
        <f>"10000064"</f>
        <v>10000064</v>
      </c>
      <c r="M4109" t="s">
        <v>21</v>
      </c>
      <c r="N4109" s="1">
        <v>43610.959027777775</v>
      </c>
      <c r="O4109" t="s">
        <v>19</v>
      </c>
    </row>
    <row r="4110" spans="1:15" x14ac:dyDescent="0.25">
      <c r="A4110" t="s">
        <v>3452</v>
      </c>
      <c r="B4110" t="s">
        <v>15</v>
      </c>
      <c r="C4110" t="s">
        <v>2481</v>
      </c>
      <c r="D4110" t="s">
        <v>17</v>
      </c>
      <c r="E4110" t="s">
        <v>18</v>
      </c>
      <c r="F4110" t="s">
        <v>19</v>
      </c>
      <c r="G4110" t="s">
        <v>20</v>
      </c>
      <c r="J4110" t="s">
        <v>17</v>
      </c>
      <c r="K4110" t="str">
        <f>"4710007714102"</f>
        <v>4710007714102</v>
      </c>
      <c r="L4110" t="str">
        <f>"65384102"</f>
        <v>65384102</v>
      </c>
      <c r="M4110" t="s">
        <v>75</v>
      </c>
      <c r="N4110" s="1">
        <v>43028.959027777775</v>
      </c>
      <c r="O4110" t="s">
        <v>19</v>
      </c>
    </row>
    <row r="4111" spans="1:15" x14ac:dyDescent="0.25">
      <c r="A4111" t="s">
        <v>3452</v>
      </c>
      <c r="B4111" t="s">
        <v>15</v>
      </c>
      <c r="C4111" t="s">
        <v>2481</v>
      </c>
      <c r="D4111" t="s">
        <v>17</v>
      </c>
      <c r="E4111" t="s">
        <v>18</v>
      </c>
      <c r="F4111" t="s">
        <v>19</v>
      </c>
      <c r="G4111" t="s">
        <v>20</v>
      </c>
      <c r="J4111" t="s">
        <v>17</v>
      </c>
      <c r="K4111" t="str">
        <f>"1508540493089"</f>
        <v>1508540493089</v>
      </c>
      <c r="L4111" t="str">
        <f>"1508540493089"</f>
        <v>1508540493089</v>
      </c>
      <c r="M4111" t="s">
        <v>21</v>
      </c>
      <c r="N4111" s="1">
        <v>43028.959027777775</v>
      </c>
      <c r="O4111" t="s">
        <v>33</v>
      </c>
    </row>
    <row r="4112" spans="1:15" x14ac:dyDescent="0.25">
      <c r="A4112" t="s">
        <v>3453</v>
      </c>
      <c r="B4112" t="s">
        <v>15</v>
      </c>
      <c r="C4112" t="s">
        <v>2481</v>
      </c>
      <c r="D4112" t="s">
        <v>17</v>
      </c>
      <c r="E4112" t="s">
        <v>18</v>
      </c>
      <c r="F4112" t="s">
        <v>19</v>
      </c>
      <c r="G4112" t="s">
        <v>20</v>
      </c>
      <c r="J4112" t="s">
        <v>17</v>
      </c>
      <c r="K4112" t="str">
        <f>"10002612"</f>
        <v>10002612</v>
      </c>
      <c r="L4112" t="str">
        <f>"10002612"</f>
        <v>10002612</v>
      </c>
      <c r="M4112" t="s">
        <v>75</v>
      </c>
      <c r="N4112" s="1">
        <v>42872.839583333334</v>
      </c>
      <c r="O4112" t="s">
        <v>19</v>
      </c>
    </row>
    <row r="4113" spans="1:15" x14ac:dyDescent="0.25">
      <c r="A4113" t="s">
        <v>3454</v>
      </c>
      <c r="B4113" t="s">
        <v>15</v>
      </c>
      <c r="C4113" t="s">
        <v>2481</v>
      </c>
      <c r="D4113" t="s">
        <v>17</v>
      </c>
      <c r="E4113" t="s">
        <v>18</v>
      </c>
      <c r="F4113" t="s">
        <v>19</v>
      </c>
      <c r="G4113" t="s">
        <v>20</v>
      </c>
      <c r="J4113" t="s">
        <v>17</v>
      </c>
      <c r="K4113" t="str">
        <f>"66380001"</f>
        <v>66380001</v>
      </c>
      <c r="L4113" t="str">
        <f>"66380001"</f>
        <v>66380001</v>
      </c>
      <c r="M4113" t="s">
        <v>75</v>
      </c>
      <c r="N4113" s="1">
        <v>42872.847222222219</v>
      </c>
      <c r="O4113" t="s">
        <v>19</v>
      </c>
    </row>
    <row r="4114" spans="1:15" x14ac:dyDescent="0.25">
      <c r="A4114" t="s">
        <v>3455</v>
      </c>
      <c r="B4114" t="s">
        <v>15</v>
      </c>
      <c r="C4114" t="s">
        <v>2481</v>
      </c>
      <c r="D4114" t="s">
        <v>17</v>
      </c>
      <c r="E4114" t="s">
        <v>18</v>
      </c>
      <c r="F4114" t="s">
        <v>19</v>
      </c>
      <c r="G4114" t="s">
        <v>20</v>
      </c>
      <c r="J4114" t="s">
        <v>17</v>
      </c>
      <c r="K4114" t="str">
        <f>"68386801"</f>
        <v>68386801</v>
      </c>
      <c r="L4114" t="str">
        <f>"68386801"</f>
        <v>68386801</v>
      </c>
      <c r="M4114" t="s">
        <v>75</v>
      </c>
      <c r="N4114" s="1">
        <v>42872.847222222219</v>
      </c>
      <c r="O4114" t="s">
        <v>19</v>
      </c>
    </row>
    <row r="4115" spans="1:15" x14ac:dyDescent="0.25">
      <c r="A4115" t="s">
        <v>3456</v>
      </c>
      <c r="B4115" t="s">
        <v>15</v>
      </c>
      <c r="C4115" t="s">
        <v>935</v>
      </c>
      <c r="D4115" t="s">
        <v>17</v>
      </c>
      <c r="E4115" t="s">
        <v>18</v>
      </c>
      <c r="F4115" t="s">
        <v>19</v>
      </c>
      <c r="G4115" t="s">
        <v>20</v>
      </c>
      <c r="J4115" t="s">
        <v>17</v>
      </c>
      <c r="K4115" t="str">
        <f>"66001483"</f>
        <v>66001483</v>
      </c>
      <c r="L4115" t="str">
        <f>"66001483"</f>
        <v>66001483</v>
      </c>
      <c r="M4115" t="s">
        <v>75</v>
      </c>
      <c r="N4115" s="1">
        <v>42872.847222222219</v>
      </c>
      <c r="O4115" t="s">
        <v>19</v>
      </c>
    </row>
    <row r="4116" spans="1:15" x14ac:dyDescent="0.25">
      <c r="A4116" t="s">
        <v>3457</v>
      </c>
      <c r="B4116" t="s">
        <v>15</v>
      </c>
      <c r="C4116" t="s">
        <v>935</v>
      </c>
      <c r="D4116" t="s">
        <v>17</v>
      </c>
      <c r="E4116" t="s">
        <v>18</v>
      </c>
      <c r="F4116" t="s">
        <v>19</v>
      </c>
      <c r="G4116" t="s">
        <v>20</v>
      </c>
      <c r="J4116" t="s">
        <v>17</v>
      </c>
      <c r="K4116" t="str">
        <f>"76001000"</f>
        <v>76001000</v>
      </c>
      <c r="L4116" t="str">
        <f>"76001000"</f>
        <v>76001000</v>
      </c>
      <c r="M4116" t="s">
        <v>75</v>
      </c>
      <c r="N4116" s="1">
        <v>42872.847222222219</v>
      </c>
      <c r="O4116" t="s">
        <v>19</v>
      </c>
    </row>
    <row r="4117" spans="1:15" x14ac:dyDescent="0.25">
      <c r="A4117" t="s">
        <v>3457</v>
      </c>
      <c r="B4117" t="s">
        <v>15</v>
      </c>
      <c r="C4117" t="s">
        <v>935</v>
      </c>
      <c r="D4117" t="s">
        <v>17</v>
      </c>
      <c r="E4117" t="s">
        <v>18</v>
      </c>
      <c r="F4117" t="s">
        <v>19</v>
      </c>
      <c r="G4117" t="s">
        <v>20</v>
      </c>
      <c r="J4117" t="s">
        <v>17</v>
      </c>
      <c r="K4117" t="str">
        <f>"760010000"</f>
        <v>760010000</v>
      </c>
      <c r="L4117" t="str">
        <f>"760010000"</f>
        <v>760010000</v>
      </c>
      <c r="M4117" t="s">
        <v>75</v>
      </c>
      <c r="N4117" s="1">
        <v>42872.849305555559</v>
      </c>
      <c r="O4117" t="s">
        <v>19</v>
      </c>
    </row>
    <row r="4118" spans="1:15" x14ac:dyDescent="0.25">
      <c r="A4118" t="s">
        <v>3458</v>
      </c>
      <c r="B4118" t="s">
        <v>15</v>
      </c>
      <c r="C4118" t="s">
        <v>935</v>
      </c>
      <c r="D4118" t="s">
        <v>17</v>
      </c>
      <c r="E4118" t="s">
        <v>18</v>
      </c>
      <c r="F4118" t="s">
        <v>19</v>
      </c>
      <c r="G4118" t="s">
        <v>20</v>
      </c>
      <c r="J4118" t="s">
        <v>17</v>
      </c>
      <c r="K4118" t="str">
        <f>"158174999078"</f>
        <v>158174999078</v>
      </c>
      <c r="L4118" t="str">
        <f>"765510000"</f>
        <v>765510000</v>
      </c>
      <c r="M4118" t="s">
        <v>75</v>
      </c>
      <c r="N4118" s="1">
        <v>43097.873611111114</v>
      </c>
      <c r="O4118" t="s">
        <v>19</v>
      </c>
    </row>
    <row r="4119" spans="1:15" x14ac:dyDescent="0.25">
      <c r="A4119" t="s">
        <v>3458</v>
      </c>
      <c r="B4119" t="s">
        <v>15</v>
      </c>
      <c r="C4119" t="s">
        <v>935</v>
      </c>
      <c r="D4119" t="s">
        <v>17</v>
      </c>
      <c r="E4119" t="s">
        <v>18</v>
      </c>
      <c r="F4119" t="s">
        <v>19</v>
      </c>
      <c r="G4119" t="s">
        <v>20</v>
      </c>
      <c r="J4119" t="s">
        <v>17</v>
      </c>
      <c r="K4119" t="str">
        <f>"6922879540101"</f>
        <v>6922879540101</v>
      </c>
      <c r="L4119" t="str">
        <f>"40550101"</f>
        <v>40550101</v>
      </c>
      <c r="M4119" t="s">
        <v>21</v>
      </c>
      <c r="N4119" s="1">
        <v>44434.841666666667</v>
      </c>
      <c r="O4119" t="s">
        <v>19</v>
      </c>
    </row>
    <row r="4120" spans="1:15" x14ac:dyDescent="0.25">
      <c r="A4120" t="s">
        <v>3459</v>
      </c>
      <c r="B4120" t="s">
        <v>15</v>
      </c>
      <c r="C4120" t="s">
        <v>935</v>
      </c>
      <c r="D4120" t="s">
        <v>17</v>
      </c>
      <c r="E4120" t="s">
        <v>18</v>
      </c>
      <c r="F4120" t="s">
        <v>19</v>
      </c>
      <c r="G4120" t="s">
        <v>20</v>
      </c>
      <c r="J4120" t="s">
        <v>17</v>
      </c>
      <c r="K4120" t="str">
        <f>"7804612213086"</f>
        <v>7804612213086</v>
      </c>
      <c r="L4120" t="str">
        <f>"98551000"</f>
        <v>98551000</v>
      </c>
      <c r="M4120" t="s">
        <v>21</v>
      </c>
      <c r="N4120" s="1">
        <v>43816.944444444445</v>
      </c>
      <c r="O4120" t="s">
        <v>19</v>
      </c>
    </row>
    <row r="4121" spans="1:15" x14ac:dyDescent="0.25">
      <c r="A4121" t="s">
        <v>3460</v>
      </c>
      <c r="B4121" t="s">
        <v>15</v>
      </c>
      <c r="C4121" t="s">
        <v>935</v>
      </c>
      <c r="D4121" t="s">
        <v>17</v>
      </c>
      <c r="E4121" t="s">
        <v>18</v>
      </c>
      <c r="F4121" t="s">
        <v>19</v>
      </c>
      <c r="G4121" t="s">
        <v>20</v>
      </c>
      <c r="J4121" t="s">
        <v>17</v>
      </c>
      <c r="K4121" t="str">
        <f>"6918888888075"</f>
        <v>6918888888075</v>
      </c>
      <c r="L4121" t="str">
        <f>"40550002"</f>
        <v>40550002</v>
      </c>
      <c r="M4121" t="s">
        <v>21</v>
      </c>
      <c r="N4121" s="1">
        <v>44225.873611111114</v>
      </c>
      <c r="O4121" t="s">
        <v>19</v>
      </c>
    </row>
    <row r="4122" spans="1:15" x14ac:dyDescent="0.25">
      <c r="A4122" t="s">
        <v>3461</v>
      </c>
      <c r="B4122" t="s">
        <v>15</v>
      </c>
      <c r="C4122" t="s">
        <v>935</v>
      </c>
      <c r="D4122" t="s">
        <v>17</v>
      </c>
      <c r="E4122" t="s">
        <v>18</v>
      </c>
      <c r="F4122" t="s">
        <v>19</v>
      </c>
      <c r="G4122" t="s">
        <v>20</v>
      </c>
      <c r="J4122" t="s">
        <v>17</v>
      </c>
      <c r="K4122" t="str">
        <f>"6978086958659"</f>
        <v>6978086958659</v>
      </c>
      <c r="L4122" t="str">
        <f>"76551000"</f>
        <v>76551000</v>
      </c>
      <c r="M4122" t="s">
        <v>21</v>
      </c>
      <c r="N4122" s="1">
        <v>43719.82916666667</v>
      </c>
      <c r="O4122" t="s">
        <v>19</v>
      </c>
    </row>
    <row r="4123" spans="1:15" x14ac:dyDescent="0.25">
      <c r="A4123" t="s">
        <v>3462</v>
      </c>
      <c r="B4123" t="s">
        <v>15</v>
      </c>
      <c r="C4123" t="s">
        <v>935</v>
      </c>
      <c r="D4123" t="s">
        <v>17</v>
      </c>
      <c r="E4123" t="s">
        <v>18</v>
      </c>
      <c r="F4123" t="s">
        <v>19</v>
      </c>
      <c r="G4123" t="s">
        <v>20</v>
      </c>
      <c r="J4123" t="s">
        <v>17</v>
      </c>
      <c r="K4123" t="str">
        <f>"7808748510767"</f>
        <v>7808748510767</v>
      </c>
      <c r="L4123" t="str">
        <f>"98550767"</f>
        <v>98550767</v>
      </c>
      <c r="M4123" t="s">
        <v>21</v>
      </c>
      <c r="N4123" s="1">
        <v>42872.839583333334</v>
      </c>
      <c r="O4123" t="s">
        <v>19</v>
      </c>
    </row>
    <row r="4124" spans="1:15" x14ac:dyDescent="0.25">
      <c r="A4124" t="s">
        <v>3463</v>
      </c>
      <c r="B4124" t="s">
        <v>15</v>
      </c>
      <c r="C4124" t="s">
        <v>935</v>
      </c>
      <c r="D4124" t="s">
        <v>17</v>
      </c>
      <c r="E4124" t="s">
        <v>18</v>
      </c>
      <c r="F4124" t="s">
        <v>19</v>
      </c>
      <c r="G4124" t="s">
        <v>20</v>
      </c>
      <c r="J4124" t="s">
        <v>17</v>
      </c>
      <c r="K4124" t="str">
        <f>"76557015"</f>
        <v>76557015</v>
      </c>
      <c r="L4124" t="str">
        <f>"76557015"</f>
        <v>76557015</v>
      </c>
      <c r="M4124" t="s">
        <v>75</v>
      </c>
      <c r="N4124" s="1">
        <v>43132.893055555556</v>
      </c>
      <c r="O4124" t="s">
        <v>19</v>
      </c>
    </row>
    <row r="4125" spans="1:15" x14ac:dyDescent="0.25">
      <c r="A4125" t="s">
        <v>3464</v>
      </c>
      <c r="B4125" t="s">
        <v>15</v>
      </c>
      <c r="C4125" t="s">
        <v>935</v>
      </c>
      <c r="D4125" t="s">
        <v>17</v>
      </c>
      <c r="E4125" t="s">
        <v>18</v>
      </c>
      <c r="F4125" t="s">
        <v>19</v>
      </c>
      <c r="G4125" t="s">
        <v>20</v>
      </c>
      <c r="J4125" t="s">
        <v>17</v>
      </c>
      <c r="K4125" t="str">
        <f>"6923470012554"</f>
        <v>6923470012554</v>
      </c>
      <c r="L4125" t="str">
        <f>"76550622"</f>
        <v>76550622</v>
      </c>
      <c r="M4125" t="s">
        <v>21</v>
      </c>
      <c r="N4125" s="1">
        <v>43798.660416666666</v>
      </c>
      <c r="O4125" t="s">
        <v>19</v>
      </c>
    </row>
    <row r="4126" spans="1:15" x14ac:dyDescent="0.25">
      <c r="A4126" t="s">
        <v>3465</v>
      </c>
      <c r="B4126" t="s">
        <v>15</v>
      </c>
      <c r="C4126" t="s">
        <v>935</v>
      </c>
      <c r="D4126" t="s">
        <v>17</v>
      </c>
      <c r="E4126" t="s">
        <v>18</v>
      </c>
      <c r="F4126" t="s">
        <v>19</v>
      </c>
      <c r="G4126" t="s">
        <v>20</v>
      </c>
      <c r="J4126" t="s">
        <v>17</v>
      </c>
      <c r="K4126" t="str">
        <f>"6995411110148"</f>
        <v>6995411110148</v>
      </c>
      <c r="L4126" t="str">
        <f>"76554010"</f>
        <v>76554010</v>
      </c>
      <c r="M4126" t="s">
        <v>21</v>
      </c>
      <c r="N4126" s="1">
        <v>43890.611805555556</v>
      </c>
      <c r="O4126" t="s">
        <v>19</v>
      </c>
    </row>
    <row r="4127" spans="1:15" x14ac:dyDescent="0.25">
      <c r="A4127" t="s">
        <v>3466</v>
      </c>
      <c r="B4127" t="s">
        <v>15</v>
      </c>
      <c r="C4127" t="s">
        <v>935</v>
      </c>
      <c r="D4127" t="s">
        <v>17</v>
      </c>
      <c r="E4127" t="s">
        <v>18</v>
      </c>
      <c r="F4127" t="s">
        <v>19</v>
      </c>
      <c r="G4127" t="s">
        <v>20</v>
      </c>
      <c r="J4127" t="s">
        <v>17</v>
      </c>
      <c r="K4127" t="str">
        <f>"76551009"</f>
        <v>76551009</v>
      </c>
      <c r="L4127" t="str">
        <f>"76551009"</f>
        <v>76551009</v>
      </c>
      <c r="M4127" t="s">
        <v>21</v>
      </c>
      <c r="N4127" s="1">
        <v>43890.603472222225</v>
      </c>
      <c r="O4127" t="s">
        <v>19</v>
      </c>
    </row>
    <row r="4128" spans="1:15" x14ac:dyDescent="0.25">
      <c r="A4128" t="s">
        <v>3467</v>
      </c>
      <c r="B4128" t="s">
        <v>15</v>
      </c>
      <c r="C4128" t="s">
        <v>935</v>
      </c>
      <c r="D4128" t="s">
        <v>17</v>
      </c>
      <c r="E4128" t="s">
        <v>18</v>
      </c>
      <c r="F4128" t="s">
        <v>19</v>
      </c>
      <c r="G4128" t="s">
        <v>20</v>
      </c>
      <c r="J4128" t="s">
        <v>17</v>
      </c>
      <c r="K4128" t="str">
        <f>"6951613998472"</f>
        <v>6951613998472</v>
      </c>
      <c r="L4128" t="str">
        <f>"98551710"</f>
        <v>98551710</v>
      </c>
      <c r="M4128" t="s">
        <v>21</v>
      </c>
      <c r="N4128" s="1">
        <v>42872.849305555559</v>
      </c>
      <c r="O4128" t="s">
        <v>19</v>
      </c>
    </row>
    <row r="4129" spans="1:15" x14ac:dyDescent="0.25">
      <c r="A4129" t="s">
        <v>3468</v>
      </c>
      <c r="B4129" t="s">
        <v>15</v>
      </c>
      <c r="C4129" t="s">
        <v>935</v>
      </c>
      <c r="D4129" t="s">
        <v>17</v>
      </c>
      <c r="E4129" t="s">
        <v>18</v>
      </c>
      <c r="F4129" t="s">
        <v>19</v>
      </c>
      <c r="G4129" t="s">
        <v>20</v>
      </c>
      <c r="J4129" t="s">
        <v>17</v>
      </c>
      <c r="K4129" t="str">
        <f>"6954851286264"</f>
        <v>6954851286264</v>
      </c>
      <c r="L4129" t="str">
        <f>"68550088"</f>
        <v>68550088</v>
      </c>
      <c r="M4129" t="s">
        <v>84</v>
      </c>
      <c r="N4129" s="1">
        <v>43420.642361111109</v>
      </c>
      <c r="O4129" t="s">
        <v>19</v>
      </c>
    </row>
    <row r="4130" spans="1:15" x14ac:dyDescent="0.25">
      <c r="A4130" t="s">
        <v>3468</v>
      </c>
      <c r="B4130" t="s">
        <v>15</v>
      </c>
      <c r="C4130" t="s">
        <v>935</v>
      </c>
      <c r="D4130" t="s">
        <v>17</v>
      </c>
      <c r="E4130" t="s">
        <v>18</v>
      </c>
      <c r="F4130" t="s">
        <v>19</v>
      </c>
      <c r="G4130" t="s">
        <v>20</v>
      </c>
      <c r="J4130" t="s">
        <v>17</v>
      </c>
      <c r="K4130" t="str">
        <f>"6954851282532"</f>
        <v>6954851282532</v>
      </c>
      <c r="L4130" t="str">
        <f>"68550880"</f>
        <v>68550880</v>
      </c>
      <c r="M4130" t="s">
        <v>84</v>
      </c>
      <c r="N4130" s="1">
        <v>43420.642361111109</v>
      </c>
      <c r="O4130" t="s">
        <v>19</v>
      </c>
    </row>
    <row r="4131" spans="1:15" x14ac:dyDescent="0.25">
      <c r="A4131" t="s">
        <v>3469</v>
      </c>
      <c r="B4131" t="s">
        <v>15</v>
      </c>
      <c r="C4131" t="s">
        <v>935</v>
      </c>
      <c r="D4131" t="s">
        <v>17</v>
      </c>
      <c r="E4131" t="s">
        <v>18</v>
      </c>
      <c r="F4131" t="s">
        <v>19</v>
      </c>
      <c r="G4131" t="s">
        <v>20</v>
      </c>
      <c r="J4131" t="s">
        <v>17</v>
      </c>
      <c r="K4131" t="str">
        <f>"8944870155649"</f>
        <v>8944870155649</v>
      </c>
      <c r="L4131" t="str">
        <f>"8944870155656"</f>
        <v>8944870155656</v>
      </c>
      <c r="M4131" t="s">
        <v>21</v>
      </c>
      <c r="N4131" s="1">
        <v>42872.849305555559</v>
      </c>
      <c r="O4131" t="s">
        <v>19</v>
      </c>
    </row>
    <row r="4132" spans="1:15" x14ac:dyDescent="0.25">
      <c r="A4132" t="s">
        <v>3470</v>
      </c>
      <c r="B4132" t="s">
        <v>15</v>
      </c>
      <c r="C4132" t="s">
        <v>935</v>
      </c>
      <c r="D4132" t="s">
        <v>17</v>
      </c>
      <c r="E4132" t="s">
        <v>18</v>
      </c>
      <c r="F4132" t="s">
        <v>19</v>
      </c>
      <c r="G4132" t="s">
        <v>20</v>
      </c>
      <c r="J4132" t="s">
        <v>17</v>
      </c>
      <c r="K4132" t="str">
        <f>"10002966"</f>
        <v>10002966</v>
      </c>
      <c r="L4132" t="str">
        <f>"10002966"</f>
        <v>10002966</v>
      </c>
      <c r="M4132" t="s">
        <v>84</v>
      </c>
      <c r="N4132" s="1">
        <v>43384.727083333331</v>
      </c>
      <c r="O4132" t="s">
        <v>19</v>
      </c>
    </row>
    <row r="4133" spans="1:15" x14ac:dyDescent="0.25">
      <c r="A4133" t="s">
        <v>3471</v>
      </c>
      <c r="B4133" t="s">
        <v>15</v>
      </c>
      <c r="C4133" t="s">
        <v>935</v>
      </c>
      <c r="D4133" t="s">
        <v>17</v>
      </c>
      <c r="E4133" t="s">
        <v>18</v>
      </c>
      <c r="F4133" t="s">
        <v>19</v>
      </c>
      <c r="G4133" t="s">
        <v>20</v>
      </c>
      <c r="J4133" t="s">
        <v>17</v>
      </c>
      <c r="K4133" t="str">
        <f>"42700454"</f>
        <v>42700454</v>
      </c>
      <c r="L4133" t="str">
        <f>"42700454"</f>
        <v>42700454</v>
      </c>
      <c r="M4133" t="s">
        <v>75</v>
      </c>
      <c r="N4133" s="1">
        <v>42872.839583333334</v>
      </c>
      <c r="O4133" t="s">
        <v>19</v>
      </c>
    </row>
    <row r="4134" spans="1:15" x14ac:dyDescent="0.25">
      <c r="A4134" t="s">
        <v>3472</v>
      </c>
      <c r="B4134" t="s">
        <v>15</v>
      </c>
      <c r="C4134" t="s">
        <v>935</v>
      </c>
      <c r="D4134" t="s">
        <v>17</v>
      </c>
      <c r="E4134" t="s">
        <v>18</v>
      </c>
      <c r="F4134" t="s">
        <v>19</v>
      </c>
      <c r="G4134" t="s">
        <v>20</v>
      </c>
      <c r="J4134" t="s">
        <v>17</v>
      </c>
      <c r="K4134" t="str">
        <f>"7804625561037"</f>
        <v>7804625561037</v>
      </c>
      <c r="L4134" t="str">
        <f>"42700455"</f>
        <v>42700455</v>
      </c>
      <c r="M4134" t="s">
        <v>75</v>
      </c>
      <c r="N4134" s="1">
        <v>42952.729166666664</v>
      </c>
      <c r="O4134" t="s">
        <v>19</v>
      </c>
    </row>
    <row r="4135" spans="1:15" x14ac:dyDescent="0.25">
      <c r="A4135" t="s">
        <v>3473</v>
      </c>
      <c r="B4135" t="s">
        <v>15</v>
      </c>
      <c r="C4135" t="s">
        <v>935</v>
      </c>
      <c r="D4135" t="s">
        <v>17</v>
      </c>
      <c r="E4135" t="s">
        <v>18</v>
      </c>
      <c r="F4135" t="s">
        <v>19</v>
      </c>
      <c r="G4135" t="s">
        <v>20</v>
      </c>
      <c r="J4135" t="s">
        <v>17</v>
      </c>
      <c r="K4135" t="str">
        <f>"17011000"</f>
        <v>17011000</v>
      </c>
      <c r="L4135" t="str">
        <f>"17011000"</f>
        <v>17011000</v>
      </c>
      <c r="M4135" t="s">
        <v>75</v>
      </c>
      <c r="N4135" s="1">
        <v>42872.839583333334</v>
      </c>
      <c r="O4135" t="s">
        <v>19</v>
      </c>
    </row>
    <row r="4136" spans="1:15" x14ac:dyDescent="0.25">
      <c r="A4136" t="s">
        <v>3474</v>
      </c>
      <c r="B4136" t="s">
        <v>15</v>
      </c>
      <c r="C4136" t="s">
        <v>935</v>
      </c>
      <c r="D4136" t="s">
        <v>17</v>
      </c>
      <c r="E4136" t="s">
        <v>18</v>
      </c>
      <c r="F4136" t="s">
        <v>19</v>
      </c>
      <c r="G4136" t="s">
        <v>20</v>
      </c>
      <c r="J4136" t="s">
        <v>17</v>
      </c>
      <c r="K4136" t="str">
        <f>"10001329"</f>
        <v>10001329</v>
      </c>
      <c r="L4136" t="str">
        <f>"10001329"</f>
        <v>10001329</v>
      </c>
      <c r="M4136" t="s">
        <v>84</v>
      </c>
      <c r="N4136" s="1">
        <v>43496.61041666667</v>
      </c>
      <c r="O4136" t="s">
        <v>19</v>
      </c>
    </row>
    <row r="4137" spans="1:15" x14ac:dyDescent="0.25">
      <c r="A4137" t="s">
        <v>3475</v>
      </c>
      <c r="B4137" t="s">
        <v>15</v>
      </c>
      <c r="C4137" t="s">
        <v>935</v>
      </c>
      <c r="D4137" t="s">
        <v>17</v>
      </c>
      <c r="E4137" t="s">
        <v>18</v>
      </c>
      <c r="F4137" t="s">
        <v>19</v>
      </c>
      <c r="G4137" t="s">
        <v>20</v>
      </c>
      <c r="J4137" t="s">
        <v>17</v>
      </c>
      <c r="K4137" t="str">
        <f>"6925871628716"</f>
        <v>6925871628716</v>
      </c>
      <c r="L4137" t="str">
        <f>"22552871"</f>
        <v>22552871</v>
      </c>
      <c r="M4137" t="s">
        <v>84</v>
      </c>
      <c r="N4137" s="1">
        <v>43404.740972222222</v>
      </c>
      <c r="O4137" t="s">
        <v>19</v>
      </c>
    </row>
    <row r="4138" spans="1:15" x14ac:dyDescent="0.25">
      <c r="A4138" t="s">
        <v>3476</v>
      </c>
      <c r="B4138" t="s">
        <v>15</v>
      </c>
      <c r="C4138" t="s">
        <v>935</v>
      </c>
      <c r="D4138" t="s">
        <v>17</v>
      </c>
      <c r="E4138" t="s">
        <v>18</v>
      </c>
      <c r="F4138" t="s">
        <v>19</v>
      </c>
      <c r="G4138" t="s">
        <v>20</v>
      </c>
      <c r="J4138" t="s">
        <v>17</v>
      </c>
      <c r="K4138" t="str">
        <f>"22550005"</f>
        <v>22550005</v>
      </c>
      <c r="L4138" t="str">
        <f>"22550005"</f>
        <v>22550005</v>
      </c>
      <c r="M4138" t="s">
        <v>21</v>
      </c>
      <c r="N4138" s="1">
        <v>43707.794444444444</v>
      </c>
      <c r="O4138" t="s">
        <v>19</v>
      </c>
    </row>
    <row r="4139" spans="1:15" x14ac:dyDescent="0.25">
      <c r="A4139" t="s">
        <v>3477</v>
      </c>
      <c r="B4139" t="s">
        <v>15</v>
      </c>
      <c r="C4139" t="s">
        <v>935</v>
      </c>
      <c r="D4139" t="s">
        <v>17</v>
      </c>
      <c r="E4139" t="s">
        <v>18</v>
      </c>
      <c r="F4139" t="s">
        <v>19</v>
      </c>
      <c r="G4139" t="s">
        <v>20</v>
      </c>
      <c r="J4139" t="s">
        <v>17</v>
      </c>
      <c r="K4139" t="str">
        <f>"10002743"</f>
        <v>10002743</v>
      </c>
      <c r="L4139" t="str">
        <f>"10002743"</f>
        <v>10002743</v>
      </c>
      <c r="M4139" t="s">
        <v>75</v>
      </c>
      <c r="N4139" s="1">
        <v>42872.839583333334</v>
      </c>
      <c r="O4139" t="s">
        <v>19</v>
      </c>
    </row>
    <row r="4140" spans="1:15" x14ac:dyDescent="0.25">
      <c r="A4140" t="s">
        <v>3478</v>
      </c>
      <c r="B4140" t="s">
        <v>15</v>
      </c>
      <c r="C4140" t="s">
        <v>935</v>
      </c>
      <c r="D4140" t="s">
        <v>17</v>
      </c>
      <c r="E4140" t="s">
        <v>18</v>
      </c>
      <c r="F4140" t="s">
        <v>19</v>
      </c>
      <c r="G4140" t="s">
        <v>20</v>
      </c>
      <c r="J4140" t="s">
        <v>18</v>
      </c>
      <c r="K4140" t="str">
        <f>"6925871623025"</f>
        <v>6925871623025</v>
      </c>
      <c r="L4140" t="str">
        <f>"22552302"</f>
        <v>22552302</v>
      </c>
      <c r="M4140" t="s">
        <v>21</v>
      </c>
      <c r="N4140" s="1">
        <v>44296.786805555559</v>
      </c>
      <c r="O4140" t="s">
        <v>19</v>
      </c>
    </row>
    <row r="4141" spans="1:15" x14ac:dyDescent="0.25">
      <c r="A4141" t="s">
        <v>3479</v>
      </c>
      <c r="B4141" t="s">
        <v>15</v>
      </c>
      <c r="C4141" t="s">
        <v>935</v>
      </c>
      <c r="D4141" t="s">
        <v>17</v>
      </c>
      <c r="E4141" t="s">
        <v>18</v>
      </c>
      <c r="F4141" t="s">
        <v>19</v>
      </c>
      <c r="G4141" t="s">
        <v>20</v>
      </c>
      <c r="J4141" t="s">
        <v>17</v>
      </c>
      <c r="K4141" t="str">
        <f>"6925871623049"</f>
        <v>6925871623049</v>
      </c>
      <c r="L4141" t="str">
        <f>"22552304"</f>
        <v>22552304</v>
      </c>
      <c r="M4141" t="s">
        <v>21</v>
      </c>
      <c r="N4141" s="1">
        <v>44349.917361111111</v>
      </c>
      <c r="O4141" t="s">
        <v>19</v>
      </c>
    </row>
    <row r="4142" spans="1:15" x14ac:dyDescent="0.25">
      <c r="A4142" t="s">
        <v>3480</v>
      </c>
      <c r="B4142" t="s">
        <v>15</v>
      </c>
      <c r="C4142" t="s">
        <v>935</v>
      </c>
      <c r="D4142" t="s">
        <v>17</v>
      </c>
      <c r="E4142" t="s">
        <v>18</v>
      </c>
      <c r="F4142" t="s">
        <v>19</v>
      </c>
      <c r="G4142" t="s">
        <v>20</v>
      </c>
      <c r="J4142" t="s">
        <v>17</v>
      </c>
      <c r="K4142" t="str">
        <f>"87001563"</f>
        <v>87001563</v>
      </c>
      <c r="L4142" t="str">
        <f>"87001563"</f>
        <v>87001563</v>
      </c>
      <c r="M4142" t="s">
        <v>75</v>
      </c>
      <c r="N4142" s="1">
        <v>42872.847222222219</v>
      </c>
      <c r="O4142" t="s">
        <v>19</v>
      </c>
    </row>
    <row r="4143" spans="1:15" x14ac:dyDescent="0.25">
      <c r="A4143" t="s">
        <v>3481</v>
      </c>
      <c r="B4143" t="s">
        <v>15</v>
      </c>
      <c r="C4143" t="s">
        <v>935</v>
      </c>
      <c r="D4143" t="s">
        <v>17</v>
      </c>
      <c r="E4143" t="s">
        <v>18</v>
      </c>
      <c r="F4143" t="s">
        <v>19</v>
      </c>
      <c r="G4143" t="s">
        <v>20</v>
      </c>
      <c r="J4143" t="s">
        <v>17</v>
      </c>
      <c r="K4143" t="str">
        <f>"10552195"</f>
        <v>10552195</v>
      </c>
      <c r="L4143" t="str">
        <f>"10552195"</f>
        <v>10552195</v>
      </c>
      <c r="M4143" t="s">
        <v>75</v>
      </c>
      <c r="N4143" s="1">
        <v>43084.863194444442</v>
      </c>
      <c r="O4143" t="s">
        <v>19</v>
      </c>
    </row>
    <row r="4144" spans="1:15" x14ac:dyDescent="0.25">
      <c r="A4144" t="s">
        <v>3482</v>
      </c>
      <c r="B4144" t="s">
        <v>15</v>
      </c>
      <c r="C4144" t="s">
        <v>935</v>
      </c>
      <c r="D4144" t="s">
        <v>17</v>
      </c>
      <c r="E4144" t="s">
        <v>18</v>
      </c>
      <c r="F4144" t="s">
        <v>19</v>
      </c>
      <c r="G4144" t="s">
        <v>20</v>
      </c>
      <c r="J4144" t="s">
        <v>17</v>
      </c>
      <c r="K4144" t="str">
        <f>"10111121"</f>
        <v>10111121</v>
      </c>
      <c r="L4144" t="str">
        <f>"10111121"</f>
        <v>10111121</v>
      </c>
      <c r="M4144" t="s">
        <v>75</v>
      </c>
      <c r="N4144" s="1">
        <v>42872.839583333334</v>
      </c>
      <c r="O4144" t="s">
        <v>19</v>
      </c>
    </row>
    <row r="4145" spans="1:15" x14ac:dyDescent="0.25">
      <c r="A4145" t="s">
        <v>3483</v>
      </c>
      <c r="B4145" t="s">
        <v>15</v>
      </c>
      <c r="C4145" t="s">
        <v>935</v>
      </c>
      <c r="D4145" t="s">
        <v>17</v>
      </c>
      <c r="E4145" t="s">
        <v>18</v>
      </c>
      <c r="F4145" t="s">
        <v>19</v>
      </c>
      <c r="G4145" t="s">
        <v>20</v>
      </c>
      <c r="J4145" t="s">
        <v>17</v>
      </c>
      <c r="K4145" t="str">
        <f>"6954284088770"</f>
        <v>6954284088770</v>
      </c>
      <c r="L4145" t="str">
        <f>"34550066"</f>
        <v>34550066</v>
      </c>
      <c r="M4145" t="s">
        <v>84</v>
      </c>
      <c r="N4145" s="1">
        <v>43463.976388888892</v>
      </c>
      <c r="O4145" t="s">
        <v>19</v>
      </c>
    </row>
    <row r="4146" spans="1:15" x14ac:dyDescent="0.25">
      <c r="A4146" t="s">
        <v>3484</v>
      </c>
      <c r="B4146" t="s">
        <v>15</v>
      </c>
      <c r="C4146" t="s">
        <v>935</v>
      </c>
      <c r="D4146" t="s">
        <v>17</v>
      </c>
      <c r="E4146" t="s">
        <v>18</v>
      </c>
      <c r="F4146" t="s">
        <v>19</v>
      </c>
      <c r="G4146" t="s">
        <v>20</v>
      </c>
      <c r="J4146" t="s">
        <v>17</v>
      </c>
      <c r="K4146" t="str">
        <f>"10551268"</f>
        <v>10551268</v>
      </c>
      <c r="L4146" t="str">
        <f>"10551268"</f>
        <v>10551268</v>
      </c>
      <c r="M4146" t="s">
        <v>84</v>
      </c>
      <c r="N4146" s="1">
        <v>43377.63958333333</v>
      </c>
      <c r="O4146" t="s">
        <v>19</v>
      </c>
    </row>
    <row r="4147" spans="1:15" x14ac:dyDescent="0.25">
      <c r="A4147" t="s">
        <v>3485</v>
      </c>
      <c r="B4147" t="s">
        <v>15</v>
      </c>
      <c r="C4147" t="s">
        <v>935</v>
      </c>
      <c r="D4147" t="s">
        <v>17</v>
      </c>
      <c r="E4147" t="s">
        <v>18</v>
      </c>
      <c r="F4147" t="s">
        <v>19</v>
      </c>
      <c r="G4147" t="s">
        <v>20</v>
      </c>
      <c r="J4147" t="s">
        <v>17</v>
      </c>
      <c r="K4147" t="str">
        <f>"10003180"</f>
        <v>10003180</v>
      </c>
      <c r="L4147" t="str">
        <f>"10003180"</f>
        <v>10003180</v>
      </c>
      <c r="M4147" t="s">
        <v>21</v>
      </c>
      <c r="N4147" s="1">
        <v>43826.694444444445</v>
      </c>
      <c r="O4147" t="s">
        <v>19</v>
      </c>
    </row>
    <row r="4148" spans="1:15" x14ac:dyDescent="0.25">
      <c r="A4148" t="s">
        <v>3486</v>
      </c>
      <c r="B4148" t="s">
        <v>15</v>
      </c>
      <c r="C4148" t="s">
        <v>935</v>
      </c>
      <c r="D4148" t="s">
        <v>17</v>
      </c>
      <c r="E4148" t="s">
        <v>18</v>
      </c>
      <c r="F4148" t="s">
        <v>19</v>
      </c>
      <c r="G4148" t="s">
        <v>20</v>
      </c>
      <c r="J4148" t="s">
        <v>17</v>
      </c>
      <c r="K4148" t="str">
        <f>"10553646"</f>
        <v>10553646</v>
      </c>
      <c r="L4148" t="str">
        <f>"10553646"</f>
        <v>10553646</v>
      </c>
      <c r="M4148" t="s">
        <v>75</v>
      </c>
      <c r="N4148" s="1">
        <v>43146.890972222223</v>
      </c>
      <c r="O4148" t="s">
        <v>19</v>
      </c>
    </row>
    <row r="4149" spans="1:15" x14ac:dyDescent="0.25">
      <c r="A4149" t="s">
        <v>3487</v>
      </c>
      <c r="B4149" t="s">
        <v>15</v>
      </c>
      <c r="C4149" t="s">
        <v>935</v>
      </c>
      <c r="D4149" t="s">
        <v>17</v>
      </c>
      <c r="E4149" t="s">
        <v>18</v>
      </c>
      <c r="F4149" t="s">
        <v>19</v>
      </c>
      <c r="G4149" t="s">
        <v>20</v>
      </c>
      <c r="J4149" t="s">
        <v>17</v>
      </c>
      <c r="K4149" t="str">
        <f>"10003646"</f>
        <v>10003646</v>
      </c>
      <c r="L4149" t="str">
        <f>"10003646"</f>
        <v>10003646</v>
      </c>
      <c r="M4149" t="s">
        <v>75</v>
      </c>
      <c r="N4149" s="1">
        <v>42872.839583333334</v>
      </c>
      <c r="O4149" t="s">
        <v>19</v>
      </c>
    </row>
    <row r="4150" spans="1:15" x14ac:dyDescent="0.25">
      <c r="A4150" t="s">
        <v>3488</v>
      </c>
      <c r="B4150" t="s">
        <v>15</v>
      </c>
      <c r="C4150" t="s">
        <v>935</v>
      </c>
      <c r="D4150" t="s">
        <v>17</v>
      </c>
      <c r="E4150" t="s">
        <v>18</v>
      </c>
      <c r="F4150" t="s">
        <v>19</v>
      </c>
      <c r="G4150" t="s">
        <v>20</v>
      </c>
      <c r="J4150" t="s">
        <v>17</v>
      </c>
      <c r="K4150" t="str">
        <f>"8944870598613"</f>
        <v>8944870598613</v>
      </c>
      <c r="L4150" t="str">
        <f>"8755251211"</f>
        <v>8755251211</v>
      </c>
      <c r="M4150" t="s">
        <v>21</v>
      </c>
      <c r="N4150" s="1">
        <v>43853.64166666667</v>
      </c>
      <c r="O4150" t="s">
        <v>19</v>
      </c>
    </row>
    <row r="4151" spans="1:15" x14ac:dyDescent="0.25">
      <c r="A4151" t="s">
        <v>3489</v>
      </c>
      <c r="B4151" t="s">
        <v>15</v>
      </c>
      <c r="C4151" t="s">
        <v>935</v>
      </c>
      <c r="D4151" t="s">
        <v>17</v>
      </c>
      <c r="E4151" t="s">
        <v>18</v>
      </c>
      <c r="F4151" t="s">
        <v>19</v>
      </c>
      <c r="G4151" t="s">
        <v>20</v>
      </c>
      <c r="J4151" t="s">
        <v>17</v>
      </c>
      <c r="K4151" t="str">
        <f>"10011592"</f>
        <v>10011592</v>
      </c>
      <c r="L4151" t="str">
        <f>"10011592"</f>
        <v>10011592</v>
      </c>
      <c r="M4151" t="s">
        <v>75</v>
      </c>
      <c r="N4151" s="1">
        <v>43195.703472222223</v>
      </c>
      <c r="O4151" t="s">
        <v>19</v>
      </c>
    </row>
    <row r="4152" spans="1:15" x14ac:dyDescent="0.25">
      <c r="A4152" t="s">
        <v>3490</v>
      </c>
      <c r="B4152" t="s">
        <v>15</v>
      </c>
      <c r="C4152" t="s">
        <v>935</v>
      </c>
      <c r="D4152" t="s">
        <v>17</v>
      </c>
      <c r="E4152" t="s">
        <v>18</v>
      </c>
      <c r="F4152" t="s">
        <v>19</v>
      </c>
      <c r="G4152" t="s">
        <v>20</v>
      </c>
      <c r="J4152" t="s">
        <v>17</v>
      </c>
      <c r="K4152" t="str">
        <f>"10552675"</f>
        <v>10552675</v>
      </c>
      <c r="L4152" t="str">
        <f>"10552675"</f>
        <v>10552675</v>
      </c>
      <c r="M4152" t="s">
        <v>75</v>
      </c>
      <c r="N4152" s="1">
        <v>42965.904861111114</v>
      </c>
      <c r="O4152" t="s">
        <v>19</v>
      </c>
    </row>
    <row r="4153" spans="1:15" x14ac:dyDescent="0.25">
      <c r="A4153" t="s">
        <v>3491</v>
      </c>
      <c r="B4153" t="s">
        <v>15</v>
      </c>
      <c r="C4153" t="s">
        <v>935</v>
      </c>
      <c r="D4153" t="s">
        <v>17</v>
      </c>
      <c r="E4153" t="s">
        <v>18</v>
      </c>
      <c r="F4153" t="s">
        <v>19</v>
      </c>
      <c r="G4153" t="s">
        <v>20</v>
      </c>
      <c r="J4153" t="s">
        <v>17</v>
      </c>
      <c r="K4153" t="str">
        <f>"660028150"</f>
        <v>660028150</v>
      </c>
      <c r="L4153" t="str">
        <f>"660028150"</f>
        <v>660028150</v>
      </c>
      <c r="M4153" t="s">
        <v>75</v>
      </c>
      <c r="N4153" s="1">
        <v>42872.849305555559</v>
      </c>
      <c r="O4153" t="s">
        <v>19</v>
      </c>
    </row>
    <row r="4154" spans="1:15" x14ac:dyDescent="0.25">
      <c r="A4154" t="s">
        <v>3492</v>
      </c>
      <c r="B4154" t="s">
        <v>15</v>
      </c>
      <c r="C4154" t="s">
        <v>935</v>
      </c>
      <c r="D4154" t="s">
        <v>17</v>
      </c>
      <c r="E4154" t="s">
        <v>18</v>
      </c>
      <c r="F4154" t="s">
        <v>19</v>
      </c>
      <c r="G4154" t="s">
        <v>20</v>
      </c>
      <c r="J4154" t="s">
        <v>17</v>
      </c>
      <c r="K4154" t="str">
        <f>"25700564"</f>
        <v>25700564</v>
      </c>
      <c r="L4154" t="str">
        <f>"25700564"</f>
        <v>25700564</v>
      </c>
      <c r="M4154" t="s">
        <v>75</v>
      </c>
      <c r="N4154" s="1">
        <v>42872.839583333334</v>
      </c>
      <c r="O4154" t="s">
        <v>19</v>
      </c>
    </row>
    <row r="4155" spans="1:15" x14ac:dyDescent="0.25">
      <c r="A4155" t="s">
        <v>3493</v>
      </c>
      <c r="B4155" t="s">
        <v>15</v>
      </c>
      <c r="C4155" t="s">
        <v>935</v>
      </c>
      <c r="D4155" t="s">
        <v>17</v>
      </c>
      <c r="E4155" t="s">
        <v>18</v>
      </c>
      <c r="F4155" t="s">
        <v>19</v>
      </c>
      <c r="G4155" t="s">
        <v>20</v>
      </c>
      <c r="J4155" t="s">
        <v>17</v>
      </c>
      <c r="K4155" t="str">
        <f>"7858816054402"</f>
        <v>7858816054402</v>
      </c>
      <c r="L4155" t="str">
        <f>"87555440"</f>
        <v>87555440</v>
      </c>
      <c r="M4155" t="s">
        <v>21</v>
      </c>
      <c r="N4155" s="1">
        <v>44211.895833333336</v>
      </c>
      <c r="O4155" t="s">
        <v>19</v>
      </c>
    </row>
    <row r="4156" spans="1:15" x14ac:dyDescent="0.25">
      <c r="A4156" t="s">
        <v>3494</v>
      </c>
      <c r="B4156" t="s">
        <v>15</v>
      </c>
      <c r="C4156" t="s">
        <v>935</v>
      </c>
      <c r="D4156" t="s">
        <v>17</v>
      </c>
      <c r="E4156" t="s">
        <v>18</v>
      </c>
      <c r="F4156" t="s">
        <v>19</v>
      </c>
      <c r="G4156" t="s">
        <v>20</v>
      </c>
      <c r="J4156" t="s">
        <v>17</v>
      </c>
      <c r="K4156" t="str">
        <f>"8944870162111"</f>
        <v>8944870162111</v>
      </c>
      <c r="L4156" t="str">
        <f>"87552200332"</f>
        <v>87552200332</v>
      </c>
      <c r="M4156" t="s">
        <v>21</v>
      </c>
      <c r="N4156" s="1">
        <v>44356.665277777778</v>
      </c>
      <c r="O4156" t="s">
        <v>19</v>
      </c>
    </row>
    <row r="4157" spans="1:15" x14ac:dyDescent="0.25">
      <c r="A4157" t="s">
        <v>3495</v>
      </c>
      <c r="B4157" t="s">
        <v>15</v>
      </c>
      <c r="C4157" t="s">
        <v>935</v>
      </c>
      <c r="D4157" t="s">
        <v>17</v>
      </c>
      <c r="E4157" t="s">
        <v>18</v>
      </c>
      <c r="F4157" t="s">
        <v>19</v>
      </c>
      <c r="G4157" t="s">
        <v>20</v>
      </c>
      <c r="J4157" t="s">
        <v>17</v>
      </c>
      <c r="K4157" t="str">
        <f>"6971370620188"</f>
        <v>6971370620188</v>
      </c>
      <c r="L4157" t="str">
        <f>"10012461"</f>
        <v>10012461</v>
      </c>
      <c r="M4157" t="s">
        <v>21</v>
      </c>
      <c r="N4157" s="1">
        <v>43546.620138888888</v>
      </c>
      <c r="O4157" t="s">
        <v>19</v>
      </c>
    </row>
    <row r="4158" spans="1:15" x14ac:dyDescent="0.25">
      <c r="A4158" t="s">
        <v>3496</v>
      </c>
      <c r="B4158" t="s">
        <v>15</v>
      </c>
      <c r="C4158" t="s">
        <v>935</v>
      </c>
      <c r="D4158" t="s">
        <v>17</v>
      </c>
      <c r="E4158" t="s">
        <v>18</v>
      </c>
      <c r="F4158" t="s">
        <v>19</v>
      </c>
      <c r="G4158" t="s">
        <v>20</v>
      </c>
      <c r="J4158" t="s">
        <v>17</v>
      </c>
      <c r="K4158" t="str">
        <f>"76002800"</f>
        <v>76002800</v>
      </c>
      <c r="L4158" t="str">
        <f>"76002800"</f>
        <v>76002800</v>
      </c>
      <c r="M4158" t="s">
        <v>75</v>
      </c>
      <c r="N4158" s="1">
        <v>42872.847222222219</v>
      </c>
      <c r="O4158" t="s">
        <v>19</v>
      </c>
    </row>
    <row r="4159" spans="1:15" x14ac:dyDescent="0.25">
      <c r="A4159" t="s">
        <v>3497</v>
      </c>
      <c r="B4159" t="s">
        <v>15</v>
      </c>
      <c r="C4159" t="s">
        <v>935</v>
      </c>
      <c r="D4159" t="s">
        <v>17</v>
      </c>
      <c r="E4159" t="s">
        <v>18</v>
      </c>
      <c r="F4159" t="s">
        <v>19</v>
      </c>
      <c r="G4159" t="s">
        <v>20</v>
      </c>
      <c r="J4159" t="s">
        <v>17</v>
      </c>
      <c r="K4159" t="str">
        <f>"86003000"</f>
        <v>86003000</v>
      </c>
      <c r="L4159" t="str">
        <f>"86003000"</f>
        <v>86003000</v>
      </c>
      <c r="M4159" t="s">
        <v>75</v>
      </c>
      <c r="N4159" s="1">
        <v>42872.847222222219</v>
      </c>
      <c r="O4159" t="s">
        <v>19</v>
      </c>
    </row>
    <row r="4160" spans="1:15" x14ac:dyDescent="0.25">
      <c r="A4160" t="s">
        <v>3498</v>
      </c>
      <c r="B4160" t="s">
        <v>15</v>
      </c>
      <c r="C4160" t="s">
        <v>935</v>
      </c>
      <c r="D4160" t="s">
        <v>17</v>
      </c>
      <c r="E4160" t="s">
        <v>18</v>
      </c>
      <c r="F4160" t="s">
        <v>19</v>
      </c>
      <c r="G4160" t="s">
        <v>20</v>
      </c>
      <c r="J4160" t="s">
        <v>17</v>
      </c>
      <c r="K4160" t="str">
        <f>"86000000"</f>
        <v>86000000</v>
      </c>
      <c r="L4160" t="str">
        <f>"86000000"</f>
        <v>86000000</v>
      </c>
      <c r="M4160" t="s">
        <v>75</v>
      </c>
      <c r="N4160" s="1">
        <v>42872.847222222219</v>
      </c>
      <c r="O4160" t="s">
        <v>19</v>
      </c>
    </row>
    <row r="4161" spans="1:15" x14ac:dyDescent="0.25">
      <c r="A4161" t="s">
        <v>3499</v>
      </c>
      <c r="B4161" t="s">
        <v>15</v>
      </c>
      <c r="C4161" t="s">
        <v>935</v>
      </c>
      <c r="D4161" t="s">
        <v>17</v>
      </c>
      <c r="E4161" t="s">
        <v>18</v>
      </c>
      <c r="F4161" t="s">
        <v>19</v>
      </c>
      <c r="G4161" t="s">
        <v>20</v>
      </c>
      <c r="J4161" t="s">
        <v>17</v>
      </c>
      <c r="K4161" t="str">
        <f>"7858816066832"</f>
        <v>7858816066832</v>
      </c>
      <c r="L4161" t="str">
        <f>"87556683"</f>
        <v>87556683</v>
      </c>
      <c r="M4161" t="s">
        <v>21</v>
      </c>
      <c r="N4161" s="1">
        <v>43495.646527777775</v>
      </c>
      <c r="O4161" t="s">
        <v>19</v>
      </c>
    </row>
    <row r="4162" spans="1:15" x14ac:dyDescent="0.25">
      <c r="A4162" t="s">
        <v>3500</v>
      </c>
      <c r="B4162" t="s">
        <v>15</v>
      </c>
      <c r="C4162" t="s">
        <v>935</v>
      </c>
      <c r="D4162" t="s">
        <v>17</v>
      </c>
      <c r="E4162" t="s">
        <v>18</v>
      </c>
      <c r="F4162" t="s">
        <v>19</v>
      </c>
      <c r="G4162" t="s">
        <v>20</v>
      </c>
      <c r="J4162" t="s">
        <v>17</v>
      </c>
      <c r="K4162" t="str">
        <f>"1000001075785"</f>
        <v>1000001075785</v>
      </c>
      <c r="L4162" t="str">
        <f>"76554000"</f>
        <v>76554000</v>
      </c>
      <c r="M4162" t="s">
        <v>21</v>
      </c>
      <c r="N4162" s="1">
        <v>43609.977777777778</v>
      </c>
      <c r="O4162" t="s">
        <v>19</v>
      </c>
    </row>
    <row r="4163" spans="1:15" x14ac:dyDescent="0.25">
      <c r="A4163" t="s">
        <v>3501</v>
      </c>
      <c r="B4163" t="s">
        <v>15</v>
      </c>
      <c r="C4163" t="s">
        <v>935</v>
      </c>
      <c r="D4163" t="s">
        <v>17</v>
      </c>
      <c r="E4163" t="s">
        <v>18</v>
      </c>
      <c r="F4163" t="s">
        <v>19</v>
      </c>
      <c r="G4163" t="s">
        <v>20</v>
      </c>
      <c r="J4163" t="s">
        <v>17</v>
      </c>
      <c r="K4163" t="str">
        <f>"10011306"</f>
        <v>10011306</v>
      </c>
      <c r="L4163" t="str">
        <f>"10011306"</f>
        <v>10011306</v>
      </c>
      <c r="M4163" t="s">
        <v>84</v>
      </c>
      <c r="N4163" s="1">
        <v>43532.896527777775</v>
      </c>
      <c r="O4163" t="s">
        <v>19</v>
      </c>
    </row>
    <row r="4164" spans="1:15" x14ac:dyDescent="0.25">
      <c r="A4164" t="s">
        <v>3502</v>
      </c>
      <c r="B4164" t="s">
        <v>15</v>
      </c>
      <c r="C4164" t="s">
        <v>935</v>
      </c>
      <c r="D4164" t="s">
        <v>17</v>
      </c>
      <c r="E4164" t="s">
        <v>18</v>
      </c>
      <c r="F4164" t="s">
        <v>19</v>
      </c>
      <c r="G4164" t="s">
        <v>20</v>
      </c>
      <c r="J4164" t="s">
        <v>17</v>
      </c>
      <c r="K4164" t="str">
        <f>"86554800"</f>
        <v>86554800</v>
      </c>
      <c r="L4164" t="str">
        <f>"86554800"</f>
        <v>86554800</v>
      </c>
      <c r="M4164" t="s">
        <v>84</v>
      </c>
      <c r="N4164" s="1">
        <v>43260.802083333336</v>
      </c>
      <c r="O4164" t="s">
        <v>19</v>
      </c>
    </row>
    <row r="4165" spans="1:15" x14ac:dyDescent="0.25">
      <c r="A4165" t="s">
        <v>3503</v>
      </c>
      <c r="B4165" t="s">
        <v>15</v>
      </c>
      <c r="C4165" t="s">
        <v>935</v>
      </c>
      <c r="D4165" t="s">
        <v>17</v>
      </c>
      <c r="E4165" t="s">
        <v>18</v>
      </c>
      <c r="F4165" t="s">
        <v>19</v>
      </c>
      <c r="G4165" t="s">
        <v>20</v>
      </c>
      <c r="J4165" t="s">
        <v>17</v>
      </c>
      <c r="K4165" t="str">
        <f>"10000513"</f>
        <v>10000513</v>
      </c>
      <c r="L4165" t="str">
        <f>"10000513"</f>
        <v>10000513</v>
      </c>
      <c r="M4165" t="s">
        <v>84</v>
      </c>
      <c r="N4165" s="1">
        <v>42872.839583333334</v>
      </c>
      <c r="O4165" t="s">
        <v>19</v>
      </c>
    </row>
    <row r="4166" spans="1:15" x14ac:dyDescent="0.25">
      <c r="A4166" t="s">
        <v>3504</v>
      </c>
      <c r="B4166" t="s">
        <v>15</v>
      </c>
      <c r="C4166" t="s">
        <v>935</v>
      </c>
      <c r="D4166" t="s">
        <v>17</v>
      </c>
      <c r="E4166" t="s">
        <v>18</v>
      </c>
      <c r="F4166" t="s">
        <v>19</v>
      </c>
      <c r="G4166" t="s">
        <v>20</v>
      </c>
      <c r="J4166" t="s">
        <v>17</v>
      </c>
      <c r="K4166" t="str">
        <f>"7804625561013"</f>
        <v>7804625561013</v>
      </c>
      <c r="L4166" t="str">
        <f>"42700452"</f>
        <v>42700452</v>
      </c>
      <c r="M4166" t="s">
        <v>75</v>
      </c>
      <c r="N4166" s="1">
        <v>42872.839583333334</v>
      </c>
      <c r="O4166" t="s">
        <v>19</v>
      </c>
    </row>
    <row r="4167" spans="1:15" x14ac:dyDescent="0.25">
      <c r="A4167" t="s">
        <v>3504</v>
      </c>
      <c r="B4167" t="s">
        <v>15</v>
      </c>
      <c r="C4167" t="s">
        <v>935</v>
      </c>
      <c r="D4167" t="s">
        <v>17</v>
      </c>
      <c r="E4167" t="s">
        <v>18</v>
      </c>
      <c r="F4167" t="s">
        <v>19</v>
      </c>
      <c r="G4167" t="s">
        <v>20</v>
      </c>
      <c r="J4167" t="s">
        <v>17</v>
      </c>
      <c r="K4167" t="str">
        <f>"1000001075730"</f>
        <v>1000001075730</v>
      </c>
      <c r="L4167" t="str">
        <f>"76558682"</f>
        <v>76558682</v>
      </c>
      <c r="M4167" t="s">
        <v>21</v>
      </c>
      <c r="N4167" s="1">
        <v>43083.736805555556</v>
      </c>
      <c r="O4167" t="s">
        <v>19</v>
      </c>
    </row>
    <row r="4168" spans="1:15" x14ac:dyDescent="0.25">
      <c r="A4168" t="s">
        <v>3504</v>
      </c>
      <c r="B4168" t="s">
        <v>15</v>
      </c>
      <c r="C4168" t="s">
        <v>935</v>
      </c>
      <c r="D4168" t="s">
        <v>17</v>
      </c>
      <c r="E4168" t="s">
        <v>18</v>
      </c>
      <c r="F4168" t="s">
        <v>19</v>
      </c>
      <c r="G4168" t="s">
        <v>20</v>
      </c>
      <c r="J4168" t="s">
        <v>17</v>
      </c>
      <c r="K4168" t="str">
        <f>"76555500"</f>
        <v>76555500</v>
      </c>
      <c r="L4168" t="str">
        <f>"76555500"</f>
        <v>76555500</v>
      </c>
      <c r="M4168" t="s">
        <v>84</v>
      </c>
      <c r="N4168" s="1">
        <v>43567.979861111111</v>
      </c>
      <c r="O4168" t="s">
        <v>19</v>
      </c>
    </row>
    <row r="4169" spans="1:15" x14ac:dyDescent="0.25">
      <c r="A4169" t="s">
        <v>3505</v>
      </c>
      <c r="B4169" t="s">
        <v>15</v>
      </c>
      <c r="C4169" t="s">
        <v>935</v>
      </c>
      <c r="D4169" t="s">
        <v>17</v>
      </c>
      <c r="E4169" t="s">
        <v>18</v>
      </c>
      <c r="F4169" t="s">
        <v>19</v>
      </c>
      <c r="G4169" t="s">
        <v>20</v>
      </c>
      <c r="J4169" t="s">
        <v>17</v>
      </c>
      <c r="K4169" t="str">
        <f>"7804612213642"</f>
        <v>7804612213642</v>
      </c>
      <c r="L4169" t="str">
        <f>"98555000"</f>
        <v>98555000</v>
      </c>
      <c r="M4169" t="s">
        <v>21</v>
      </c>
      <c r="N4169" s="1">
        <v>43816.943749999999</v>
      </c>
      <c r="O4169" t="s">
        <v>19</v>
      </c>
    </row>
    <row r="4170" spans="1:15" x14ac:dyDescent="0.25">
      <c r="A4170" t="s">
        <v>3506</v>
      </c>
      <c r="B4170" t="s">
        <v>15</v>
      </c>
      <c r="C4170" t="s">
        <v>935</v>
      </c>
      <c r="D4170" t="s">
        <v>17</v>
      </c>
      <c r="E4170" t="s">
        <v>18</v>
      </c>
      <c r="F4170" t="s">
        <v>19</v>
      </c>
      <c r="G4170" t="s">
        <v>20</v>
      </c>
      <c r="J4170" t="s">
        <v>17</v>
      </c>
      <c r="K4170" t="str">
        <f>"7858816054310"</f>
        <v>7858816054310</v>
      </c>
      <c r="L4170" t="str">
        <f>"87555431"</f>
        <v>87555431</v>
      </c>
      <c r="M4170" t="s">
        <v>21</v>
      </c>
      <c r="N4170" s="1">
        <v>43853.643055555556</v>
      </c>
      <c r="O4170" t="s">
        <v>19</v>
      </c>
    </row>
    <row r="4171" spans="1:15" x14ac:dyDescent="0.25">
      <c r="A4171" t="s">
        <v>3507</v>
      </c>
      <c r="B4171" t="s">
        <v>15</v>
      </c>
      <c r="C4171" t="s">
        <v>935</v>
      </c>
      <c r="D4171" t="s">
        <v>17</v>
      </c>
      <c r="E4171" t="s">
        <v>18</v>
      </c>
      <c r="F4171" t="s">
        <v>19</v>
      </c>
      <c r="G4171" t="s">
        <v>20</v>
      </c>
      <c r="J4171" t="s">
        <v>17</v>
      </c>
      <c r="K4171" t="str">
        <f>"7858816057601"</f>
        <v>7858816057601</v>
      </c>
      <c r="L4171" t="str">
        <f>"87555760"</f>
        <v>87555760</v>
      </c>
      <c r="M4171" t="s">
        <v>21</v>
      </c>
      <c r="N4171" s="1">
        <v>44211.859722222223</v>
      </c>
      <c r="O4171" t="s">
        <v>19</v>
      </c>
    </row>
    <row r="4172" spans="1:15" x14ac:dyDescent="0.25">
      <c r="A4172" t="s">
        <v>3508</v>
      </c>
      <c r="B4172" t="s">
        <v>15</v>
      </c>
      <c r="C4172" t="s">
        <v>935</v>
      </c>
      <c r="D4172" t="s">
        <v>17</v>
      </c>
      <c r="E4172" t="s">
        <v>18</v>
      </c>
      <c r="F4172" t="s">
        <v>19</v>
      </c>
      <c r="G4172" t="s">
        <v>20</v>
      </c>
      <c r="J4172" t="s">
        <v>17</v>
      </c>
      <c r="K4172" t="str">
        <f>"7808748510750"</f>
        <v>7808748510750</v>
      </c>
      <c r="L4172" t="str">
        <f>"98555555"</f>
        <v>98555555</v>
      </c>
      <c r="M4172" t="s">
        <v>21</v>
      </c>
      <c r="N4172" s="1">
        <v>42872.849305555559</v>
      </c>
      <c r="O4172" t="s">
        <v>19</v>
      </c>
    </row>
    <row r="4173" spans="1:15" x14ac:dyDescent="0.25">
      <c r="A4173" t="s">
        <v>3509</v>
      </c>
      <c r="B4173" t="s">
        <v>15</v>
      </c>
      <c r="C4173" t="s">
        <v>935</v>
      </c>
      <c r="D4173" t="s">
        <v>17</v>
      </c>
      <c r="E4173" t="s">
        <v>18</v>
      </c>
      <c r="F4173" t="s">
        <v>19</v>
      </c>
      <c r="G4173" t="s">
        <v>20</v>
      </c>
      <c r="J4173" t="s">
        <v>17</v>
      </c>
      <c r="K4173" t="str">
        <f>"6923470012332"</f>
        <v>6923470012332</v>
      </c>
      <c r="L4173" t="str">
        <f>"76556000"</f>
        <v>76556000</v>
      </c>
      <c r="M4173" t="s">
        <v>21</v>
      </c>
      <c r="N4173" s="1">
        <v>42896.798611111109</v>
      </c>
      <c r="O4173" t="s">
        <v>19</v>
      </c>
    </row>
    <row r="4174" spans="1:15" x14ac:dyDescent="0.25">
      <c r="A4174" t="s">
        <v>3510</v>
      </c>
      <c r="B4174" t="s">
        <v>15</v>
      </c>
      <c r="C4174" t="s">
        <v>935</v>
      </c>
      <c r="D4174" t="s">
        <v>17</v>
      </c>
      <c r="E4174" t="s">
        <v>18</v>
      </c>
      <c r="F4174" t="s">
        <v>19</v>
      </c>
      <c r="G4174" t="s">
        <v>20</v>
      </c>
      <c r="J4174" t="s">
        <v>17</v>
      </c>
      <c r="K4174" t="str">
        <f>"6923470012660"</f>
        <v>6923470012660</v>
      </c>
      <c r="L4174" t="str">
        <f>"76550106"</f>
        <v>76550106</v>
      </c>
      <c r="M4174" t="s">
        <v>21</v>
      </c>
      <c r="N4174" s="1">
        <v>43798.661805555559</v>
      </c>
      <c r="O4174" t="s">
        <v>19</v>
      </c>
    </row>
    <row r="4175" spans="1:15" x14ac:dyDescent="0.25">
      <c r="A4175" t="s">
        <v>3511</v>
      </c>
      <c r="B4175" t="s">
        <v>15</v>
      </c>
      <c r="C4175" t="s">
        <v>935</v>
      </c>
      <c r="D4175" t="s">
        <v>17</v>
      </c>
      <c r="E4175" t="s">
        <v>18</v>
      </c>
      <c r="F4175" t="s">
        <v>19</v>
      </c>
      <c r="G4175" t="s">
        <v>20</v>
      </c>
      <c r="J4175" t="s">
        <v>17</v>
      </c>
      <c r="K4175" t="str">
        <f>"6988049846848"</f>
        <v>6988049846848</v>
      </c>
      <c r="L4175" t="str">
        <f>"76550020"</f>
        <v>76550020</v>
      </c>
      <c r="M4175" t="s">
        <v>21</v>
      </c>
      <c r="N4175" s="1">
        <v>43798.65902777778</v>
      </c>
      <c r="O4175" t="s">
        <v>19</v>
      </c>
    </row>
    <row r="4176" spans="1:15" x14ac:dyDescent="0.25">
      <c r="A4176" t="s">
        <v>3512</v>
      </c>
      <c r="B4176" t="s">
        <v>15</v>
      </c>
      <c r="C4176" t="s">
        <v>935</v>
      </c>
      <c r="D4176" t="s">
        <v>17</v>
      </c>
      <c r="E4176" t="s">
        <v>18</v>
      </c>
      <c r="F4176" t="s">
        <v>19</v>
      </c>
      <c r="G4176" t="s">
        <v>20</v>
      </c>
      <c r="J4176" t="s">
        <v>17</v>
      </c>
      <c r="K4176" t="str">
        <f>"5439102653459"</f>
        <v>5439102653459</v>
      </c>
      <c r="L4176" t="str">
        <f>"98552605"</f>
        <v>98552605</v>
      </c>
      <c r="M4176" t="s">
        <v>21</v>
      </c>
      <c r="N4176" s="1">
        <v>43279.784722222219</v>
      </c>
      <c r="O4176" t="s">
        <v>19</v>
      </c>
    </row>
    <row r="4177" spans="1:15" x14ac:dyDescent="0.25">
      <c r="A4177" t="s">
        <v>3513</v>
      </c>
      <c r="B4177" t="s">
        <v>15</v>
      </c>
      <c r="C4177" t="s">
        <v>935</v>
      </c>
      <c r="D4177" t="s">
        <v>17</v>
      </c>
      <c r="E4177" t="s">
        <v>18</v>
      </c>
      <c r="F4177" t="s">
        <v>19</v>
      </c>
      <c r="G4177" t="s">
        <v>20</v>
      </c>
      <c r="J4177" t="s">
        <v>17</v>
      </c>
      <c r="K4177" t="str">
        <f>"86555600"</f>
        <v>86555600</v>
      </c>
      <c r="L4177" t="str">
        <f>"86555600"</f>
        <v>86555600</v>
      </c>
      <c r="M4177" t="s">
        <v>75</v>
      </c>
      <c r="N4177" s="1">
        <v>42965.660416666666</v>
      </c>
      <c r="O4177" t="s">
        <v>19</v>
      </c>
    </row>
    <row r="4178" spans="1:15" x14ac:dyDescent="0.25">
      <c r="A4178" t="s">
        <v>3514</v>
      </c>
      <c r="B4178" t="s">
        <v>15</v>
      </c>
      <c r="C4178" t="s">
        <v>935</v>
      </c>
      <c r="D4178" t="s">
        <v>17</v>
      </c>
      <c r="E4178" t="s">
        <v>18</v>
      </c>
      <c r="F4178" t="s">
        <v>19</v>
      </c>
      <c r="G4178" t="s">
        <v>20</v>
      </c>
      <c r="J4178" t="s">
        <v>17</v>
      </c>
      <c r="K4178" t="str">
        <f>"6925871628440"</f>
        <v>6925871628440</v>
      </c>
      <c r="L4178" t="str">
        <f>"22552844"</f>
        <v>22552844</v>
      </c>
      <c r="M4178" t="s">
        <v>75</v>
      </c>
      <c r="N4178" s="1">
        <v>43146.65902777778</v>
      </c>
      <c r="O4178" t="s">
        <v>19</v>
      </c>
    </row>
    <row r="4179" spans="1:15" x14ac:dyDescent="0.25">
      <c r="A4179" t="s">
        <v>3515</v>
      </c>
      <c r="B4179" t="s">
        <v>15</v>
      </c>
      <c r="C4179" t="s">
        <v>935</v>
      </c>
      <c r="D4179" t="s">
        <v>17</v>
      </c>
      <c r="E4179" t="s">
        <v>18</v>
      </c>
      <c r="F4179" t="s">
        <v>19</v>
      </c>
      <c r="G4179" t="s">
        <v>20</v>
      </c>
      <c r="J4179" t="s">
        <v>17</v>
      </c>
      <c r="K4179" t="str">
        <f>"76006000"</f>
        <v>76006000</v>
      </c>
      <c r="L4179" t="str">
        <f>"76006000"</f>
        <v>76006000</v>
      </c>
      <c r="M4179" t="s">
        <v>75</v>
      </c>
      <c r="N4179" s="1">
        <v>42872.847222222219</v>
      </c>
      <c r="O4179" t="s">
        <v>19</v>
      </c>
    </row>
    <row r="4180" spans="1:15" x14ac:dyDescent="0.25">
      <c r="A4180" t="s">
        <v>3516</v>
      </c>
      <c r="B4180" t="s">
        <v>15</v>
      </c>
      <c r="C4180" t="s">
        <v>935</v>
      </c>
      <c r="D4180" t="s">
        <v>17</v>
      </c>
      <c r="E4180" t="s">
        <v>18</v>
      </c>
      <c r="F4180" t="s">
        <v>19</v>
      </c>
      <c r="G4180" t="s">
        <v>20</v>
      </c>
      <c r="J4180" t="s">
        <v>17</v>
      </c>
      <c r="K4180" t="str">
        <f>"7858816054983"</f>
        <v>7858816054983</v>
      </c>
      <c r="L4180" t="str">
        <f>"87125498"</f>
        <v>87125498</v>
      </c>
      <c r="M4180" t="s">
        <v>21</v>
      </c>
      <c r="N4180" s="1">
        <v>43603.774305555555</v>
      </c>
      <c r="O4180" t="s">
        <v>19</v>
      </c>
    </row>
    <row r="4181" spans="1:15" x14ac:dyDescent="0.25">
      <c r="A4181" t="s">
        <v>3517</v>
      </c>
      <c r="B4181" t="s">
        <v>15</v>
      </c>
      <c r="C4181" t="s">
        <v>935</v>
      </c>
      <c r="D4181" t="s">
        <v>17</v>
      </c>
      <c r="E4181" t="s">
        <v>18</v>
      </c>
      <c r="F4181" t="s">
        <v>19</v>
      </c>
      <c r="G4181" t="s">
        <v>20</v>
      </c>
      <c r="J4181" t="s">
        <v>17</v>
      </c>
      <c r="K4181" t="str">
        <f>"5439102659802"</f>
        <v>5439102659802</v>
      </c>
      <c r="L4181" t="str">
        <f>"98556000"</f>
        <v>98556000</v>
      </c>
      <c r="M4181" t="s">
        <v>21</v>
      </c>
      <c r="N4181" s="1">
        <v>42872.839583333334</v>
      </c>
      <c r="O4181" t="s">
        <v>19</v>
      </c>
    </row>
    <row r="4182" spans="1:15" x14ac:dyDescent="0.25">
      <c r="A4182" t="s">
        <v>3518</v>
      </c>
      <c r="B4182" t="s">
        <v>15</v>
      </c>
      <c r="C4182" t="s">
        <v>935</v>
      </c>
      <c r="D4182" t="s">
        <v>17</v>
      </c>
      <c r="E4182" t="s">
        <v>18</v>
      </c>
      <c r="F4182" t="s">
        <v>19</v>
      </c>
      <c r="G4182" t="s">
        <v>20</v>
      </c>
      <c r="J4182" t="s">
        <v>17</v>
      </c>
      <c r="K4182" t="str">
        <f>"8944870160438"</f>
        <v>8944870160438</v>
      </c>
      <c r="L4182" t="str">
        <f>"87550312"</f>
        <v>87550312</v>
      </c>
      <c r="M4182" t="s">
        <v>21</v>
      </c>
      <c r="N4182" s="1">
        <v>42969.609722222223</v>
      </c>
      <c r="O4182" t="s">
        <v>19</v>
      </c>
    </row>
    <row r="4183" spans="1:15" x14ac:dyDescent="0.25">
      <c r="A4183" t="s">
        <v>3519</v>
      </c>
      <c r="B4183" t="s">
        <v>15</v>
      </c>
      <c r="C4183" t="s">
        <v>935</v>
      </c>
      <c r="D4183" t="s">
        <v>17</v>
      </c>
      <c r="E4183" t="s">
        <v>18</v>
      </c>
      <c r="F4183" t="s">
        <v>19</v>
      </c>
      <c r="G4183" t="s">
        <v>20</v>
      </c>
      <c r="J4183" t="s">
        <v>17</v>
      </c>
      <c r="K4183" t="str">
        <f>"8944870159593"</f>
        <v>8944870159593</v>
      </c>
      <c r="L4183" t="str">
        <f>"87520301"</f>
        <v>87520301</v>
      </c>
      <c r="M4183" t="s">
        <v>21</v>
      </c>
      <c r="N4183" s="1">
        <v>44252.788194444445</v>
      </c>
      <c r="O4183" t="s">
        <v>19</v>
      </c>
    </row>
    <row r="4184" spans="1:15" x14ac:dyDescent="0.25">
      <c r="A4184" t="s">
        <v>3520</v>
      </c>
      <c r="B4184" t="s">
        <v>15</v>
      </c>
      <c r="C4184" t="s">
        <v>935</v>
      </c>
      <c r="D4184" t="s">
        <v>17</v>
      </c>
      <c r="E4184" t="s">
        <v>18</v>
      </c>
      <c r="F4184" t="s">
        <v>19</v>
      </c>
      <c r="G4184" t="s">
        <v>20</v>
      </c>
      <c r="J4184" t="s">
        <v>17</v>
      </c>
      <c r="K4184" t="str">
        <f>"8944870159609"</f>
        <v>8944870159609</v>
      </c>
      <c r="L4184" t="str">
        <f>"87520302"</f>
        <v>87520302</v>
      </c>
      <c r="M4184" t="s">
        <v>21</v>
      </c>
      <c r="N4184" s="1">
        <v>44252.787499999999</v>
      </c>
      <c r="O4184" t="s">
        <v>19</v>
      </c>
    </row>
    <row r="4185" spans="1:15" x14ac:dyDescent="0.25">
      <c r="A4185" t="s">
        <v>3521</v>
      </c>
      <c r="B4185" t="s">
        <v>15</v>
      </c>
      <c r="C4185" t="s">
        <v>935</v>
      </c>
      <c r="D4185" t="s">
        <v>17</v>
      </c>
      <c r="E4185" t="s">
        <v>18</v>
      </c>
      <c r="F4185" t="s">
        <v>19</v>
      </c>
      <c r="G4185" t="s">
        <v>20</v>
      </c>
      <c r="J4185" t="s">
        <v>17</v>
      </c>
      <c r="K4185" t="str">
        <f>"7858816054990"</f>
        <v>7858816054990</v>
      </c>
      <c r="L4185" t="str">
        <f>"87525499"</f>
        <v>87525499</v>
      </c>
      <c r="M4185" t="s">
        <v>21</v>
      </c>
      <c r="N4185" s="1">
        <v>42872.839583333334</v>
      </c>
      <c r="O4185" t="s">
        <v>19</v>
      </c>
    </row>
    <row r="4186" spans="1:15" x14ac:dyDescent="0.25">
      <c r="A4186" t="s">
        <v>3522</v>
      </c>
      <c r="B4186" t="s">
        <v>15</v>
      </c>
      <c r="C4186" t="s">
        <v>935</v>
      </c>
      <c r="D4186" t="s">
        <v>17</v>
      </c>
      <c r="E4186" t="s">
        <v>18</v>
      </c>
      <c r="F4186" t="s">
        <v>19</v>
      </c>
      <c r="G4186" t="s">
        <v>20</v>
      </c>
      <c r="J4186" t="s">
        <v>17</v>
      </c>
      <c r="K4186" t="str">
        <f>"76008000"</f>
        <v>76008000</v>
      </c>
      <c r="L4186" t="str">
        <f>"76008000"</f>
        <v>76008000</v>
      </c>
      <c r="M4186" t="s">
        <v>21</v>
      </c>
      <c r="N4186" s="1">
        <v>42872.847222222219</v>
      </c>
      <c r="O4186" t="s">
        <v>33</v>
      </c>
    </row>
    <row r="4187" spans="1:15" x14ac:dyDescent="0.25">
      <c r="A4187" t="s">
        <v>3523</v>
      </c>
      <c r="B4187" t="s">
        <v>15</v>
      </c>
      <c r="C4187" t="s">
        <v>935</v>
      </c>
      <c r="D4187" t="s">
        <v>17</v>
      </c>
      <c r="E4187" t="s">
        <v>18</v>
      </c>
      <c r="F4187" t="s">
        <v>19</v>
      </c>
      <c r="G4187" t="s">
        <v>20</v>
      </c>
      <c r="J4187" t="s">
        <v>17</v>
      </c>
      <c r="K4187" t="str">
        <f>"6925871621601"</f>
        <v>6925871621601</v>
      </c>
      <c r="L4187" t="str">
        <f>"22552160"</f>
        <v>22552160</v>
      </c>
      <c r="M4187" t="s">
        <v>75</v>
      </c>
      <c r="N4187" s="1">
        <v>43146.659722222219</v>
      </c>
      <c r="O4187" t="s">
        <v>19</v>
      </c>
    </row>
    <row r="4188" spans="1:15" x14ac:dyDescent="0.25">
      <c r="A4188" t="s">
        <v>3524</v>
      </c>
      <c r="B4188" t="s">
        <v>15</v>
      </c>
      <c r="C4188" t="s">
        <v>935</v>
      </c>
      <c r="D4188" t="s">
        <v>17</v>
      </c>
      <c r="E4188" t="s">
        <v>18</v>
      </c>
      <c r="F4188" t="s">
        <v>19</v>
      </c>
      <c r="G4188" t="s">
        <v>20</v>
      </c>
      <c r="J4188" t="s">
        <v>17</v>
      </c>
      <c r="K4188" t="str">
        <f>"7858816057588"</f>
        <v>7858816057588</v>
      </c>
      <c r="L4188" t="str">
        <f>"87555758"</f>
        <v>87555758</v>
      </c>
      <c r="M4188" t="s">
        <v>84</v>
      </c>
      <c r="N4188" s="1">
        <v>42872.847222222219</v>
      </c>
      <c r="O4188" t="s">
        <v>19</v>
      </c>
    </row>
    <row r="4189" spans="1:15" x14ac:dyDescent="0.25">
      <c r="A4189" t="s">
        <v>3525</v>
      </c>
      <c r="B4189" t="s">
        <v>15</v>
      </c>
      <c r="C4189" t="s">
        <v>935</v>
      </c>
      <c r="D4189" t="s">
        <v>17</v>
      </c>
      <c r="E4189" t="s">
        <v>18</v>
      </c>
      <c r="F4189" t="s">
        <v>19</v>
      </c>
      <c r="G4189" t="s">
        <v>20</v>
      </c>
      <c r="J4189" t="s">
        <v>17</v>
      </c>
      <c r="K4189" t="str">
        <f>"76558000"</f>
        <v>76558000</v>
      </c>
      <c r="L4189" t="str">
        <f>"76558000"</f>
        <v>76558000</v>
      </c>
      <c r="M4189" t="s">
        <v>75</v>
      </c>
      <c r="N4189" s="1">
        <v>42896.797222222223</v>
      </c>
      <c r="O4189" t="s">
        <v>19</v>
      </c>
    </row>
    <row r="4190" spans="1:15" x14ac:dyDescent="0.25">
      <c r="A4190" t="s">
        <v>3526</v>
      </c>
      <c r="B4190" t="s">
        <v>15</v>
      </c>
      <c r="C4190" t="s">
        <v>935</v>
      </c>
      <c r="D4190" t="s">
        <v>17</v>
      </c>
      <c r="E4190" t="s">
        <v>18</v>
      </c>
      <c r="F4190" t="s">
        <v>19</v>
      </c>
      <c r="G4190" t="s">
        <v>20</v>
      </c>
      <c r="J4190" t="s">
        <v>17</v>
      </c>
      <c r="K4190" t="str">
        <f>"1000001075778"</f>
        <v>1000001075778</v>
      </c>
      <c r="L4190" t="str">
        <f>"76558001"</f>
        <v>76558001</v>
      </c>
      <c r="M4190" t="s">
        <v>84</v>
      </c>
      <c r="N4190" s="1">
        <v>43567.980555555558</v>
      </c>
      <c r="O4190" t="s">
        <v>19</v>
      </c>
    </row>
    <row r="4191" spans="1:15" x14ac:dyDescent="0.25">
      <c r="A4191" t="s">
        <v>3527</v>
      </c>
      <c r="B4191" t="s">
        <v>15</v>
      </c>
      <c r="C4191" t="s">
        <v>935</v>
      </c>
      <c r="D4191" t="s">
        <v>17</v>
      </c>
      <c r="E4191" t="s">
        <v>18</v>
      </c>
      <c r="F4191" t="s">
        <v>19</v>
      </c>
      <c r="G4191" t="s">
        <v>20</v>
      </c>
      <c r="J4191" t="s">
        <v>17</v>
      </c>
      <c r="K4191" t="str">
        <f>"7804625561020"</f>
        <v>7804625561020</v>
      </c>
      <c r="L4191" t="str">
        <f>"42700453"</f>
        <v>42700453</v>
      </c>
      <c r="M4191" t="s">
        <v>75</v>
      </c>
      <c r="N4191" s="1">
        <v>42872.839583333334</v>
      </c>
      <c r="O4191" t="s">
        <v>19</v>
      </c>
    </row>
    <row r="4192" spans="1:15" x14ac:dyDescent="0.25">
      <c r="A4192" t="s">
        <v>3528</v>
      </c>
      <c r="B4192" t="s">
        <v>15</v>
      </c>
      <c r="C4192" t="s">
        <v>935</v>
      </c>
      <c r="D4192" t="s">
        <v>17</v>
      </c>
      <c r="E4192" t="s">
        <v>18</v>
      </c>
      <c r="F4192" t="s">
        <v>19</v>
      </c>
      <c r="G4192" t="s">
        <v>20</v>
      </c>
      <c r="J4192" t="s">
        <v>17</v>
      </c>
      <c r="K4192" t="str">
        <f>"10552931"</f>
        <v>10552931</v>
      </c>
      <c r="L4192" t="str">
        <f>"10552931"</f>
        <v>10552931</v>
      </c>
      <c r="M4192" t="s">
        <v>75</v>
      </c>
      <c r="N4192" s="1">
        <v>43097.870138888888</v>
      </c>
      <c r="O4192" t="s">
        <v>19</v>
      </c>
    </row>
    <row r="4193" spans="1:15" x14ac:dyDescent="0.25">
      <c r="A4193" t="s">
        <v>3529</v>
      </c>
      <c r="B4193" t="s">
        <v>15</v>
      </c>
      <c r="C4193" t="s">
        <v>935</v>
      </c>
      <c r="D4193" t="s">
        <v>17</v>
      </c>
      <c r="E4193" t="s">
        <v>18</v>
      </c>
      <c r="F4193" t="s">
        <v>19</v>
      </c>
      <c r="G4193" t="s">
        <v>20</v>
      </c>
      <c r="J4193" t="s">
        <v>17</v>
      </c>
      <c r="K4193" t="str">
        <f>"76010000"</f>
        <v>76010000</v>
      </c>
      <c r="L4193" t="str">
        <f>"76010000"</f>
        <v>76010000</v>
      </c>
      <c r="M4193" t="s">
        <v>75</v>
      </c>
      <c r="N4193" s="1">
        <v>42872.847222222219</v>
      </c>
      <c r="O4193" t="s">
        <v>19</v>
      </c>
    </row>
    <row r="4194" spans="1:15" x14ac:dyDescent="0.25">
      <c r="A4194" t="s">
        <v>3530</v>
      </c>
      <c r="B4194" t="s">
        <v>15</v>
      </c>
      <c r="C4194" t="s">
        <v>935</v>
      </c>
      <c r="D4194" t="s">
        <v>17</v>
      </c>
      <c r="E4194" t="s">
        <v>18</v>
      </c>
      <c r="F4194" t="s">
        <v>19</v>
      </c>
      <c r="G4194" t="s">
        <v>20</v>
      </c>
      <c r="J4194" t="s">
        <v>17</v>
      </c>
      <c r="K4194" t="str">
        <f>"25550522"</f>
        <v>25550522</v>
      </c>
      <c r="L4194" t="str">
        <f>"25550522"</f>
        <v>25550522</v>
      </c>
      <c r="M4194" t="s">
        <v>75</v>
      </c>
      <c r="N4194" s="1">
        <v>42872.839583333334</v>
      </c>
      <c r="O4194" t="s">
        <v>19</v>
      </c>
    </row>
    <row r="4195" spans="1:15" x14ac:dyDescent="0.25">
      <c r="A4195" t="s">
        <v>3531</v>
      </c>
      <c r="B4195" t="s">
        <v>15</v>
      </c>
      <c r="C4195" t="s">
        <v>935</v>
      </c>
      <c r="D4195" t="s">
        <v>17</v>
      </c>
      <c r="E4195" t="s">
        <v>18</v>
      </c>
      <c r="F4195" t="s">
        <v>19</v>
      </c>
      <c r="G4195" t="s">
        <v>20</v>
      </c>
      <c r="J4195" t="s">
        <v>17</v>
      </c>
      <c r="K4195" t="str">
        <f>"10553443"</f>
        <v>10553443</v>
      </c>
      <c r="L4195" t="str">
        <f>"10553443"</f>
        <v>10553443</v>
      </c>
      <c r="M4195" t="s">
        <v>75</v>
      </c>
      <c r="N4195" s="1">
        <v>43084.865972222222</v>
      </c>
      <c r="O4195" t="s">
        <v>19</v>
      </c>
    </row>
    <row r="4196" spans="1:15" x14ac:dyDescent="0.25">
      <c r="A4196" t="s">
        <v>3532</v>
      </c>
      <c r="B4196" t="s">
        <v>15</v>
      </c>
      <c r="C4196" t="s">
        <v>935</v>
      </c>
      <c r="D4196" t="s">
        <v>17</v>
      </c>
      <c r="E4196" t="s">
        <v>18</v>
      </c>
      <c r="F4196" t="s">
        <v>19</v>
      </c>
      <c r="G4196" t="s">
        <v>20</v>
      </c>
      <c r="J4196" t="s">
        <v>17</v>
      </c>
      <c r="K4196" t="str">
        <f>"66000139"</f>
        <v>66000139</v>
      </c>
      <c r="L4196" t="str">
        <f>"66000139"</f>
        <v>66000139</v>
      </c>
      <c r="M4196" t="s">
        <v>75</v>
      </c>
      <c r="N4196" s="1">
        <v>42872.839583333334</v>
      </c>
      <c r="O4196" t="s">
        <v>19</v>
      </c>
    </row>
    <row r="4197" spans="1:15" x14ac:dyDescent="0.25">
      <c r="A4197" t="s">
        <v>3533</v>
      </c>
      <c r="B4197" t="s">
        <v>15</v>
      </c>
      <c r="C4197" t="s">
        <v>935</v>
      </c>
      <c r="D4197" t="s">
        <v>17</v>
      </c>
      <c r="E4197" t="s">
        <v>18</v>
      </c>
      <c r="F4197" t="s">
        <v>19</v>
      </c>
      <c r="G4197" t="s">
        <v>20</v>
      </c>
      <c r="J4197" t="s">
        <v>17</v>
      </c>
      <c r="K4197" t="str">
        <f>"4710007722312"</f>
        <v>4710007722312</v>
      </c>
      <c r="L4197" t="str">
        <f>"65552312"</f>
        <v>65552312</v>
      </c>
      <c r="M4197" t="s">
        <v>75</v>
      </c>
      <c r="N4197" s="1">
        <v>43028.957638888889</v>
      </c>
      <c r="O4197" t="s">
        <v>19</v>
      </c>
    </row>
    <row r="4198" spans="1:15" x14ac:dyDescent="0.25">
      <c r="A4198" t="s">
        <v>3534</v>
      </c>
      <c r="B4198" t="s">
        <v>15</v>
      </c>
      <c r="C4198" t="s">
        <v>935</v>
      </c>
      <c r="D4198" t="s">
        <v>17</v>
      </c>
      <c r="E4198" t="s">
        <v>18</v>
      </c>
      <c r="F4198" t="s">
        <v>19</v>
      </c>
      <c r="G4198" t="s">
        <v>20</v>
      </c>
      <c r="J4198" t="s">
        <v>17</v>
      </c>
      <c r="K4198" t="str">
        <f>"110661822"</f>
        <v>110661822</v>
      </c>
      <c r="L4198" t="str">
        <f>"110661822"</f>
        <v>110661822</v>
      </c>
      <c r="M4198" t="s">
        <v>75</v>
      </c>
      <c r="N4198" s="1">
        <v>42872.847222222219</v>
      </c>
      <c r="O4198" t="s">
        <v>19</v>
      </c>
    </row>
    <row r="4199" spans="1:15" x14ac:dyDescent="0.25">
      <c r="A4199" t="s">
        <v>3535</v>
      </c>
      <c r="B4199" t="s">
        <v>15</v>
      </c>
      <c r="C4199" t="s">
        <v>935</v>
      </c>
      <c r="D4199" t="s">
        <v>17</v>
      </c>
      <c r="E4199" t="s">
        <v>18</v>
      </c>
      <c r="F4199" t="s">
        <v>19</v>
      </c>
      <c r="G4199" t="s">
        <v>20</v>
      </c>
      <c r="J4199" t="s">
        <v>17</v>
      </c>
      <c r="K4199" t="str">
        <f>"6971393450403"</f>
        <v>6971393450403</v>
      </c>
      <c r="L4199" t="str">
        <f>"40550403"</f>
        <v>40550403</v>
      </c>
      <c r="M4199" t="s">
        <v>21</v>
      </c>
      <c r="N4199" s="1">
        <v>44349.690972222219</v>
      </c>
      <c r="O4199" t="s">
        <v>19</v>
      </c>
    </row>
    <row r="4200" spans="1:15" x14ac:dyDescent="0.25">
      <c r="A4200" t="s">
        <v>3536</v>
      </c>
      <c r="B4200" t="s">
        <v>15</v>
      </c>
      <c r="C4200" t="s">
        <v>37</v>
      </c>
      <c r="D4200" t="s">
        <v>17</v>
      </c>
      <c r="E4200" t="s">
        <v>18</v>
      </c>
      <c r="F4200" t="s">
        <v>19</v>
      </c>
      <c r="G4200" t="s">
        <v>20</v>
      </c>
      <c r="J4200" t="s">
        <v>17</v>
      </c>
      <c r="K4200" t="str">
        <f>"98520001"</f>
        <v>98520001</v>
      </c>
      <c r="L4200" t="str">
        <f>"98520001"</f>
        <v>98520001</v>
      </c>
      <c r="M4200" t="s">
        <v>84</v>
      </c>
      <c r="N4200" s="1">
        <v>43350.849305555559</v>
      </c>
      <c r="O4200" t="s">
        <v>19</v>
      </c>
    </row>
    <row r="4201" spans="1:15" x14ac:dyDescent="0.25">
      <c r="A4201" t="s">
        <v>3537</v>
      </c>
      <c r="B4201" t="s">
        <v>15</v>
      </c>
      <c r="C4201" t="s">
        <v>64</v>
      </c>
      <c r="D4201" t="s">
        <v>17</v>
      </c>
      <c r="E4201" t="s">
        <v>18</v>
      </c>
      <c r="F4201" t="s">
        <v>19</v>
      </c>
      <c r="G4201" t="s">
        <v>20</v>
      </c>
      <c r="J4201" t="s">
        <v>17</v>
      </c>
      <c r="K4201" t="str">
        <f>"6952634501139"</f>
        <v>6952634501139</v>
      </c>
      <c r="L4201" t="str">
        <f>"10001711"</f>
        <v>10001711</v>
      </c>
      <c r="M4201" t="s">
        <v>84</v>
      </c>
      <c r="N4201" s="1">
        <v>43447.620138888888</v>
      </c>
      <c r="O4201" t="s">
        <v>19</v>
      </c>
    </row>
    <row r="4202" spans="1:15" x14ac:dyDescent="0.25">
      <c r="A4202" t="s">
        <v>3538</v>
      </c>
      <c r="B4202" t="s">
        <v>15</v>
      </c>
      <c r="C4202" t="s">
        <v>37</v>
      </c>
      <c r="D4202" t="s">
        <v>17</v>
      </c>
      <c r="E4202" t="s">
        <v>18</v>
      </c>
      <c r="F4202" t="s">
        <v>19</v>
      </c>
      <c r="G4202" t="s">
        <v>20</v>
      </c>
      <c r="J4202" t="s">
        <v>17</v>
      </c>
      <c r="K4202" t="str">
        <f>"5620009160687"</f>
        <v>5620009160687</v>
      </c>
      <c r="L4202" t="str">
        <f>"2852916068"</f>
        <v>2852916068</v>
      </c>
      <c r="M4202" t="s">
        <v>21</v>
      </c>
      <c r="N4202" s="1">
        <v>43649.686805555553</v>
      </c>
      <c r="O4202" t="s">
        <v>19</v>
      </c>
    </row>
    <row r="4203" spans="1:15" x14ac:dyDescent="0.25">
      <c r="A4203" t="s">
        <v>3539</v>
      </c>
      <c r="B4203" t="s">
        <v>15</v>
      </c>
      <c r="C4203" t="s">
        <v>37</v>
      </c>
      <c r="D4203" t="s">
        <v>17</v>
      </c>
      <c r="E4203" t="s">
        <v>18</v>
      </c>
      <c r="F4203" t="s">
        <v>19</v>
      </c>
      <c r="G4203" t="s">
        <v>20</v>
      </c>
      <c r="J4203" t="s">
        <v>17</v>
      </c>
      <c r="K4203" t="str">
        <f>"85521000"</f>
        <v>85521000</v>
      </c>
      <c r="L4203" t="str">
        <f>"85521000"</f>
        <v>85521000</v>
      </c>
      <c r="M4203" t="s">
        <v>84</v>
      </c>
      <c r="N4203" s="1">
        <v>43347.836805555555</v>
      </c>
      <c r="O4203" t="s">
        <v>19</v>
      </c>
    </row>
    <row r="4204" spans="1:15" x14ac:dyDescent="0.25">
      <c r="A4204" t="s">
        <v>3540</v>
      </c>
      <c r="B4204" t="s">
        <v>15</v>
      </c>
      <c r="C4204" t="s">
        <v>2074</v>
      </c>
      <c r="D4204" t="s">
        <v>17</v>
      </c>
      <c r="E4204" t="s">
        <v>18</v>
      </c>
      <c r="F4204" t="s">
        <v>19</v>
      </c>
      <c r="G4204" t="s">
        <v>20</v>
      </c>
      <c r="J4204" t="s">
        <v>17</v>
      </c>
      <c r="K4204" t="str">
        <f>"7858816015267"</f>
        <v>7858816015267</v>
      </c>
      <c r="L4204" t="str">
        <f>"87001526"</f>
        <v>87001526</v>
      </c>
      <c r="M4204" t="s">
        <v>75</v>
      </c>
      <c r="N4204" s="1">
        <v>42872.847222222219</v>
      </c>
      <c r="O4204" t="s">
        <v>19</v>
      </c>
    </row>
    <row r="4205" spans="1:15" x14ac:dyDescent="0.25">
      <c r="A4205" t="s">
        <v>3541</v>
      </c>
      <c r="B4205" t="s">
        <v>15</v>
      </c>
      <c r="C4205" t="s">
        <v>37</v>
      </c>
      <c r="D4205" t="s">
        <v>17</v>
      </c>
      <c r="E4205" t="s">
        <v>18</v>
      </c>
      <c r="F4205" t="s">
        <v>19</v>
      </c>
      <c r="G4205" t="s">
        <v>20</v>
      </c>
      <c r="J4205" t="s">
        <v>17</v>
      </c>
      <c r="K4205" t="str">
        <f>"39940700"</f>
        <v>39940700</v>
      </c>
      <c r="L4205" t="str">
        <f>"39940700"</f>
        <v>39940700</v>
      </c>
      <c r="M4205" t="s">
        <v>21</v>
      </c>
      <c r="N4205" s="1">
        <v>44352.646527777775</v>
      </c>
      <c r="O4205" t="s">
        <v>19</v>
      </c>
    </row>
    <row r="4206" spans="1:15" x14ac:dyDescent="0.25">
      <c r="A4206" t="s">
        <v>3542</v>
      </c>
      <c r="B4206" t="s">
        <v>15</v>
      </c>
      <c r="C4206" t="s">
        <v>37</v>
      </c>
      <c r="D4206" t="s">
        <v>17</v>
      </c>
      <c r="E4206" t="s">
        <v>18</v>
      </c>
      <c r="F4206" t="s">
        <v>19</v>
      </c>
      <c r="G4206" t="s">
        <v>20</v>
      </c>
      <c r="J4206" t="s">
        <v>17</v>
      </c>
      <c r="K4206" t="str">
        <f>"7858816074189"</f>
        <v>7858816074189</v>
      </c>
      <c r="L4206" t="str">
        <f>"87527418"</f>
        <v>87527418</v>
      </c>
      <c r="M4206" t="s">
        <v>21</v>
      </c>
      <c r="N4206" s="1">
        <v>43463.703472222223</v>
      </c>
      <c r="O4206" t="s">
        <v>19</v>
      </c>
    </row>
    <row r="4207" spans="1:15" x14ac:dyDescent="0.25">
      <c r="A4207" t="s">
        <v>3543</v>
      </c>
      <c r="B4207" t="s">
        <v>15</v>
      </c>
      <c r="C4207" t="s">
        <v>217</v>
      </c>
      <c r="D4207" t="s">
        <v>17</v>
      </c>
      <c r="E4207" t="s">
        <v>18</v>
      </c>
      <c r="F4207" t="s">
        <v>19</v>
      </c>
      <c r="G4207" t="s">
        <v>20</v>
      </c>
      <c r="J4207" t="s">
        <v>17</v>
      </c>
      <c r="K4207" t="str">
        <f>"2019080958215"</f>
        <v>2019080958215</v>
      </c>
      <c r="L4207" t="str">
        <f>"18525820"</f>
        <v>18525820</v>
      </c>
      <c r="M4207" t="s">
        <v>21</v>
      </c>
      <c r="N4207" s="1">
        <v>43146.826388888891</v>
      </c>
      <c r="O4207" t="s">
        <v>19</v>
      </c>
    </row>
    <row r="4208" spans="1:15" x14ac:dyDescent="0.25">
      <c r="A4208" t="s">
        <v>3544</v>
      </c>
      <c r="B4208" t="s">
        <v>15</v>
      </c>
      <c r="C4208" t="s">
        <v>164</v>
      </c>
      <c r="D4208" t="s">
        <v>17</v>
      </c>
      <c r="E4208" t="s">
        <v>18</v>
      </c>
      <c r="F4208" t="s">
        <v>19</v>
      </c>
      <c r="G4208" t="s">
        <v>20</v>
      </c>
      <c r="J4208" t="s">
        <v>17</v>
      </c>
      <c r="K4208" t="str">
        <f>"76521000"</f>
        <v>76521000</v>
      </c>
      <c r="L4208" t="str">
        <f>"76521000"</f>
        <v>76521000</v>
      </c>
      <c r="M4208" t="s">
        <v>21</v>
      </c>
      <c r="N4208" s="1">
        <v>42872.839583333334</v>
      </c>
      <c r="O4208" t="s">
        <v>19</v>
      </c>
    </row>
    <row r="4209" spans="1:15" x14ac:dyDescent="0.25">
      <c r="A4209" t="s">
        <v>3545</v>
      </c>
      <c r="B4209" t="s">
        <v>15</v>
      </c>
      <c r="C4209" t="s">
        <v>37</v>
      </c>
      <c r="D4209" t="s">
        <v>17</v>
      </c>
      <c r="E4209" t="s">
        <v>18</v>
      </c>
      <c r="F4209" t="s">
        <v>19</v>
      </c>
      <c r="G4209" t="s">
        <v>20</v>
      </c>
      <c r="J4209" t="s">
        <v>17</v>
      </c>
      <c r="K4209" t="str">
        <f>"10005685"</f>
        <v>10005685</v>
      </c>
      <c r="L4209" t="str">
        <f>"10005685"</f>
        <v>10005685</v>
      </c>
      <c r="M4209" t="s">
        <v>84</v>
      </c>
      <c r="N4209" s="1">
        <v>43446.95</v>
      </c>
      <c r="O4209" t="s">
        <v>19</v>
      </c>
    </row>
    <row r="4210" spans="1:15" x14ac:dyDescent="0.25">
      <c r="A4210" t="s">
        <v>3546</v>
      </c>
      <c r="B4210" t="s">
        <v>15</v>
      </c>
      <c r="C4210" t="s">
        <v>37</v>
      </c>
      <c r="D4210" t="s">
        <v>17</v>
      </c>
      <c r="E4210" t="s">
        <v>18</v>
      </c>
      <c r="F4210" t="s">
        <v>19</v>
      </c>
      <c r="G4210" t="s">
        <v>20</v>
      </c>
      <c r="J4210" t="s">
        <v>17</v>
      </c>
      <c r="K4210" t="str">
        <f>"7858816012358"</f>
        <v>7858816012358</v>
      </c>
      <c r="L4210" t="str">
        <f>"87521235"</f>
        <v>87521235</v>
      </c>
      <c r="M4210" t="s">
        <v>21</v>
      </c>
      <c r="N4210" s="1">
        <v>42872.839583333334</v>
      </c>
      <c r="O4210" t="s">
        <v>19</v>
      </c>
    </row>
    <row r="4211" spans="1:15" x14ac:dyDescent="0.25">
      <c r="A4211" t="s">
        <v>3547</v>
      </c>
      <c r="B4211" t="s">
        <v>15</v>
      </c>
      <c r="C4211" t="s">
        <v>37</v>
      </c>
      <c r="D4211" t="s">
        <v>17</v>
      </c>
      <c r="E4211" t="s">
        <v>18</v>
      </c>
      <c r="F4211" t="s">
        <v>19</v>
      </c>
      <c r="G4211" t="s">
        <v>20</v>
      </c>
      <c r="J4211" t="s">
        <v>17</v>
      </c>
      <c r="K4211" t="str">
        <f>"10008512"</f>
        <v>10008512</v>
      </c>
      <c r="L4211" t="str">
        <f>"10008512"</f>
        <v>10008512</v>
      </c>
      <c r="M4211" t="s">
        <v>84</v>
      </c>
      <c r="N4211" s="1">
        <v>43463.835416666669</v>
      </c>
      <c r="O4211" t="s">
        <v>19</v>
      </c>
    </row>
    <row r="4212" spans="1:15" x14ac:dyDescent="0.25">
      <c r="A4212" t="s">
        <v>3548</v>
      </c>
      <c r="B4212" t="s">
        <v>15</v>
      </c>
      <c r="C4212" t="s">
        <v>37</v>
      </c>
      <c r="D4212" t="s">
        <v>17</v>
      </c>
      <c r="E4212" t="s">
        <v>18</v>
      </c>
      <c r="F4212" t="s">
        <v>19</v>
      </c>
      <c r="G4212" t="s">
        <v>20</v>
      </c>
      <c r="J4212" t="s">
        <v>18</v>
      </c>
      <c r="K4212" t="str">
        <f>"10001077"</f>
        <v>10001077</v>
      </c>
      <c r="L4212" t="str">
        <f>"10001077"</f>
        <v>10001077</v>
      </c>
      <c r="M4212" t="s">
        <v>21</v>
      </c>
      <c r="N4212" s="1">
        <v>43788.714583333334</v>
      </c>
      <c r="O4212" t="s">
        <v>19</v>
      </c>
    </row>
    <row r="4213" spans="1:15" x14ac:dyDescent="0.25">
      <c r="A4213" t="s">
        <v>3549</v>
      </c>
      <c r="B4213" t="s">
        <v>15</v>
      </c>
      <c r="C4213" t="s">
        <v>37</v>
      </c>
      <c r="D4213" t="s">
        <v>17</v>
      </c>
      <c r="E4213" t="s">
        <v>18</v>
      </c>
      <c r="F4213" t="s">
        <v>19</v>
      </c>
      <c r="G4213" t="s">
        <v>20</v>
      </c>
      <c r="J4213" t="s">
        <v>18</v>
      </c>
      <c r="K4213" t="str">
        <f>"10111869"</f>
        <v>10111869</v>
      </c>
      <c r="L4213" t="str">
        <f>"10111869"</f>
        <v>10111869</v>
      </c>
      <c r="M4213" t="s">
        <v>21</v>
      </c>
      <c r="N4213" s="1">
        <v>43788.717361111114</v>
      </c>
      <c r="O4213" t="s">
        <v>19</v>
      </c>
    </row>
    <row r="4214" spans="1:15" x14ac:dyDescent="0.25">
      <c r="A4214" t="s">
        <v>3550</v>
      </c>
      <c r="B4214" t="s">
        <v>15</v>
      </c>
      <c r="C4214" t="s">
        <v>2481</v>
      </c>
      <c r="D4214" t="s">
        <v>17</v>
      </c>
      <c r="E4214" t="s">
        <v>18</v>
      </c>
      <c r="F4214" t="s">
        <v>33</v>
      </c>
      <c r="G4214" t="s">
        <v>20</v>
      </c>
      <c r="J4214" t="s">
        <v>17</v>
      </c>
      <c r="K4214" t="str">
        <f>"18384046"</f>
        <v>18384046</v>
      </c>
      <c r="L4214" t="str">
        <f>"18384046"</f>
        <v>18384046</v>
      </c>
      <c r="M4214" t="s">
        <v>75</v>
      </c>
      <c r="N4214" s="1">
        <v>43033.930555555555</v>
      </c>
      <c r="O4214" t="s">
        <v>33</v>
      </c>
    </row>
    <row r="4215" spans="1:15" x14ac:dyDescent="0.25">
      <c r="A4215" t="s">
        <v>3551</v>
      </c>
      <c r="B4215" t="s">
        <v>15</v>
      </c>
      <c r="C4215" t="s">
        <v>941</v>
      </c>
      <c r="D4215" t="s">
        <v>17</v>
      </c>
      <c r="E4215" t="s">
        <v>18</v>
      </c>
      <c r="F4215" t="s">
        <v>19</v>
      </c>
      <c r="G4215" t="s">
        <v>20</v>
      </c>
      <c r="J4215" t="s">
        <v>17</v>
      </c>
      <c r="K4215" t="str">
        <f>"80003636"</f>
        <v>80003636</v>
      </c>
      <c r="L4215" t="str">
        <f>"80003636"</f>
        <v>80003636</v>
      </c>
      <c r="M4215" t="s">
        <v>75</v>
      </c>
      <c r="N4215" s="1">
        <v>42872.847222222219</v>
      </c>
      <c r="O4215" t="s">
        <v>19</v>
      </c>
    </row>
    <row r="4216" spans="1:15" x14ac:dyDescent="0.25">
      <c r="A4216" t="s">
        <v>3552</v>
      </c>
      <c r="B4216" t="s">
        <v>15</v>
      </c>
      <c r="C4216" t="s">
        <v>941</v>
      </c>
      <c r="D4216" t="s">
        <v>17</v>
      </c>
      <c r="E4216" t="s">
        <v>18</v>
      </c>
      <c r="F4216" t="s">
        <v>19</v>
      </c>
      <c r="G4216" t="s">
        <v>20</v>
      </c>
      <c r="J4216" t="s">
        <v>17</v>
      </c>
      <c r="K4216" t="str">
        <f>"80003397"</f>
        <v>80003397</v>
      </c>
      <c r="L4216" t="str">
        <f>"80003397"</f>
        <v>80003397</v>
      </c>
      <c r="M4216" t="s">
        <v>75</v>
      </c>
      <c r="N4216" s="1">
        <v>42872.847222222219</v>
      </c>
      <c r="O4216" t="s">
        <v>19</v>
      </c>
    </row>
    <row r="4217" spans="1:15" x14ac:dyDescent="0.25">
      <c r="A4217" t="s">
        <v>3553</v>
      </c>
      <c r="B4217" t="s">
        <v>15</v>
      </c>
      <c r="C4217" t="s">
        <v>941</v>
      </c>
      <c r="D4217" t="s">
        <v>17</v>
      </c>
      <c r="E4217" t="s">
        <v>18</v>
      </c>
      <c r="F4217" t="s">
        <v>19</v>
      </c>
      <c r="G4217" t="s">
        <v>20</v>
      </c>
      <c r="J4217" t="s">
        <v>17</v>
      </c>
      <c r="K4217" t="str">
        <f>"80003659"</f>
        <v>80003659</v>
      </c>
      <c r="L4217" t="str">
        <f>"80003659"</f>
        <v>80003659</v>
      </c>
      <c r="M4217" t="s">
        <v>75</v>
      </c>
      <c r="N4217" s="1">
        <v>42872.847222222219</v>
      </c>
      <c r="O4217" t="s">
        <v>19</v>
      </c>
    </row>
    <row r="4218" spans="1:15" x14ac:dyDescent="0.25">
      <c r="A4218" t="s">
        <v>3554</v>
      </c>
      <c r="B4218" t="s">
        <v>15</v>
      </c>
      <c r="C4218" t="s">
        <v>941</v>
      </c>
      <c r="D4218" t="s">
        <v>17</v>
      </c>
      <c r="E4218" t="s">
        <v>18</v>
      </c>
      <c r="F4218" t="s">
        <v>19</v>
      </c>
      <c r="G4218" t="s">
        <v>20</v>
      </c>
      <c r="J4218" t="s">
        <v>17</v>
      </c>
      <c r="K4218" t="str">
        <f>"80003688"</f>
        <v>80003688</v>
      </c>
      <c r="L4218" t="str">
        <f>"80003688"</f>
        <v>80003688</v>
      </c>
      <c r="M4218" t="s">
        <v>75</v>
      </c>
      <c r="N4218" s="1">
        <v>42872.847222222219</v>
      </c>
      <c r="O4218" t="s">
        <v>19</v>
      </c>
    </row>
    <row r="4219" spans="1:15" x14ac:dyDescent="0.25">
      <c r="A4219" t="s">
        <v>3555</v>
      </c>
      <c r="B4219" t="s">
        <v>15</v>
      </c>
      <c r="C4219" t="s">
        <v>941</v>
      </c>
      <c r="D4219" t="s">
        <v>17</v>
      </c>
      <c r="E4219" t="s">
        <v>18</v>
      </c>
      <c r="F4219" t="s">
        <v>19</v>
      </c>
      <c r="G4219" t="s">
        <v>20</v>
      </c>
      <c r="J4219" t="s">
        <v>17</v>
      </c>
      <c r="K4219" t="str">
        <f>"80002856"</f>
        <v>80002856</v>
      </c>
      <c r="L4219" t="str">
        <f>"80002856"</f>
        <v>80002856</v>
      </c>
      <c r="M4219" t="s">
        <v>75</v>
      </c>
      <c r="N4219" s="1">
        <v>42872.847222222219</v>
      </c>
      <c r="O4219" t="s">
        <v>19</v>
      </c>
    </row>
    <row r="4220" spans="1:15" x14ac:dyDescent="0.25">
      <c r="A4220" t="s">
        <v>3556</v>
      </c>
      <c r="B4220" t="s">
        <v>15</v>
      </c>
      <c r="C4220" t="s">
        <v>941</v>
      </c>
      <c r="D4220" t="s">
        <v>17</v>
      </c>
      <c r="E4220" t="s">
        <v>18</v>
      </c>
      <c r="F4220" t="s">
        <v>19</v>
      </c>
      <c r="G4220" t="s">
        <v>20</v>
      </c>
      <c r="J4220" t="s">
        <v>17</v>
      </c>
      <c r="K4220" t="str">
        <f>"853700869"</f>
        <v>853700869</v>
      </c>
      <c r="L4220" t="str">
        <f>"853700869"</f>
        <v>853700869</v>
      </c>
      <c r="M4220" t="s">
        <v>75</v>
      </c>
      <c r="N4220" s="1">
        <v>42872.849305555559</v>
      </c>
      <c r="O4220" t="s">
        <v>19</v>
      </c>
    </row>
    <row r="4221" spans="1:15" x14ac:dyDescent="0.25">
      <c r="A4221" t="s">
        <v>3557</v>
      </c>
      <c r="B4221" t="s">
        <v>15</v>
      </c>
      <c r="C4221" t="s">
        <v>941</v>
      </c>
      <c r="D4221" t="s">
        <v>17</v>
      </c>
      <c r="E4221" t="s">
        <v>18</v>
      </c>
      <c r="F4221" t="s">
        <v>19</v>
      </c>
      <c r="G4221" t="s">
        <v>20</v>
      </c>
      <c r="J4221" t="s">
        <v>17</v>
      </c>
      <c r="K4221" t="str">
        <f>"94002443"</f>
        <v>94002443</v>
      </c>
      <c r="L4221" t="str">
        <f>"94002443"</f>
        <v>94002443</v>
      </c>
      <c r="M4221" t="s">
        <v>75</v>
      </c>
      <c r="N4221" s="1">
        <v>42872.847222222219</v>
      </c>
      <c r="O4221" t="s">
        <v>19</v>
      </c>
    </row>
    <row r="4222" spans="1:15" x14ac:dyDescent="0.25">
      <c r="A4222" t="s">
        <v>3558</v>
      </c>
      <c r="B4222" t="s">
        <v>15</v>
      </c>
      <c r="C4222" t="s">
        <v>941</v>
      </c>
      <c r="D4222" t="s">
        <v>17</v>
      </c>
      <c r="E4222" t="s">
        <v>18</v>
      </c>
      <c r="F4222" t="s">
        <v>19</v>
      </c>
      <c r="G4222" t="s">
        <v>20</v>
      </c>
      <c r="J4222" t="s">
        <v>17</v>
      </c>
      <c r="K4222" t="str">
        <f>"80003714"</f>
        <v>80003714</v>
      </c>
      <c r="L4222" t="str">
        <f>"80003714"</f>
        <v>80003714</v>
      </c>
      <c r="M4222" t="s">
        <v>75</v>
      </c>
      <c r="N4222" s="1">
        <v>42872.847222222219</v>
      </c>
      <c r="O4222" t="s">
        <v>19</v>
      </c>
    </row>
    <row r="4223" spans="1:15" x14ac:dyDescent="0.25">
      <c r="A4223" t="s">
        <v>3559</v>
      </c>
      <c r="B4223" t="s">
        <v>15</v>
      </c>
      <c r="C4223" t="s">
        <v>941</v>
      </c>
      <c r="D4223" t="s">
        <v>17</v>
      </c>
      <c r="E4223" t="s">
        <v>18</v>
      </c>
      <c r="F4223" t="s">
        <v>19</v>
      </c>
      <c r="G4223" t="s">
        <v>20</v>
      </c>
      <c r="J4223" t="s">
        <v>17</v>
      </c>
      <c r="K4223" t="str">
        <f>"6925871624930"</f>
        <v>6925871624930</v>
      </c>
      <c r="L4223" t="str">
        <f>"22072493"</f>
        <v>22072493</v>
      </c>
      <c r="M4223" t="s">
        <v>84</v>
      </c>
      <c r="N4223" s="1">
        <v>43314.72152777778</v>
      </c>
      <c r="O4223" t="s">
        <v>19</v>
      </c>
    </row>
    <row r="4224" spans="1:15" x14ac:dyDescent="0.25">
      <c r="A4224" t="s">
        <v>3560</v>
      </c>
      <c r="B4224" t="s">
        <v>15</v>
      </c>
      <c r="C4224" t="s">
        <v>937</v>
      </c>
      <c r="D4224" t="s">
        <v>17</v>
      </c>
      <c r="E4224" t="s">
        <v>18</v>
      </c>
      <c r="F4224" t="s">
        <v>19</v>
      </c>
      <c r="G4224" t="s">
        <v>20</v>
      </c>
      <c r="J4224" t="s">
        <v>17</v>
      </c>
      <c r="K4224" t="str">
        <f>"10000252"</f>
        <v>10000252</v>
      </c>
      <c r="L4224" t="str">
        <f>"10000252"</f>
        <v>10000252</v>
      </c>
      <c r="M4224" t="s">
        <v>21</v>
      </c>
      <c r="N4224" s="1">
        <v>43893.665277777778</v>
      </c>
      <c r="O4224" t="s">
        <v>19</v>
      </c>
    </row>
    <row r="4225" spans="1:15" x14ac:dyDescent="0.25">
      <c r="A4225" t="s">
        <v>3561</v>
      </c>
      <c r="B4225" t="s">
        <v>15</v>
      </c>
      <c r="C4225" t="s">
        <v>941</v>
      </c>
      <c r="D4225" t="s">
        <v>17</v>
      </c>
      <c r="E4225" t="s">
        <v>18</v>
      </c>
      <c r="F4225" t="s">
        <v>19</v>
      </c>
      <c r="G4225" t="s">
        <v>20</v>
      </c>
      <c r="J4225" t="s">
        <v>17</v>
      </c>
      <c r="K4225" t="str">
        <f>"6925871626033"</f>
        <v>6925871626033</v>
      </c>
      <c r="L4225" t="str">
        <f>"22072603"</f>
        <v>22072603</v>
      </c>
      <c r="M4225" t="s">
        <v>75</v>
      </c>
      <c r="N4225" s="1">
        <v>42941.645138888889</v>
      </c>
      <c r="O4225" t="s">
        <v>19</v>
      </c>
    </row>
    <row r="4226" spans="1:15" x14ac:dyDescent="0.25">
      <c r="A4226" t="s">
        <v>3562</v>
      </c>
      <c r="B4226" t="s">
        <v>15</v>
      </c>
      <c r="C4226" t="s">
        <v>937</v>
      </c>
      <c r="D4226" t="s">
        <v>17</v>
      </c>
      <c r="E4226" t="s">
        <v>18</v>
      </c>
      <c r="F4226" t="s">
        <v>19</v>
      </c>
      <c r="G4226" t="s">
        <v>20</v>
      </c>
      <c r="J4226" t="s">
        <v>17</v>
      </c>
      <c r="K4226" t="str">
        <f>"6925871617123"</f>
        <v>6925871617123</v>
      </c>
      <c r="L4226" t="str">
        <f>"22071712"</f>
        <v>22071712</v>
      </c>
      <c r="M4226" t="s">
        <v>75</v>
      </c>
      <c r="N4226" s="1">
        <v>43013.585416666669</v>
      </c>
      <c r="O4226" t="s">
        <v>19</v>
      </c>
    </row>
    <row r="4227" spans="1:15" x14ac:dyDescent="0.25">
      <c r="A4227" t="s">
        <v>3563</v>
      </c>
      <c r="B4227" t="s">
        <v>15</v>
      </c>
      <c r="C4227" t="s">
        <v>941</v>
      </c>
      <c r="D4227" t="s">
        <v>17</v>
      </c>
      <c r="E4227" t="s">
        <v>18</v>
      </c>
      <c r="F4227" t="s">
        <v>19</v>
      </c>
      <c r="G4227" t="s">
        <v>20</v>
      </c>
      <c r="J4227" t="s">
        <v>17</v>
      </c>
      <c r="K4227" t="str">
        <f>"6925871618632"</f>
        <v>6925871618632</v>
      </c>
      <c r="L4227" t="str">
        <f>"22071863"</f>
        <v>22071863</v>
      </c>
      <c r="M4227" t="s">
        <v>75</v>
      </c>
      <c r="N4227" s="1">
        <v>42875.736805555556</v>
      </c>
      <c r="O4227" t="s">
        <v>19</v>
      </c>
    </row>
    <row r="4228" spans="1:15" x14ac:dyDescent="0.25">
      <c r="A4228" t="s">
        <v>3564</v>
      </c>
      <c r="B4228" t="s">
        <v>15</v>
      </c>
      <c r="C4228" t="s">
        <v>941</v>
      </c>
      <c r="D4228" t="s">
        <v>17</v>
      </c>
      <c r="E4228" t="s">
        <v>18</v>
      </c>
      <c r="F4228" t="s">
        <v>19</v>
      </c>
      <c r="G4228" t="s">
        <v>20</v>
      </c>
      <c r="J4228" t="s">
        <v>17</v>
      </c>
      <c r="K4228" t="str">
        <f>"6925871621632"</f>
        <v>6925871621632</v>
      </c>
      <c r="L4228" t="str">
        <f>"22072163"</f>
        <v>22072163</v>
      </c>
      <c r="M4228" t="s">
        <v>75</v>
      </c>
      <c r="N4228" s="1">
        <v>42875.734722222223</v>
      </c>
      <c r="O4228" t="s">
        <v>19</v>
      </c>
    </row>
    <row r="4229" spans="1:15" x14ac:dyDescent="0.25">
      <c r="A4229" t="s">
        <v>3565</v>
      </c>
      <c r="B4229" t="s">
        <v>15</v>
      </c>
      <c r="C4229" t="s">
        <v>941</v>
      </c>
      <c r="D4229" t="s">
        <v>17</v>
      </c>
      <c r="E4229" t="s">
        <v>18</v>
      </c>
      <c r="F4229" t="s">
        <v>19</v>
      </c>
      <c r="G4229" t="s">
        <v>20</v>
      </c>
      <c r="J4229" t="s">
        <v>17</v>
      </c>
      <c r="K4229" t="str">
        <f>"6925871622530"</f>
        <v>6925871622530</v>
      </c>
      <c r="L4229" t="str">
        <f>"22072253"</f>
        <v>22072253</v>
      </c>
      <c r="M4229" t="s">
        <v>75</v>
      </c>
      <c r="N4229" s="1">
        <v>42875.739583333336</v>
      </c>
      <c r="O4229" t="s">
        <v>19</v>
      </c>
    </row>
    <row r="4230" spans="1:15" x14ac:dyDescent="0.25">
      <c r="A4230" t="s">
        <v>3566</v>
      </c>
      <c r="B4230" t="s">
        <v>15</v>
      </c>
      <c r="C4230" t="s">
        <v>941</v>
      </c>
      <c r="D4230" t="s">
        <v>17</v>
      </c>
      <c r="E4230" t="s">
        <v>18</v>
      </c>
      <c r="F4230" t="s">
        <v>19</v>
      </c>
      <c r="G4230" t="s">
        <v>20</v>
      </c>
      <c r="J4230" t="s">
        <v>17</v>
      </c>
      <c r="K4230" t="str">
        <f>"6925871625531"</f>
        <v>6925871625531</v>
      </c>
      <c r="L4230" t="str">
        <f>"22072553"</f>
        <v>22072553</v>
      </c>
      <c r="M4230" t="s">
        <v>75</v>
      </c>
      <c r="N4230" s="1">
        <v>42875.73333333333</v>
      </c>
      <c r="O4230" t="s">
        <v>19</v>
      </c>
    </row>
    <row r="4231" spans="1:15" x14ac:dyDescent="0.25">
      <c r="A4231" t="s">
        <v>3567</v>
      </c>
      <c r="B4231" t="s">
        <v>15</v>
      </c>
      <c r="C4231" t="s">
        <v>941</v>
      </c>
      <c r="D4231" t="s">
        <v>17</v>
      </c>
      <c r="E4231" t="s">
        <v>18</v>
      </c>
      <c r="F4231" t="s">
        <v>19</v>
      </c>
      <c r="G4231" t="s">
        <v>20</v>
      </c>
      <c r="J4231" t="s">
        <v>17</v>
      </c>
      <c r="K4231" t="str">
        <f>"22002560"</f>
        <v>22002560</v>
      </c>
      <c r="L4231" t="str">
        <f>"22002560"</f>
        <v>22002560</v>
      </c>
      <c r="M4231" t="s">
        <v>75</v>
      </c>
      <c r="N4231" s="1">
        <v>42872.839583333334</v>
      </c>
      <c r="O4231" t="s">
        <v>19</v>
      </c>
    </row>
    <row r="4232" spans="1:15" x14ac:dyDescent="0.25">
      <c r="A4232" t="s">
        <v>3568</v>
      </c>
      <c r="B4232" t="s">
        <v>15</v>
      </c>
      <c r="C4232" t="s">
        <v>941</v>
      </c>
      <c r="D4232" t="s">
        <v>17</v>
      </c>
      <c r="E4232" t="s">
        <v>18</v>
      </c>
      <c r="F4232" t="s">
        <v>19</v>
      </c>
      <c r="G4232" t="s">
        <v>20</v>
      </c>
      <c r="J4232" t="s">
        <v>17</v>
      </c>
      <c r="K4232" t="str">
        <f>"22002561"</f>
        <v>22002561</v>
      </c>
      <c r="L4232" t="str">
        <f>"22002561"</f>
        <v>22002561</v>
      </c>
      <c r="M4232" t="s">
        <v>75</v>
      </c>
      <c r="N4232" s="1">
        <v>42872.839583333334</v>
      </c>
      <c r="O4232" t="s">
        <v>19</v>
      </c>
    </row>
    <row r="4233" spans="1:15" x14ac:dyDescent="0.25">
      <c r="A4233" t="s">
        <v>3569</v>
      </c>
      <c r="B4233" t="s">
        <v>15</v>
      </c>
      <c r="C4233" t="s">
        <v>941</v>
      </c>
      <c r="D4233" t="s">
        <v>17</v>
      </c>
      <c r="E4233" t="s">
        <v>18</v>
      </c>
      <c r="F4233" t="s">
        <v>19</v>
      </c>
      <c r="G4233" t="s">
        <v>20</v>
      </c>
      <c r="J4233" t="s">
        <v>17</v>
      </c>
      <c r="K4233" t="str">
        <f>"6925871625654"</f>
        <v>6925871625654</v>
      </c>
      <c r="L4233" t="str">
        <f>"22072565"</f>
        <v>22072565</v>
      </c>
      <c r="M4233" t="s">
        <v>75</v>
      </c>
      <c r="N4233" s="1">
        <v>42881.873611111114</v>
      </c>
      <c r="O4233" t="s">
        <v>19</v>
      </c>
    </row>
    <row r="4234" spans="1:15" x14ac:dyDescent="0.25">
      <c r="A4234" t="s">
        <v>3570</v>
      </c>
      <c r="B4234" t="s">
        <v>15</v>
      </c>
      <c r="C4234" t="s">
        <v>941</v>
      </c>
      <c r="D4234" t="s">
        <v>17</v>
      </c>
      <c r="E4234" t="s">
        <v>18</v>
      </c>
      <c r="F4234" t="s">
        <v>19</v>
      </c>
      <c r="G4234" t="s">
        <v>20</v>
      </c>
      <c r="J4234" t="s">
        <v>17</v>
      </c>
      <c r="K4234" t="str">
        <f>"66440445"</f>
        <v>66440445</v>
      </c>
      <c r="L4234" t="str">
        <f>"66440445"</f>
        <v>66440445</v>
      </c>
      <c r="M4234" t="s">
        <v>75</v>
      </c>
      <c r="N4234" s="1">
        <v>42872.847222222219</v>
      </c>
      <c r="O4234" t="s">
        <v>19</v>
      </c>
    </row>
    <row r="4235" spans="1:15" x14ac:dyDescent="0.25">
      <c r="A4235" t="s">
        <v>3571</v>
      </c>
      <c r="B4235" t="s">
        <v>15</v>
      </c>
      <c r="C4235" t="s">
        <v>941</v>
      </c>
      <c r="D4235" t="s">
        <v>17</v>
      </c>
      <c r="E4235" t="s">
        <v>18</v>
      </c>
      <c r="F4235" t="s">
        <v>19</v>
      </c>
      <c r="G4235" t="s">
        <v>20</v>
      </c>
      <c r="J4235" t="s">
        <v>17</v>
      </c>
      <c r="K4235" t="str">
        <f>"10001320"</f>
        <v>10001320</v>
      </c>
      <c r="L4235" t="str">
        <f>"10001320"</f>
        <v>10001320</v>
      </c>
      <c r="M4235" t="s">
        <v>75</v>
      </c>
      <c r="N4235" s="1">
        <v>42872.839583333334</v>
      </c>
      <c r="O4235" t="s">
        <v>19</v>
      </c>
    </row>
    <row r="4236" spans="1:15" x14ac:dyDescent="0.25">
      <c r="A4236" t="s">
        <v>3572</v>
      </c>
      <c r="B4236" t="s">
        <v>15</v>
      </c>
      <c r="C4236" t="s">
        <v>941</v>
      </c>
      <c r="D4236" t="s">
        <v>17</v>
      </c>
      <c r="E4236" t="s">
        <v>18</v>
      </c>
      <c r="F4236" t="s">
        <v>19</v>
      </c>
      <c r="G4236" t="s">
        <v>20</v>
      </c>
      <c r="J4236" t="s">
        <v>17</v>
      </c>
      <c r="K4236" t="str">
        <f>"6925871615617"</f>
        <v>6925871615617</v>
      </c>
      <c r="L4236" t="str">
        <f>"22071561"</f>
        <v>22071561</v>
      </c>
      <c r="M4236" t="s">
        <v>75</v>
      </c>
      <c r="N4236" s="1">
        <v>42872.839583333334</v>
      </c>
      <c r="O4236" t="s">
        <v>19</v>
      </c>
    </row>
    <row r="4237" spans="1:15" x14ac:dyDescent="0.25">
      <c r="A4237" t="s">
        <v>3573</v>
      </c>
      <c r="B4237" t="s">
        <v>15</v>
      </c>
      <c r="C4237" t="s">
        <v>941</v>
      </c>
      <c r="D4237" t="s">
        <v>17</v>
      </c>
      <c r="E4237" t="s">
        <v>18</v>
      </c>
      <c r="F4237" t="s">
        <v>19</v>
      </c>
      <c r="G4237" t="s">
        <v>20</v>
      </c>
      <c r="J4237" t="s">
        <v>17</v>
      </c>
      <c r="K4237" t="str">
        <f>"6925871616911"</f>
        <v>6925871616911</v>
      </c>
      <c r="L4237" t="str">
        <f>"22071691"</f>
        <v>22071691</v>
      </c>
      <c r="M4237" t="s">
        <v>75</v>
      </c>
      <c r="N4237" s="1">
        <v>43082.648611111108</v>
      </c>
      <c r="O4237" t="s">
        <v>19</v>
      </c>
    </row>
    <row r="4238" spans="1:15" x14ac:dyDescent="0.25">
      <c r="A4238" t="s">
        <v>3574</v>
      </c>
      <c r="B4238" t="s">
        <v>15</v>
      </c>
      <c r="C4238" t="s">
        <v>941</v>
      </c>
      <c r="D4238" t="s">
        <v>17</v>
      </c>
      <c r="E4238" t="s">
        <v>18</v>
      </c>
      <c r="F4238" t="s">
        <v>19</v>
      </c>
      <c r="G4238" t="s">
        <v>20</v>
      </c>
      <c r="J4238" t="s">
        <v>17</v>
      </c>
      <c r="K4238" t="str">
        <f>"6925871621335"</f>
        <v>6925871621335</v>
      </c>
      <c r="L4238" t="str">
        <f>"22072133"</f>
        <v>22072133</v>
      </c>
      <c r="M4238" t="s">
        <v>75</v>
      </c>
      <c r="N4238" s="1">
        <v>42872.839583333334</v>
      </c>
      <c r="O4238" t="s">
        <v>19</v>
      </c>
    </row>
    <row r="4239" spans="1:15" x14ac:dyDescent="0.25">
      <c r="A4239" t="s">
        <v>3574</v>
      </c>
      <c r="B4239" t="s">
        <v>15</v>
      </c>
      <c r="C4239" t="s">
        <v>941</v>
      </c>
      <c r="D4239" t="s">
        <v>17</v>
      </c>
      <c r="E4239" t="s">
        <v>18</v>
      </c>
      <c r="F4239" t="s">
        <v>19</v>
      </c>
      <c r="G4239" t="s">
        <v>20</v>
      </c>
      <c r="J4239" t="s">
        <v>17</v>
      </c>
      <c r="K4239" t="str">
        <f>"22002133"</f>
        <v>22002133</v>
      </c>
      <c r="L4239" t="str">
        <f>"22002133"</f>
        <v>22002133</v>
      </c>
      <c r="M4239" t="s">
        <v>21</v>
      </c>
      <c r="N4239" s="1">
        <v>42872.839583333334</v>
      </c>
      <c r="O4239" t="s">
        <v>33</v>
      </c>
    </row>
    <row r="4240" spans="1:15" x14ac:dyDescent="0.25">
      <c r="A4240" t="s">
        <v>3575</v>
      </c>
      <c r="B4240" t="s">
        <v>15</v>
      </c>
      <c r="C4240" t="s">
        <v>937</v>
      </c>
      <c r="D4240" t="s">
        <v>17</v>
      </c>
      <c r="E4240" t="s">
        <v>18</v>
      </c>
      <c r="F4240" t="s">
        <v>19</v>
      </c>
      <c r="G4240" t="s">
        <v>20</v>
      </c>
      <c r="J4240" t="s">
        <v>17</v>
      </c>
      <c r="K4240" t="str">
        <f>"6925871650083"</f>
        <v>6925871650083</v>
      </c>
      <c r="L4240" t="str">
        <f>"22375008"</f>
        <v>22375008</v>
      </c>
      <c r="M4240" t="s">
        <v>75</v>
      </c>
      <c r="N4240" s="1">
        <v>42986.86041666667</v>
      </c>
      <c r="O4240" t="s">
        <v>19</v>
      </c>
    </row>
    <row r="4241" spans="1:15" x14ac:dyDescent="0.25">
      <c r="A4241" t="s">
        <v>3576</v>
      </c>
      <c r="B4241" t="s">
        <v>15</v>
      </c>
      <c r="C4241" t="s">
        <v>937</v>
      </c>
      <c r="D4241" t="s">
        <v>17</v>
      </c>
      <c r="E4241" t="s">
        <v>18</v>
      </c>
      <c r="F4241" t="s">
        <v>19</v>
      </c>
      <c r="G4241" t="s">
        <v>20</v>
      </c>
      <c r="J4241" t="s">
        <v>17</v>
      </c>
      <c r="K4241" t="str">
        <f>"6925871633116"</f>
        <v>6925871633116</v>
      </c>
      <c r="L4241" t="str">
        <f>"22373311"</f>
        <v>22373311</v>
      </c>
      <c r="M4241" t="s">
        <v>75</v>
      </c>
      <c r="N4241" s="1">
        <v>42986.854861111111</v>
      </c>
      <c r="O4241" t="s">
        <v>19</v>
      </c>
    </row>
    <row r="4242" spans="1:15" x14ac:dyDescent="0.25">
      <c r="A4242" t="s">
        <v>3577</v>
      </c>
      <c r="B4242" t="s">
        <v>15</v>
      </c>
      <c r="C4242" t="s">
        <v>937</v>
      </c>
      <c r="D4242" t="s">
        <v>17</v>
      </c>
      <c r="E4242" t="s">
        <v>18</v>
      </c>
      <c r="F4242" t="s">
        <v>19</v>
      </c>
      <c r="G4242" t="s">
        <v>20</v>
      </c>
      <c r="J4242" t="s">
        <v>17</v>
      </c>
      <c r="K4242" t="str">
        <f>"6931227033165"</f>
        <v>6931227033165</v>
      </c>
      <c r="L4242" t="str">
        <f>"22373316"</f>
        <v>22373316</v>
      </c>
      <c r="M4242" t="s">
        <v>75</v>
      </c>
      <c r="N4242" s="1">
        <v>42986.856944444444</v>
      </c>
      <c r="O4242" t="s">
        <v>19</v>
      </c>
    </row>
    <row r="4243" spans="1:15" x14ac:dyDescent="0.25">
      <c r="A4243" t="s">
        <v>3578</v>
      </c>
      <c r="B4243" t="s">
        <v>15</v>
      </c>
      <c r="C4243" t="s">
        <v>937</v>
      </c>
      <c r="D4243" t="s">
        <v>17</v>
      </c>
      <c r="E4243" t="s">
        <v>18</v>
      </c>
      <c r="F4243" t="s">
        <v>19</v>
      </c>
      <c r="G4243" t="s">
        <v>20</v>
      </c>
      <c r="J4243" t="s">
        <v>17</v>
      </c>
      <c r="K4243" t="str">
        <f>"6925871634137"</f>
        <v>6925871634137</v>
      </c>
      <c r="L4243" t="str">
        <f>"22373413"</f>
        <v>22373413</v>
      </c>
      <c r="M4243" t="s">
        <v>75</v>
      </c>
      <c r="N4243" s="1">
        <v>42986.853472222225</v>
      </c>
      <c r="O4243" t="s">
        <v>19</v>
      </c>
    </row>
    <row r="4244" spans="1:15" x14ac:dyDescent="0.25">
      <c r="A4244" t="s">
        <v>3579</v>
      </c>
      <c r="B4244" t="s">
        <v>15</v>
      </c>
      <c r="C4244" t="s">
        <v>941</v>
      </c>
      <c r="D4244" t="s">
        <v>17</v>
      </c>
      <c r="E4244" t="s">
        <v>18</v>
      </c>
      <c r="F4244" t="s">
        <v>19</v>
      </c>
      <c r="G4244" t="s">
        <v>20</v>
      </c>
      <c r="J4244" t="s">
        <v>17</v>
      </c>
      <c r="K4244" t="str">
        <f>"25000380"</f>
        <v>25000380</v>
      </c>
      <c r="L4244" t="str">
        <f>"25000380"</f>
        <v>25000380</v>
      </c>
      <c r="M4244" t="s">
        <v>75</v>
      </c>
      <c r="N4244" s="1">
        <v>42872.839583333334</v>
      </c>
      <c r="O4244" t="s">
        <v>19</v>
      </c>
    </row>
    <row r="4245" spans="1:15" x14ac:dyDescent="0.25">
      <c r="A4245" t="s">
        <v>3580</v>
      </c>
      <c r="B4245" t="s">
        <v>15</v>
      </c>
      <c r="C4245" t="s">
        <v>941</v>
      </c>
      <c r="D4245" t="s">
        <v>17</v>
      </c>
      <c r="E4245" t="s">
        <v>18</v>
      </c>
      <c r="F4245" t="s">
        <v>19</v>
      </c>
      <c r="G4245" t="s">
        <v>20</v>
      </c>
      <c r="J4245" t="s">
        <v>17</v>
      </c>
      <c r="K4245" t="str">
        <f>"7804612212966"</f>
        <v>7804612212966</v>
      </c>
      <c r="L4245" t="str">
        <f>"98700050"</f>
        <v>98700050</v>
      </c>
      <c r="M4245" t="s">
        <v>84</v>
      </c>
      <c r="N4245" s="1">
        <v>43369.720138888886</v>
      </c>
      <c r="O4245" t="s">
        <v>19</v>
      </c>
    </row>
    <row r="4246" spans="1:15" x14ac:dyDescent="0.25">
      <c r="A4246" t="s">
        <v>3581</v>
      </c>
      <c r="B4246" t="s">
        <v>15</v>
      </c>
      <c r="C4246" t="s">
        <v>941</v>
      </c>
      <c r="D4246" t="s">
        <v>17</v>
      </c>
      <c r="E4246" t="s">
        <v>18</v>
      </c>
      <c r="F4246" t="s">
        <v>19</v>
      </c>
      <c r="G4246" t="s">
        <v>20</v>
      </c>
      <c r="J4246" t="s">
        <v>17</v>
      </c>
      <c r="K4246" t="str">
        <f>"4710007713815"</f>
        <v>4710007713815</v>
      </c>
      <c r="L4246" t="str">
        <f>"65070250"</f>
        <v>65070250</v>
      </c>
      <c r="M4246" t="s">
        <v>75</v>
      </c>
      <c r="N4246" s="1">
        <v>43028.954861111109</v>
      </c>
      <c r="O4246" t="s">
        <v>19</v>
      </c>
    </row>
    <row r="4247" spans="1:15" x14ac:dyDescent="0.25">
      <c r="A4247" t="s">
        <v>3582</v>
      </c>
      <c r="B4247" t="s">
        <v>15</v>
      </c>
      <c r="C4247" t="s">
        <v>941</v>
      </c>
      <c r="D4247" t="s">
        <v>17</v>
      </c>
      <c r="E4247" t="s">
        <v>18</v>
      </c>
      <c r="F4247" t="s">
        <v>19</v>
      </c>
      <c r="G4247" t="s">
        <v>20</v>
      </c>
      <c r="J4247" t="s">
        <v>17</v>
      </c>
      <c r="K4247" t="str">
        <f>"4710007730850"</f>
        <v>4710007730850</v>
      </c>
      <c r="L4247" t="str">
        <f>"65070264"</f>
        <v>65070264</v>
      </c>
      <c r="M4247" t="s">
        <v>75</v>
      </c>
      <c r="N4247" s="1">
        <v>43028.951388888891</v>
      </c>
      <c r="O4247" t="s">
        <v>19</v>
      </c>
    </row>
    <row r="4248" spans="1:15" x14ac:dyDescent="0.25">
      <c r="A4248" t="s">
        <v>3583</v>
      </c>
      <c r="B4248" t="s">
        <v>15</v>
      </c>
      <c r="C4248" t="s">
        <v>941</v>
      </c>
      <c r="D4248" t="s">
        <v>17</v>
      </c>
      <c r="E4248" t="s">
        <v>18</v>
      </c>
      <c r="F4248" t="s">
        <v>19</v>
      </c>
      <c r="G4248" t="s">
        <v>20</v>
      </c>
      <c r="J4248" t="s">
        <v>17</v>
      </c>
      <c r="K4248" t="str">
        <f>"7802018121509"</f>
        <v>7802018121509</v>
      </c>
      <c r="L4248" t="str">
        <f>"25070018"</f>
        <v>25070018</v>
      </c>
      <c r="M4248" t="s">
        <v>21</v>
      </c>
      <c r="N4248" s="1">
        <v>42872.839583333334</v>
      </c>
      <c r="O4248" t="s">
        <v>19</v>
      </c>
    </row>
    <row r="4249" spans="1:15" x14ac:dyDescent="0.25">
      <c r="A4249" t="s">
        <v>3584</v>
      </c>
      <c r="B4249" t="s">
        <v>15</v>
      </c>
      <c r="C4249" t="s">
        <v>941</v>
      </c>
      <c r="D4249" t="s">
        <v>17</v>
      </c>
      <c r="E4249" t="s">
        <v>18</v>
      </c>
      <c r="F4249" t="s">
        <v>19</v>
      </c>
      <c r="G4249" t="s">
        <v>20</v>
      </c>
      <c r="J4249" t="s">
        <v>17</v>
      </c>
      <c r="K4249" t="str">
        <f>"22002382"</f>
        <v>22002382</v>
      </c>
      <c r="L4249" t="str">
        <f>"22002382"</f>
        <v>22002382</v>
      </c>
      <c r="M4249" t="s">
        <v>75</v>
      </c>
      <c r="N4249" s="1">
        <v>42872.839583333334</v>
      </c>
      <c r="O4249" t="s">
        <v>19</v>
      </c>
    </row>
    <row r="4250" spans="1:15" x14ac:dyDescent="0.25">
      <c r="A4250" t="s">
        <v>3585</v>
      </c>
      <c r="B4250" t="s">
        <v>15</v>
      </c>
      <c r="C4250" t="s">
        <v>941</v>
      </c>
      <c r="D4250" t="s">
        <v>17</v>
      </c>
      <c r="E4250" t="s">
        <v>18</v>
      </c>
      <c r="F4250" t="s">
        <v>19</v>
      </c>
      <c r="G4250" t="s">
        <v>20</v>
      </c>
      <c r="J4250" t="s">
        <v>17</v>
      </c>
      <c r="K4250" t="str">
        <f>"6922014030108"</f>
        <v>6922014030108</v>
      </c>
      <c r="L4250" t="str">
        <f>"40070108"</f>
        <v>40070108</v>
      </c>
      <c r="M4250" t="s">
        <v>21</v>
      </c>
      <c r="N4250" s="1">
        <v>44434.862500000003</v>
      </c>
      <c r="O4250" t="s">
        <v>19</v>
      </c>
    </row>
    <row r="4251" spans="1:15" x14ac:dyDescent="0.25">
      <c r="A4251" t="s">
        <v>3586</v>
      </c>
      <c r="B4251" t="s">
        <v>15</v>
      </c>
      <c r="C4251" t="s">
        <v>941</v>
      </c>
      <c r="D4251" t="s">
        <v>17</v>
      </c>
      <c r="E4251" t="s">
        <v>18</v>
      </c>
      <c r="F4251" t="s">
        <v>19</v>
      </c>
      <c r="G4251" t="s">
        <v>20</v>
      </c>
      <c r="J4251" t="s">
        <v>17</v>
      </c>
      <c r="K4251" t="str">
        <f>"6925871627542"</f>
        <v>6925871627542</v>
      </c>
      <c r="L4251" t="str">
        <f>"22072754"</f>
        <v>22072754</v>
      </c>
      <c r="M4251" t="s">
        <v>84</v>
      </c>
      <c r="N4251" s="1">
        <v>43314.720138888886</v>
      </c>
      <c r="O4251" t="s">
        <v>19</v>
      </c>
    </row>
    <row r="4252" spans="1:15" x14ac:dyDescent="0.25">
      <c r="A4252" t="s">
        <v>3587</v>
      </c>
      <c r="B4252" t="s">
        <v>15</v>
      </c>
      <c r="C4252" t="s">
        <v>941</v>
      </c>
      <c r="D4252" t="s">
        <v>17</v>
      </c>
      <c r="E4252" t="s">
        <v>18</v>
      </c>
      <c r="F4252" t="s">
        <v>19</v>
      </c>
      <c r="G4252" t="s">
        <v>20</v>
      </c>
      <c r="J4252" t="s">
        <v>17</v>
      </c>
      <c r="K4252" t="str">
        <f>"6925871624572"</f>
        <v>6925871624572</v>
      </c>
      <c r="L4252" t="str">
        <f>"22072457"</f>
        <v>22072457</v>
      </c>
      <c r="M4252" t="s">
        <v>75</v>
      </c>
      <c r="N4252" s="1">
        <v>43082.640972222223</v>
      </c>
      <c r="O4252" t="s">
        <v>19</v>
      </c>
    </row>
    <row r="4253" spans="1:15" x14ac:dyDescent="0.25">
      <c r="A4253" t="s">
        <v>3588</v>
      </c>
      <c r="B4253" t="s">
        <v>15</v>
      </c>
      <c r="C4253" t="s">
        <v>941</v>
      </c>
      <c r="D4253" t="s">
        <v>17</v>
      </c>
      <c r="E4253" t="s">
        <v>18</v>
      </c>
      <c r="F4253" t="s">
        <v>19</v>
      </c>
      <c r="G4253" t="s">
        <v>20</v>
      </c>
      <c r="J4253" t="s">
        <v>17</v>
      </c>
      <c r="K4253" t="str">
        <f>"6925871611732"</f>
        <v>6925871611732</v>
      </c>
      <c r="L4253" t="str">
        <f>"22071173"</f>
        <v>22071173</v>
      </c>
      <c r="M4253" t="s">
        <v>75</v>
      </c>
      <c r="N4253" s="1">
        <v>43063.854166666664</v>
      </c>
      <c r="O4253" t="s">
        <v>19</v>
      </c>
    </row>
    <row r="4254" spans="1:15" x14ac:dyDescent="0.25">
      <c r="A4254" t="s">
        <v>3589</v>
      </c>
      <c r="B4254" t="s">
        <v>15</v>
      </c>
      <c r="C4254" t="s">
        <v>941</v>
      </c>
      <c r="D4254" t="s">
        <v>17</v>
      </c>
      <c r="E4254" t="s">
        <v>18</v>
      </c>
      <c r="F4254" t="s">
        <v>19</v>
      </c>
      <c r="G4254" t="s">
        <v>20</v>
      </c>
      <c r="J4254" t="s">
        <v>17</v>
      </c>
      <c r="K4254" t="str">
        <f>"6925871613873"</f>
        <v>6925871613873</v>
      </c>
      <c r="L4254" t="str">
        <f>"22071387"</f>
        <v>22071387</v>
      </c>
      <c r="M4254" t="s">
        <v>21</v>
      </c>
      <c r="N4254" s="1">
        <v>43404.771527777775</v>
      </c>
      <c r="O4254" t="s">
        <v>19</v>
      </c>
    </row>
    <row r="4255" spans="1:15" x14ac:dyDescent="0.25">
      <c r="A4255" t="s">
        <v>3590</v>
      </c>
      <c r="B4255" t="s">
        <v>15</v>
      </c>
      <c r="C4255" t="s">
        <v>941</v>
      </c>
      <c r="D4255" t="s">
        <v>17</v>
      </c>
      <c r="E4255" t="s">
        <v>18</v>
      </c>
      <c r="F4255" t="s">
        <v>19</v>
      </c>
      <c r="G4255" t="s">
        <v>20</v>
      </c>
      <c r="J4255" t="s">
        <v>17</v>
      </c>
      <c r="K4255" t="str">
        <f>"6925871615730"</f>
        <v>6925871615730</v>
      </c>
      <c r="L4255" t="str">
        <f>"22071573"</f>
        <v>22071573</v>
      </c>
      <c r="M4255" t="s">
        <v>75</v>
      </c>
      <c r="N4255" s="1">
        <v>43013.588194444441</v>
      </c>
      <c r="O4255" t="s">
        <v>19</v>
      </c>
    </row>
    <row r="4256" spans="1:15" x14ac:dyDescent="0.25">
      <c r="A4256" t="s">
        <v>3591</v>
      </c>
      <c r="B4256" t="s">
        <v>15</v>
      </c>
      <c r="C4256" t="s">
        <v>941</v>
      </c>
      <c r="D4256" t="s">
        <v>17</v>
      </c>
      <c r="E4256" t="s">
        <v>18</v>
      </c>
      <c r="F4256" t="s">
        <v>19</v>
      </c>
      <c r="G4256" t="s">
        <v>20</v>
      </c>
      <c r="J4256" t="s">
        <v>17</v>
      </c>
      <c r="K4256" t="str">
        <f>"22071705"</f>
        <v>22071705</v>
      </c>
      <c r="L4256" t="str">
        <f>"22071705"</f>
        <v>22071705</v>
      </c>
      <c r="M4256" t="s">
        <v>21</v>
      </c>
      <c r="N4256" s="1">
        <v>43603.727083333331</v>
      </c>
      <c r="O4256" t="s">
        <v>19</v>
      </c>
    </row>
    <row r="4257" spans="1:15" x14ac:dyDescent="0.25">
      <c r="A4257" t="s">
        <v>3592</v>
      </c>
      <c r="B4257" t="s">
        <v>15</v>
      </c>
      <c r="C4257" t="s">
        <v>941</v>
      </c>
      <c r="D4257" t="s">
        <v>17</v>
      </c>
      <c r="E4257" t="s">
        <v>18</v>
      </c>
      <c r="F4257" t="s">
        <v>19</v>
      </c>
      <c r="G4257" t="s">
        <v>20</v>
      </c>
      <c r="J4257" t="s">
        <v>17</v>
      </c>
      <c r="K4257" t="str">
        <f>"6925871617086"</f>
        <v>6925871617086</v>
      </c>
      <c r="L4257" t="str">
        <f>"22071708"</f>
        <v>22071708</v>
      </c>
      <c r="M4257" t="s">
        <v>21</v>
      </c>
      <c r="N4257" s="1">
        <v>43826.655555555553</v>
      </c>
      <c r="O4257" t="s">
        <v>19</v>
      </c>
    </row>
    <row r="4258" spans="1:15" x14ac:dyDescent="0.25">
      <c r="A4258" t="s">
        <v>3593</v>
      </c>
      <c r="B4258" t="s">
        <v>15</v>
      </c>
      <c r="C4258" t="s">
        <v>941</v>
      </c>
      <c r="D4258" t="s">
        <v>17</v>
      </c>
      <c r="E4258" t="s">
        <v>18</v>
      </c>
      <c r="F4258" t="s">
        <v>19</v>
      </c>
      <c r="G4258" t="s">
        <v>20</v>
      </c>
      <c r="J4258" t="s">
        <v>17</v>
      </c>
      <c r="K4258" t="str">
        <f>"6925871617161"</f>
        <v>6925871617161</v>
      </c>
      <c r="L4258" t="str">
        <f>"22071716"</f>
        <v>22071716</v>
      </c>
      <c r="M4258" t="s">
        <v>75</v>
      </c>
      <c r="N4258" s="1">
        <v>43173.65625</v>
      </c>
      <c r="O4258" t="s">
        <v>19</v>
      </c>
    </row>
    <row r="4259" spans="1:15" x14ac:dyDescent="0.25">
      <c r="A4259" t="s">
        <v>3594</v>
      </c>
      <c r="B4259" t="s">
        <v>15</v>
      </c>
      <c r="C4259" t="s">
        <v>941</v>
      </c>
      <c r="D4259" t="s">
        <v>17</v>
      </c>
      <c r="E4259" t="s">
        <v>18</v>
      </c>
      <c r="F4259" t="s">
        <v>19</v>
      </c>
      <c r="G4259" t="s">
        <v>20</v>
      </c>
      <c r="J4259" t="s">
        <v>17</v>
      </c>
      <c r="K4259" t="str">
        <f>"6925871617185"</f>
        <v>6925871617185</v>
      </c>
      <c r="L4259" t="str">
        <f>"22071718"</f>
        <v>22071718</v>
      </c>
      <c r="M4259" t="s">
        <v>75</v>
      </c>
      <c r="N4259" s="1">
        <v>43043.754861111112</v>
      </c>
      <c r="O4259" t="s">
        <v>19</v>
      </c>
    </row>
    <row r="4260" spans="1:15" x14ac:dyDescent="0.25">
      <c r="A4260" t="s">
        <v>3595</v>
      </c>
      <c r="B4260" t="s">
        <v>15</v>
      </c>
      <c r="C4260" t="s">
        <v>941</v>
      </c>
      <c r="D4260" t="s">
        <v>17</v>
      </c>
      <c r="E4260" t="s">
        <v>18</v>
      </c>
      <c r="F4260" t="s">
        <v>19</v>
      </c>
      <c r="G4260" t="s">
        <v>20</v>
      </c>
      <c r="J4260" t="s">
        <v>17</v>
      </c>
      <c r="K4260" t="str">
        <f>"6925871618328"</f>
        <v>6925871618328</v>
      </c>
      <c r="L4260" t="str">
        <f>"22071832"</f>
        <v>22071832</v>
      </c>
      <c r="M4260" t="s">
        <v>21</v>
      </c>
      <c r="N4260" s="1">
        <v>44405.90625</v>
      </c>
      <c r="O4260" t="s">
        <v>19</v>
      </c>
    </row>
    <row r="4261" spans="1:15" x14ac:dyDescent="0.25">
      <c r="A4261" t="s">
        <v>3596</v>
      </c>
      <c r="B4261" t="s">
        <v>15</v>
      </c>
      <c r="C4261" t="s">
        <v>941</v>
      </c>
      <c r="D4261" t="s">
        <v>17</v>
      </c>
      <c r="E4261" t="s">
        <v>18</v>
      </c>
      <c r="F4261" t="s">
        <v>19</v>
      </c>
      <c r="G4261" t="s">
        <v>20</v>
      </c>
      <c r="J4261" t="s">
        <v>17</v>
      </c>
      <c r="K4261" t="str">
        <f>"6925871618618"</f>
        <v>6925871618618</v>
      </c>
      <c r="L4261" t="str">
        <f>"22071861"</f>
        <v>22071861</v>
      </c>
      <c r="M4261" t="s">
        <v>84</v>
      </c>
      <c r="N4261" s="1">
        <v>43404.770138888889</v>
      </c>
      <c r="O4261" t="s">
        <v>19</v>
      </c>
    </row>
    <row r="4262" spans="1:15" x14ac:dyDescent="0.25">
      <c r="A4262" t="s">
        <v>3597</v>
      </c>
      <c r="B4262" t="s">
        <v>15</v>
      </c>
      <c r="C4262" t="s">
        <v>941</v>
      </c>
      <c r="D4262" t="s">
        <v>17</v>
      </c>
      <c r="E4262" t="s">
        <v>18</v>
      </c>
      <c r="F4262" t="s">
        <v>19</v>
      </c>
      <c r="G4262" t="s">
        <v>20</v>
      </c>
      <c r="J4262" t="s">
        <v>17</v>
      </c>
      <c r="K4262" t="str">
        <f>"6925871618823"</f>
        <v>6925871618823</v>
      </c>
      <c r="L4262" t="str">
        <f>"22071882"</f>
        <v>22071882</v>
      </c>
      <c r="M4262" t="s">
        <v>84</v>
      </c>
      <c r="N4262" s="1">
        <v>43463.612500000003</v>
      </c>
      <c r="O4262" t="s">
        <v>19</v>
      </c>
    </row>
    <row r="4263" spans="1:15" x14ac:dyDescent="0.25">
      <c r="A4263" t="s">
        <v>3598</v>
      </c>
      <c r="B4263" t="s">
        <v>15</v>
      </c>
      <c r="C4263" t="s">
        <v>941</v>
      </c>
      <c r="D4263" t="s">
        <v>17</v>
      </c>
      <c r="E4263" t="s">
        <v>18</v>
      </c>
      <c r="F4263" t="s">
        <v>19</v>
      </c>
      <c r="G4263" t="s">
        <v>20</v>
      </c>
      <c r="J4263" t="s">
        <v>17</v>
      </c>
      <c r="K4263" t="str">
        <f>"6925871620949"</f>
        <v>6925871620949</v>
      </c>
      <c r="L4263" t="str">
        <f>"22072094"</f>
        <v>22072094</v>
      </c>
      <c r="M4263" t="s">
        <v>84</v>
      </c>
      <c r="N4263" s="1">
        <v>43404.770833333336</v>
      </c>
      <c r="O4263" t="s">
        <v>19</v>
      </c>
    </row>
    <row r="4264" spans="1:15" x14ac:dyDescent="0.25">
      <c r="A4264" t="s">
        <v>3599</v>
      </c>
      <c r="B4264" t="s">
        <v>15</v>
      </c>
      <c r="C4264" t="s">
        <v>941</v>
      </c>
      <c r="D4264" t="s">
        <v>17</v>
      </c>
      <c r="E4264" t="s">
        <v>18</v>
      </c>
      <c r="F4264" t="s">
        <v>19</v>
      </c>
      <c r="G4264" t="s">
        <v>20</v>
      </c>
      <c r="J4264" t="s">
        <v>17</v>
      </c>
      <c r="K4264" t="str">
        <f>"6925871621243"</f>
        <v>6925871621243</v>
      </c>
      <c r="L4264" t="str">
        <f>"22072124"</f>
        <v>22072124</v>
      </c>
      <c r="M4264" t="s">
        <v>84</v>
      </c>
      <c r="N4264" s="1">
        <v>43495.671527777777</v>
      </c>
      <c r="O4264" t="s">
        <v>19</v>
      </c>
    </row>
    <row r="4265" spans="1:15" x14ac:dyDescent="0.25">
      <c r="A4265" t="s">
        <v>3600</v>
      </c>
      <c r="B4265" t="s">
        <v>15</v>
      </c>
      <c r="C4265" t="s">
        <v>941</v>
      </c>
      <c r="D4265" t="s">
        <v>17</v>
      </c>
      <c r="E4265" t="s">
        <v>18</v>
      </c>
      <c r="F4265" t="s">
        <v>19</v>
      </c>
      <c r="G4265" t="s">
        <v>20</v>
      </c>
      <c r="J4265" t="s">
        <v>17</v>
      </c>
      <c r="K4265" t="str">
        <f>"6925871621434"</f>
        <v>6925871621434</v>
      </c>
      <c r="L4265" t="str">
        <f>"22072143"</f>
        <v>22072143</v>
      </c>
      <c r="M4265" t="s">
        <v>75</v>
      </c>
      <c r="N4265" s="1">
        <v>42941.652083333334</v>
      </c>
      <c r="O4265" t="s">
        <v>19</v>
      </c>
    </row>
    <row r="4266" spans="1:15" x14ac:dyDescent="0.25">
      <c r="A4266" t="s">
        <v>3601</v>
      </c>
      <c r="B4266" t="s">
        <v>15</v>
      </c>
      <c r="C4266" t="s">
        <v>941</v>
      </c>
      <c r="D4266" t="s">
        <v>17</v>
      </c>
      <c r="E4266" t="s">
        <v>18</v>
      </c>
      <c r="F4266" t="s">
        <v>19</v>
      </c>
      <c r="G4266" t="s">
        <v>20</v>
      </c>
      <c r="J4266" t="s">
        <v>17</v>
      </c>
      <c r="K4266" t="str">
        <f>"6925871621526"</f>
        <v>6925871621526</v>
      </c>
      <c r="L4266" t="str">
        <f>"22072152"</f>
        <v>22072152</v>
      </c>
      <c r="M4266" t="s">
        <v>84</v>
      </c>
      <c r="N4266" s="1">
        <v>43446.69027777778</v>
      </c>
      <c r="O4266" t="s">
        <v>19</v>
      </c>
    </row>
    <row r="4267" spans="1:15" x14ac:dyDescent="0.25">
      <c r="A4267" t="s">
        <v>3602</v>
      </c>
      <c r="B4267" t="s">
        <v>15</v>
      </c>
      <c r="C4267" t="s">
        <v>941</v>
      </c>
      <c r="D4267" t="s">
        <v>17</v>
      </c>
      <c r="E4267" t="s">
        <v>18</v>
      </c>
      <c r="F4267" t="s">
        <v>19</v>
      </c>
      <c r="G4267" t="s">
        <v>20</v>
      </c>
      <c r="J4267" t="s">
        <v>17</v>
      </c>
      <c r="K4267" t="str">
        <f>"6925871621564"</f>
        <v>6925871621564</v>
      </c>
      <c r="L4267" t="str">
        <f>"22072156"</f>
        <v>22072156</v>
      </c>
      <c r="M4267" t="s">
        <v>84</v>
      </c>
      <c r="N4267" s="1">
        <v>43495.669444444444</v>
      </c>
      <c r="O4267" t="s">
        <v>19</v>
      </c>
    </row>
    <row r="4268" spans="1:15" x14ac:dyDescent="0.25">
      <c r="A4268" t="s">
        <v>3603</v>
      </c>
      <c r="B4268" t="s">
        <v>15</v>
      </c>
      <c r="C4268" t="s">
        <v>941</v>
      </c>
      <c r="D4268" t="s">
        <v>17</v>
      </c>
      <c r="E4268" t="s">
        <v>18</v>
      </c>
      <c r="F4268" t="s">
        <v>19</v>
      </c>
      <c r="G4268" t="s">
        <v>20</v>
      </c>
      <c r="J4268" t="s">
        <v>17</v>
      </c>
      <c r="K4268" t="str">
        <f>"22072309"</f>
        <v>22072309</v>
      </c>
      <c r="L4268" t="str">
        <f>"22072309"</f>
        <v>22072309</v>
      </c>
      <c r="M4268" t="s">
        <v>75</v>
      </c>
      <c r="N4268" s="1">
        <v>42872.839583333334</v>
      </c>
      <c r="O4268" t="s">
        <v>19</v>
      </c>
    </row>
    <row r="4269" spans="1:15" x14ac:dyDescent="0.25">
      <c r="A4269" t="s">
        <v>3604</v>
      </c>
      <c r="B4269" t="s">
        <v>15</v>
      </c>
      <c r="C4269" t="s">
        <v>941</v>
      </c>
      <c r="D4269" t="s">
        <v>17</v>
      </c>
      <c r="E4269" t="s">
        <v>18</v>
      </c>
      <c r="F4269" t="s">
        <v>19</v>
      </c>
      <c r="G4269" t="s">
        <v>20</v>
      </c>
      <c r="J4269" t="s">
        <v>17</v>
      </c>
      <c r="K4269" t="str">
        <f>"22072560"</f>
        <v>22072560</v>
      </c>
      <c r="L4269" t="str">
        <f>"22072560"</f>
        <v>22072560</v>
      </c>
      <c r="M4269" t="s">
        <v>75</v>
      </c>
      <c r="N4269" s="1">
        <v>42872.839583333334</v>
      </c>
      <c r="O4269" t="s">
        <v>19</v>
      </c>
    </row>
    <row r="4270" spans="1:15" x14ac:dyDescent="0.25">
      <c r="A4270" t="s">
        <v>3605</v>
      </c>
      <c r="B4270" t="s">
        <v>15</v>
      </c>
      <c r="C4270" t="s">
        <v>941</v>
      </c>
      <c r="D4270" t="s">
        <v>17</v>
      </c>
      <c r="E4270" t="s">
        <v>18</v>
      </c>
      <c r="F4270" t="s">
        <v>19</v>
      </c>
      <c r="G4270" t="s">
        <v>20</v>
      </c>
      <c r="J4270" t="s">
        <v>17</v>
      </c>
      <c r="K4270" t="str">
        <f>"6925871625739"</f>
        <v>6925871625739</v>
      </c>
      <c r="L4270" t="str">
        <f>"22072573"</f>
        <v>22072573</v>
      </c>
      <c r="M4270" t="s">
        <v>75</v>
      </c>
      <c r="N4270" s="1">
        <v>43063.848611111112</v>
      </c>
      <c r="O4270" t="s">
        <v>19</v>
      </c>
    </row>
    <row r="4271" spans="1:15" x14ac:dyDescent="0.25">
      <c r="A4271" t="s">
        <v>3606</v>
      </c>
      <c r="B4271" t="s">
        <v>15</v>
      </c>
      <c r="C4271" t="s">
        <v>941</v>
      </c>
      <c r="D4271" t="s">
        <v>17</v>
      </c>
      <c r="E4271" t="s">
        <v>18</v>
      </c>
      <c r="F4271" t="s">
        <v>19</v>
      </c>
      <c r="G4271" t="s">
        <v>20</v>
      </c>
      <c r="J4271" t="s">
        <v>17</v>
      </c>
      <c r="K4271" t="str">
        <f>"6925871625937"</f>
        <v>6925871625937</v>
      </c>
      <c r="L4271" t="str">
        <f>"22072593"</f>
        <v>22072593</v>
      </c>
      <c r="M4271" t="s">
        <v>75</v>
      </c>
      <c r="N4271" s="1">
        <v>43082.65</v>
      </c>
      <c r="O4271" t="s">
        <v>19</v>
      </c>
    </row>
    <row r="4272" spans="1:15" x14ac:dyDescent="0.25">
      <c r="A4272" t="s">
        <v>3607</v>
      </c>
      <c r="B4272" t="s">
        <v>15</v>
      </c>
      <c r="C4272" t="s">
        <v>941</v>
      </c>
      <c r="D4272" t="s">
        <v>17</v>
      </c>
      <c r="E4272" t="s">
        <v>18</v>
      </c>
      <c r="F4272" t="s">
        <v>19</v>
      </c>
      <c r="G4272" t="s">
        <v>20</v>
      </c>
      <c r="J4272" t="s">
        <v>17</v>
      </c>
      <c r="K4272" t="str">
        <f>"6925871626279"</f>
        <v>6925871626279</v>
      </c>
      <c r="L4272" t="str">
        <f>"22072627"</f>
        <v>22072627</v>
      </c>
      <c r="M4272" t="s">
        <v>75</v>
      </c>
      <c r="N4272" s="1">
        <v>43063.85</v>
      </c>
      <c r="O4272" t="s">
        <v>19</v>
      </c>
    </row>
    <row r="4273" spans="1:15" x14ac:dyDescent="0.25">
      <c r="A4273" t="s">
        <v>3608</v>
      </c>
      <c r="B4273" t="s">
        <v>15</v>
      </c>
      <c r="C4273" t="s">
        <v>941</v>
      </c>
      <c r="D4273" t="s">
        <v>17</v>
      </c>
      <c r="E4273" t="s">
        <v>18</v>
      </c>
      <c r="F4273" t="s">
        <v>19</v>
      </c>
      <c r="G4273" t="s">
        <v>20</v>
      </c>
      <c r="J4273" t="s">
        <v>17</v>
      </c>
      <c r="K4273" t="str">
        <f>"6925871626736"</f>
        <v>6925871626736</v>
      </c>
      <c r="L4273" t="str">
        <f>"22072673"</f>
        <v>22072673</v>
      </c>
      <c r="M4273" t="s">
        <v>75</v>
      </c>
      <c r="N4273" s="1">
        <v>43063.855555555558</v>
      </c>
      <c r="O4273" t="s">
        <v>19</v>
      </c>
    </row>
    <row r="4274" spans="1:15" x14ac:dyDescent="0.25">
      <c r="A4274" t="s">
        <v>3609</v>
      </c>
      <c r="B4274" t="s">
        <v>15</v>
      </c>
      <c r="C4274" t="s">
        <v>941</v>
      </c>
      <c r="D4274" t="s">
        <v>17</v>
      </c>
      <c r="E4274" t="s">
        <v>18</v>
      </c>
      <c r="F4274" t="s">
        <v>19</v>
      </c>
      <c r="G4274" t="s">
        <v>20</v>
      </c>
      <c r="J4274" t="s">
        <v>17</v>
      </c>
      <c r="K4274" t="str">
        <f>"6925871626835"</f>
        <v>6925871626835</v>
      </c>
      <c r="L4274" t="str">
        <f>"22072683"</f>
        <v>22072683</v>
      </c>
      <c r="M4274" t="s">
        <v>75</v>
      </c>
      <c r="N4274" s="1">
        <v>43063.852777777778</v>
      </c>
      <c r="O4274" t="s">
        <v>19</v>
      </c>
    </row>
    <row r="4275" spans="1:15" x14ac:dyDescent="0.25">
      <c r="A4275" t="s">
        <v>3610</v>
      </c>
      <c r="B4275" t="s">
        <v>15</v>
      </c>
      <c r="C4275" t="s">
        <v>941</v>
      </c>
      <c r="D4275" t="s">
        <v>17</v>
      </c>
      <c r="E4275" t="s">
        <v>18</v>
      </c>
      <c r="F4275" t="s">
        <v>19</v>
      </c>
      <c r="G4275" t="s">
        <v>20</v>
      </c>
      <c r="J4275" t="s">
        <v>17</v>
      </c>
      <c r="K4275" t="str">
        <f>"6925871628938"</f>
        <v>6925871628938</v>
      </c>
      <c r="L4275" t="str">
        <f>"22072893"</f>
        <v>22072893</v>
      </c>
      <c r="M4275" t="s">
        <v>84</v>
      </c>
      <c r="N4275" s="1">
        <v>43446.690972222219</v>
      </c>
      <c r="O4275" t="s">
        <v>19</v>
      </c>
    </row>
    <row r="4276" spans="1:15" x14ac:dyDescent="0.25">
      <c r="A4276" t="s">
        <v>3611</v>
      </c>
      <c r="B4276" t="s">
        <v>15</v>
      </c>
      <c r="C4276" t="s">
        <v>941</v>
      </c>
      <c r="D4276" t="s">
        <v>17</v>
      </c>
      <c r="E4276" t="s">
        <v>18</v>
      </c>
      <c r="F4276" t="s">
        <v>19</v>
      </c>
      <c r="G4276" t="s">
        <v>20</v>
      </c>
      <c r="J4276" t="s">
        <v>17</v>
      </c>
      <c r="K4276" t="str">
        <f>"6925871629287"</f>
        <v>6925871629287</v>
      </c>
      <c r="L4276" t="str">
        <f>"22072928"</f>
        <v>22072928</v>
      </c>
      <c r="M4276" t="s">
        <v>21</v>
      </c>
      <c r="N4276" s="1">
        <v>44405.868055555555</v>
      </c>
      <c r="O4276" t="s">
        <v>19</v>
      </c>
    </row>
    <row r="4277" spans="1:15" x14ac:dyDescent="0.25">
      <c r="A4277" t="s">
        <v>3612</v>
      </c>
      <c r="B4277" t="s">
        <v>15</v>
      </c>
      <c r="C4277" t="s">
        <v>941</v>
      </c>
      <c r="D4277" t="s">
        <v>17</v>
      </c>
      <c r="E4277" t="s">
        <v>18</v>
      </c>
      <c r="F4277" t="s">
        <v>19</v>
      </c>
      <c r="G4277" t="s">
        <v>20</v>
      </c>
      <c r="J4277" t="s">
        <v>17</v>
      </c>
      <c r="K4277" t="str">
        <f>"22072952"</f>
        <v>22072952</v>
      </c>
      <c r="L4277" t="str">
        <f>"22072952"</f>
        <v>22072952</v>
      </c>
      <c r="M4277" t="s">
        <v>21</v>
      </c>
      <c r="N4277" s="1">
        <v>44442.886805555558</v>
      </c>
      <c r="O4277" t="s">
        <v>19</v>
      </c>
    </row>
    <row r="4278" spans="1:15" x14ac:dyDescent="0.25">
      <c r="A4278" t="s">
        <v>3613</v>
      </c>
      <c r="B4278" t="s">
        <v>15</v>
      </c>
      <c r="C4278" t="s">
        <v>941</v>
      </c>
      <c r="D4278" t="s">
        <v>17</v>
      </c>
      <c r="E4278" t="s">
        <v>18</v>
      </c>
      <c r="F4278" t="s">
        <v>19</v>
      </c>
      <c r="G4278" t="s">
        <v>20</v>
      </c>
      <c r="J4278" t="s">
        <v>17</v>
      </c>
      <c r="K4278" t="str">
        <f>"22072955"</f>
        <v>22072955</v>
      </c>
      <c r="L4278" t="str">
        <f>"22072955"</f>
        <v>22072955</v>
      </c>
      <c r="M4278" t="s">
        <v>21</v>
      </c>
      <c r="N4278" s="1">
        <v>44442.885416666664</v>
      </c>
      <c r="O4278" t="s">
        <v>19</v>
      </c>
    </row>
    <row r="4279" spans="1:15" x14ac:dyDescent="0.25">
      <c r="A4279" t="s">
        <v>3614</v>
      </c>
      <c r="B4279" t="s">
        <v>15</v>
      </c>
      <c r="C4279" t="s">
        <v>941</v>
      </c>
      <c r="D4279" t="s">
        <v>17</v>
      </c>
      <c r="E4279" t="s">
        <v>18</v>
      </c>
      <c r="F4279" t="s">
        <v>19</v>
      </c>
      <c r="G4279" t="s">
        <v>20</v>
      </c>
      <c r="J4279" t="s">
        <v>17</v>
      </c>
      <c r="K4279" t="str">
        <f>"6925871603065"</f>
        <v>6925871603065</v>
      </c>
      <c r="L4279" t="str">
        <f>"22070306"</f>
        <v>22070306</v>
      </c>
      <c r="M4279" t="s">
        <v>75</v>
      </c>
      <c r="N4279" s="1">
        <v>42872.839583333334</v>
      </c>
      <c r="O4279" t="s">
        <v>19</v>
      </c>
    </row>
    <row r="4280" spans="1:15" x14ac:dyDescent="0.25">
      <c r="A4280" t="s">
        <v>3615</v>
      </c>
      <c r="B4280" t="s">
        <v>15</v>
      </c>
      <c r="C4280" t="s">
        <v>37</v>
      </c>
      <c r="D4280" t="s">
        <v>17</v>
      </c>
      <c r="E4280" t="s">
        <v>18</v>
      </c>
      <c r="F4280" t="s">
        <v>19</v>
      </c>
      <c r="G4280" t="s">
        <v>20</v>
      </c>
      <c r="J4280" t="s">
        <v>17</v>
      </c>
      <c r="K4280" t="str">
        <f>"6925871638180"</f>
        <v>6925871638180</v>
      </c>
      <c r="L4280" t="str">
        <f>"22070018"</f>
        <v>22070018</v>
      </c>
      <c r="M4280" t="s">
        <v>21</v>
      </c>
      <c r="N4280" s="1">
        <v>43826.652083333334</v>
      </c>
      <c r="O4280" t="s">
        <v>19</v>
      </c>
    </row>
    <row r="4281" spans="1:15" x14ac:dyDescent="0.25">
      <c r="A4281" t="s">
        <v>3616</v>
      </c>
      <c r="B4281" t="s">
        <v>15</v>
      </c>
      <c r="C4281" t="s">
        <v>941</v>
      </c>
      <c r="D4281" t="s">
        <v>17</v>
      </c>
      <c r="E4281" t="s">
        <v>18</v>
      </c>
      <c r="F4281" t="s">
        <v>19</v>
      </c>
      <c r="G4281" t="s">
        <v>20</v>
      </c>
      <c r="J4281" t="s">
        <v>17</v>
      </c>
      <c r="K4281" t="str">
        <f>"42001120"</f>
        <v>42001120</v>
      </c>
      <c r="L4281" t="str">
        <f>"42001120"</f>
        <v>42001120</v>
      </c>
      <c r="M4281" t="s">
        <v>75</v>
      </c>
      <c r="N4281" s="1">
        <v>42872.839583333334</v>
      </c>
      <c r="O4281" t="s">
        <v>19</v>
      </c>
    </row>
    <row r="4282" spans="1:15" x14ac:dyDescent="0.25">
      <c r="A4282" t="s">
        <v>3617</v>
      </c>
      <c r="B4282" t="s">
        <v>15</v>
      </c>
      <c r="C4282" t="s">
        <v>941</v>
      </c>
      <c r="D4282" t="s">
        <v>17</v>
      </c>
      <c r="E4282" t="s">
        <v>18</v>
      </c>
      <c r="F4282" t="s">
        <v>19</v>
      </c>
      <c r="G4282" t="s">
        <v>20</v>
      </c>
      <c r="J4282" t="s">
        <v>17</v>
      </c>
      <c r="K4282" t="str">
        <f>"7804625561273"</f>
        <v>7804625561273</v>
      </c>
      <c r="L4282" t="str">
        <f>"42002700"</f>
        <v>42002700</v>
      </c>
      <c r="M4282" t="s">
        <v>75</v>
      </c>
      <c r="N4282" s="1">
        <v>42952.726388888892</v>
      </c>
      <c r="O4282" t="s">
        <v>19</v>
      </c>
    </row>
    <row r="4283" spans="1:15" x14ac:dyDescent="0.25">
      <c r="A4283" t="s">
        <v>3618</v>
      </c>
      <c r="B4283" t="s">
        <v>15</v>
      </c>
      <c r="C4283" t="s">
        <v>941</v>
      </c>
      <c r="D4283" t="s">
        <v>17</v>
      </c>
      <c r="E4283" t="s">
        <v>18</v>
      </c>
      <c r="F4283" t="s">
        <v>19</v>
      </c>
      <c r="G4283" t="s">
        <v>20</v>
      </c>
      <c r="J4283" t="s">
        <v>17</v>
      </c>
      <c r="K4283" t="str">
        <f>"6902361204230"</f>
        <v>6902361204230</v>
      </c>
      <c r="L4283" t="str">
        <f>"98370015"</f>
        <v>98370015</v>
      </c>
      <c r="M4283" t="s">
        <v>21</v>
      </c>
      <c r="N4283" s="1">
        <v>43994.834027777775</v>
      </c>
      <c r="O4283" t="s">
        <v>19</v>
      </c>
    </row>
    <row r="4284" spans="1:15" x14ac:dyDescent="0.25">
      <c r="A4284" t="s">
        <v>3619</v>
      </c>
      <c r="B4284" t="s">
        <v>15</v>
      </c>
      <c r="C4284" t="s">
        <v>941</v>
      </c>
      <c r="D4284" t="s">
        <v>17</v>
      </c>
      <c r="E4284" t="s">
        <v>18</v>
      </c>
      <c r="F4284" t="s">
        <v>19</v>
      </c>
      <c r="G4284" t="s">
        <v>20</v>
      </c>
      <c r="J4284" t="s">
        <v>17</v>
      </c>
      <c r="K4284" t="str">
        <f>"7297932032602"</f>
        <v>7297932032602</v>
      </c>
      <c r="L4284" t="str">
        <f>"32PLCICX60"</f>
        <v>32PLCICX60</v>
      </c>
      <c r="M4284" t="s">
        <v>21</v>
      </c>
      <c r="N4284" s="1">
        <v>44037.683333333334</v>
      </c>
      <c r="O4284" t="s">
        <v>19</v>
      </c>
    </row>
    <row r="4285" spans="1:15" x14ac:dyDescent="0.25">
      <c r="A4285" t="s">
        <v>3620</v>
      </c>
      <c r="B4285" t="s">
        <v>15</v>
      </c>
      <c r="C4285" t="s">
        <v>941</v>
      </c>
      <c r="D4285" t="s">
        <v>17</v>
      </c>
      <c r="E4285" t="s">
        <v>18</v>
      </c>
      <c r="F4285" t="s">
        <v>19</v>
      </c>
      <c r="G4285" t="s">
        <v>20</v>
      </c>
      <c r="J4285" t="s">
        <v>17</v>
      </c>
      <c r="K4285" t="str">
        <f>"10100319"</f>
        <v>10100319</v>
      </c>
      <c r="L4285" t="str">
        <f>"10100319"</f>
        <v>10100319</v>
      </c>
      <c r="M4285" t="s">
        <v>21</v>
      </c>
      <c r="N4285" s="1">
        <v>43666.885416666664</v>
      </c>
      <c r="O4285" t="s">
        <v>19</v>
      </c>
    </row>
    <row r="4286" spans="1:15" x14ac:dyDescent="0.25">
      <c r="A4286" t="s">
        <v>3621</v>
      </c>
      <c r="B4286" t="s">
        <v>15</v>
      </c>
      <c r="C4286" t="s">
        <v>941</v>
      </c>
      <c r="D4286" t="s">
        <v>17</v>
      </c>
      <c r="E4286" t="s">
        <v>18</v>
      </c>
      <c r="F4286" t="s">
        <v>19</v>
      </c>
      <c r="G4286" t="s">
        <v>20</v>
      </c>
      <c r="J4286" t="s">
        <v>17</v>
      </c>
      <c r="K4286" t="str">
        <f>"6902361211832"</f>
        <v>6902361211832</v>
      </c>
      <c r="L4286" t="str">
        <f>"98070020"</f>
        <v>98070020</v>
      </c>
      <c r="M4286" t="s">
        <v>84</v>
      </c>
      <c r="N4286" s="1">
        <v>43495.843055555553</v>
      </c>
      <c r="O4286" t="s">
        <v>19</v>
      </c>
    </row>
    <row r="4287" spans="1:15" x14ac:dyDescent="0.25">
      <c r="A4287" t="s">
        <v>3622</v>
      </c>
      <c r="B4287" t="s">
        <v>15</v>
      </c>
      <c r="C4287" t="s">
        <v>941</v>
      </c>
      <c r="D4287" t="s">
        <v>17</v>
      </c>
      <c r="E4287" t="s">
        <v>18</v>
      </c>
      <c r="F4287" t="s">
        <v>19</v>
      </c>
      <c r="G4287" t="s">
        <v>20</v>
      </c>
      <c r="J4287" t="s">
        <v>17</v>
      </c>
      <c r="K4287" t="str">
        <f>"4905524975727"</f>
        <v>4905524975727</v>
      </c>
      <c r="L4287" t="str">
        <f>"25071526"</f>
        <v>25071526</v>
      </c>
      <c r="M4287" t="s">
        <v>75</v>
      </c>
      <c r="N4287" s="1">
        <v>43110.898611111108</v>
      </c>
      <c r="O4287" t="s">
        <v>19</v>
      </c>
    </row>
    <row r="4288" spans="1:15" x14ac:dyDescent="0.25">
      <c r="A4288" t="s">
        <v>3623</v>
      </c>
      <c r="B4288" t="s">
        <v>15</v>
      </c>
      <c r="C4288" t="s">
        <v>941</v>
      </c>
      <c r="D4288" t="s">
        <v>17</v>
      </c>
      <c r="E4288" t="s">
        <v>18</v>
      </c>
      <c r="F4288" t="s">
        <v>19</v>
      </c>
      <c r="G4288" t="s">
        <v>20</v>
      </c>
      <c r="J4288" t="s">
        <v>17</v>
      </c>
      <c r="K4288" t="str">
        <f>"22070031"</f>
        <v>22070031</v>
      </c>
      <c r="L4288" t="str">
        <f>"22070031"</f>
        <v>22070031</v>
      </c>
      <c r="M4288" t="s">
        <v>21</v>
      </c>
      <c r="N4288" s="1">
        <v>44349.927083333336</v>
      </c>
      <c r="O4288" t="s">
        <v>19</v>
      </c>
    </row>
    <row r="4289" spans="1:15" x14ac:dyDescent="0.25">
      <c r="A4289" t="s">
        <v>3624</v>
      </c>
      <c r="B4289" t="s">
        <v>15</v>
      </c>
      <c r="C4289" t="s">
        <v>941</v>
      </c>
      <c r="D4289" t="s">
        <v>17</v>
      </c>
      <c r="E4289" t="s">
        <v>18</v>
      </c>
      <c r="F4289" t="s">
        <v>19</v>
      </c>
      <c r="G4289" t="s">
        <v>20</v>
      </c>
      <c r="J4289" t="s">
        <v>17</v>
      </c>
      <c r="K4289" t="str">
        <f>"22070047"</f>
        <v>22070047</v>
      </c>
      <c r="L4289" t="str">
        <f>"22070047"</f>
        <v>22070047</v>
      </c>
      <c r="M4289" t="s">
        <v>21</v>
      </c>
      <c r="N4289" s="1">
        <v>44349.931250000001</v>
      </c>
      <c r="O4289" t="s">
        <v>19</v>
      </c>
    </row>
    <row r="4290" spans="1:15" x14ac:dyDescent="0.25">
      <c r="A4290" t="s">
        <v>3625</v>
      </c>
      <c r="B4290" t="s">
        <v>15</v>
      </c>
      <c r="C4290" t="s">
        <v>941</v>
      </c>
      <c r="D4290" t="s">
        <v>17</v>
      </c>
      <c r="E4290" t="s">
        <v>18</v>
      </c>
      <c r="F4290" t="s">
        <v>19</v>
      </c>
      <c r="G4290" t="s">
        <v>20</v>
      </c>
      <c r="J4290" t="s">
        <v>17</v>
      </c>
      <c r="K4290" t="str">
        <f>"22073103"</f>
        <v>22073103</v>
      </c>
      <c r="L4290" t="str">
        <f>"22073103"</f>
        <v>22073103</v>
      </c>
      <c r="M4290" t="s">
        <v>21</v>
      </c>
      <c r="N4290" s="1">
        <v>44349.929861111108</v>
      </c>
      <c r="O4290" t="s">
        <v>19</v>
      </c>
    </row>
    <row r="4291" spans="1:15" x14ac:dyDescent="0.25">
      <c r="A4291" t="s">
        <v>3626</v>
      </c>
      <c r="B4291" t="s">
        <v>15</v>
      </c>
      <c r="C4291" t="s">
        <v>941</v>
      </c>
      <c r="D4291" t="s">
        <v>17</v>
      </c>
      <c r="E4291" t="s">
        <v>18</v>
      </c>
      <c r="F4291" t="s">
        <v>19</v>
      </c>
      <c r="G4291" t="s">
        <v>20</v>
      </c>
      <c r="J4291" t="s">
        <v>17</v>
      </c>
      <c r="K4291" t="str">
        <f>"22070310"</f>
        <v>22070310</v>
      </c>
      <c r="L4291" t="str">
        <f>"22070310"</f>
        <v>22070310</v>
      </c>
      <c r="M4291" t="s">
        <v>21</v>
      </c>
      <c r="N4291" s="1">
        <v>44349.928472222222</v>
      </c>
      <c r="O4291" t="s">
        <v>19</v>
      </c>
    </row>
    <row r="4292" spans="1:15" x14ac:dyDescent="0.25">
      <c r="A4292" t="s">
        <v>3627</v>
      </c>
      <c r="B4292" t="s">
        <v>15</v>
      </c>
      <c r="C4292" t="s">
        <v>941</v>
      </c>
      <c r="D4292" t="s">
        <v>17</v>
      </c>
      <c r="E4292" t="s">
        <v>18</v>
      </c>
      <c r="F4292" t="s">
        <v>19</v>
      </c>
      <c r="G4292" t="s">
        <v>20</v>
      </c>
      <c r="J4292" t="s">
        <v>17</v>
      </c>
      <c r="K4292" t="str">
        <f>"22070322"</f>
        <v>22070322</v>
      </c>
      <c r="L4292" t="str">
        <f>"22070322"</f>
        <v>22070322</v>
      </c>
      <c r="M4292" t="s">
        <v>21</v>
      </c>
      <c r="N4292" s="1">
        <v>44349.926388888889</v>
      </c>
      <c r="O4292" t="s">
        <v>19</v>
      </c>
    </row>
    <row r="4293" spans="1:15" x14ac:dyDescent="0.25">
      <c r="A4293" t="s">
        <v>3628</v>
      </c>
      <c r="B4293" t="s">
        <v>15</v>
      </c>
      <c r="C4293" t="s">
        <v>941</v>
      </c>
      <c r="D4293" t="s">
        <v>17</v>
      </c>
      <c r="E4293" t="s">
        <v>18</v>
      </c>
      <c r="F4293" t="s">
        <v>19</v>
      </c>
      <c r="G4293" t="s">
        <v>20</v>
      </c>
      <c r="J4293" t="s">
        <v>17</v>
      </c>
      <c r="K4293" t="str">
        <f>"22070337"</f>
        <v>22070337</v>
      </c>
      <c r="L4293" t="str">
        <f>"22070337"</f>
        <v>22070337</v>
      </c>
      <c r="M4293" t="s">
        <v>21</v>
      </c>
      <c r="N4293" s="1">
        <v>44349.927777777775</v>
      </c>
      <c r="O4293" t="s">
        <v>19</v>
      </c>
    </row>
    <row r="4294" spans="1:15" x14ac:dyDescent="0.25">
      <c r="A4294" t="s">
        <v>3629</v>
      </c>
      <c r="B4294" t="s">
        <v>15</v>
      </c>
      <c r="C4294" t="s">
        <v>941</v>
      </c>
      <c r="D4294" t="s">
        <v>17</v>
      </c>
      <c r="E4294" t="s">
        <v>18</v>
      </c>
      <c r="F4294" t="s">
        <v>19</v>
      </c>
      <c r="G4294" t="s">
        <v>20</v>
      </c>
      <c r="J4294" t="s">
        <v>17</v>
      </c>
      <c r="K4294" t="str">
        <f>"22070341"</f>
        <v>22070341</v>
      </c>
      <c r="L4294" t="str">
        <f>"22070341"</f>
        <v>22070341</v>
      </c>
      <c r="M4294" t="s">
        <v>21</v>
      </c>
      <c r="N4294" s="1">
        <v>44349.925694444442</v>
      </c>
      <c r="O4294" t="s">
        <v>19</v>
      </c>
    </row>
    <row r="4295" spans="1:15" x14ac:dyDescent="0.25">
      <c r="A4295" t="s">
        <v>3630</v>
      </c>
      <c r="B4295" t="s">
        <v>15</v>
      </c>
      <c r="C4295" t="s">
        <v>941</v>
      </c>
      <c r="D4295" t="s">
        <v>17</v>
      </c>
      <c r="E4295" t="s">
        <v>18</v>
      </c>
      <c r="F4295" t="s">
        <v>19</v>
      </c>
      <c r="G4295" t="s">
        <v>20</v>
      </c>
      <c r="J4295" t="s">
        <v>17</v>
      </c>
      <c r="K4295" t="str">
        <f>"22070346"</f>
        <v>22070346</v>
      </c>
      <c r="L4295" t="str">
        <f>"22070346"</f>
        <v>22070346</v>
      </c>
      <c r="M4295" t="s">
        <v>21</v>
      </c>
      <c r="N4295" s="1">
        <v>44349.925000000003</v>
      </c>
      <c r="O4295" t="s">
        <v>19</v>
      </c>
    </row>
    <row r="4296" spans="1:15" x14ac:dyDescent="0.25">
      <c r="A4296" t="s">
        <v>3631</v>
      </c>
      <c r="B4296" t="s">
        <v>15</v>
      </c>
      <c r="C4296" t="s">
        <v>941</v>
      </c>
      <c r="D4296" t="s">
        <v>17</v>
      </c>
      <c r="E4296" t="s">
        <v>18</v>
      </c>
      <c r="F4296" t="s">
        <v>19</v>
      </c>
      <c r="G4296" t="s">
        <v>20</v>
      </c>
      <c r="J4296" t="s">
        <v>17</v>
      </c>
      <c r="K4296" t="str">
        <f>"22070359"</f>
        <v>22070359</v>
      </c>
      <c r="L4296" t="str">
        <f>"22070359"</f>
        <v>22070359</v>
      </c>
      <c r="M4296" t="s">
        <v>21</v>
      </c>
      <c r="N4296" s="1">
        <v>44349.926388888889</v>
      </c>
      <c r="O4296" t="s">
        <v>19</v>
      </c>
    </row>
    <row r="4297" spans="1:15" x14ac:dyDescent="0.25">
      <c r="A4297" t="s">
        <v>3632</v>
      </c>
      <c r="B4297" t="s">
        <v>15</v>
      </c>
      <c r="C4297" t="s">
        <v>941</v>
      </c>
      <c r="D4297" t="s">
        <v>17</v>
      </c>
      <c r="E4297" t="s">
        <v>18</v>
      </c>
      <c r="F4297" t="s">
        <v>19</v>
      </c>
      <c r="G4297" t="s">
        <v>20</v>
      </c>
      <c r="J4297" t="s">
        <v>17</v>
      </c>
      <c r="K4297" t="str">
        <f>"42002840"</f>
        <v>42002840</v>
      </c>
      <c r="L4297" t="str">
        <f>"42002840"</f>
        <v>42002840</v>
      </c>
      <c r="M4297" t="s">
        <v>75</v>
      </c>
      <c r="N4297" s="1">
        <v>42872.839583333334</v>
      </c>
      <c r="O4297" t="s">
        <v>19</v>
      </c>
    </row>
    <row r="4298" spans="1:15" x14ac:dyDescent="0.25">
      <c r="A4298" t="s">
        <v>3632</v>
      </c>
      <c r="B4298" t="s">
        <v>15</v>
      </c>
      <c r="C4298" t="s">
        <v>941</v>
      </c>
      <c r="D4298" t="s">
        <v>17</v>
      </c>
      <c r="E4298" t="s">
        <v>18</v>
      </c>
      <c r="F4298" t="s">
        <v>19</v>
      </c>
      <c r="G4298" t="s">
        <v>20</v>
      </c>
      <c r="J4298" t="s">
        <v>17</v>
      </c>
      <c r="K4298" t="str">
        <f>"42002870"</f>
        <v>42002870</v>
      </c>
      <c r="L4298" t="str">
        <f>"42002870"</f>
        <v>42002870</v>
      </c>
      <c r="M4298" t="s">
        <v>75</v>
      </c>
      <c r="N4298" s="1">
        <v>42872.839583333334</v>
      </c>
      <c r="O4298" t="s">
        <v>19</v>
      </c>
    </row>
    <row r="4299" spans="1:15" x14ac:dyDescent="0.25">
      <c r="A4299" t="s">
        <v>3633</v>
      </c>
      <c r="B4299" t="s">
        <v>15</v>
      </c>
      <c r="C4299" t="s">
        <v>941</v>
      </c>
      <c r="D4299" t="s">
        <v>17</v>
      </c>
      <c r="E4299" t="s">
        <v>18</v>
      </c>
      <c r="F4299" t="s">
        <v>19</v>
      </c>
      <c r="G4299" t="s">
        <v>20</v>
      </c>
      <c r="J4299" t="s">
        <v>17</v>
      </c>
      <c r="K4299" t="str">
        <f>"P241524314"</f>
        <v>P241524314</v>
      </c>
      <c r="L4299" t="str">
        <f>"66003759"</f>
        <v>66003759</v>
      </c>
      <c r="M4299" t="s">
        <v>75</v>
      </c>
      <c r="N4299" s="1">
        <v>42872.847222222219</v>
      </c>
      <c r="O4299" t="s">
        <v>19</v>
      </c>
    </row>
    <row r="4300" spans="1:15" x14ac:dyDescent="0.25">
      <c r="A4300" t="s">
        <v>3634</v>
      </c>
      <c r="B4300" t="s">
        <v>15</v>
      </c>
      <c r="C4300" t="s">
        <v>941</v>
      </c>
      <c r="D4300" t="s">
        <v>17</v>
      </c>
      <c r="E4300" t="s">
        <v>18</v>
      </c>
      <c r="F4300" t="s">
        <v>19</v>
      </c>
      <c r="G4300" t="s">
        <v>20</v>
      </c>
      <c r="J4300" t="s">
        <v>17</v>
      </c>
      <c r="K4300" t="str">
        <f>"25441526"</f>
        <v>25441526</v>
      </c>
      <c r="L4300" t="str">
        <f>"25441526"</f>
        <v>25441526</v>
      </c>
      <c r="M4300" t="s">
        <v>75</v>
      </c>
      <c r="N4300" s="1">
        <v>42872.839583333334</v>
      </c>
      <c r="O4300" t="s">
        <v>19</v>
      </c>
    </row>
    <row r="4301" spans="1:15" x14ac:dyDescent="0.25">
      <c r="A4301" t="s">
        <v>3635</v>
      </c>
      <c r="B4301" t="s">
        <v>15</v>
      </c>
      <c r="C4301" t="s">
        <v>941</v>
      </c>
      <c r="D4301" t="s">
        <v>17</v>
      </c>
      <c r="E4301" t="s">
        <v>18</v>
      </c>
      <c r="F4301" t="s">
        <v>19</v>
      </c>
      <c r="G4301" t="s">
        <v>20</v>
      </c>
      <c r="J4301" t="s">
        <v>17</v>
      </c>
      <c r="K4301" t="str">
        <f>"87441716"</f>
        <v>87441716</v>
      </c>
      <c r="L4301" t="str">
        <f>"87441716"</f>
        <v>87441716</v>
      </c>
      <c r="M4301" t="s">
        <v>75</v>
      </c>
      <c r="N4301" s="1">
        <v>42872.847222222219</v>
      </c>
      <c r="O4301" t="s">
        <v>19</v>
      </c>
    </row>
    <row r="4302" spans="1:15" x14ac:dyDescent="0.25">
      <c r="A4302" t="s">
        <v>3636</v>
      </c>
      <c r="B4302" t="s">
        <v>15</v>
      </c>
      <c r="C4302" t="s">
        <v>35</v>
      </c>
      <c r="D4302" t="s">
        <v>17</v>
      </c>
      <c r="E4302" t="s">
        <v>18</v>
      </c>
      <c r="F4302" t="s">
        <v>19</v>
      </c>
      <c r="G4302" t="s">
        <v>20</v>
      </c>
      <c r="J4302" t="s">
        <v>18</v>
      </c>
      <c r="K4302" t="str">
        <f>"5620000920846"</f>
        <v>5620000920846</v>
      </c>
      <c r="L4302" t="str">
        <f>"280292084"</f>
        <v>280292084</v>
      </c>
      <c r="M4302" t="s">
        <v>84</v>
      </c>
      <c r="N4302" s="1">
        <v>43266.953472222223</v>
      </c>
      <c r="O4302" t="s">
        <v>19</v>
      </c>
    </row>
    <row r="4303" spans="1:15" x14ac:dyDescent="0.25">
      <c r="A4303" t="s">
        <v>3637</v>
      </c>
      <c r="B4303" t="s">
        <v>15</v>
      </c>
      <c r="C4303" t="s">
        <v>343</v>
      </c>
      <c r="D4303" t="s">
        <v>17</v>
      </c>
      <c r="E4303" t="s">
        <v>18</v>
      </c>
      <c r="F4303" t="s">
        <v>19</v>
      </c>
      <c r="G4303" t="s">
        <v>20</v>
      </c>
      <c r="J4303" t="s">
        <v>18</v>
      </c>
      <c r="K4303" t="str">
        <f>"2020050062740"</f>
        <v>2020050062740</v>
      </c>
      <c r="L4303" t="str">
        <f>"69060350"</f>
        <v>69060350</v>
      </c>
      <c r="M4303" t="s">
        <v>21</v>
      </c>
      <c r="N4303" s="1">
        <v>44265.668055555558</v>
      </c>
      <c r="O4303" t="s">
        <v>19</v>
      </c>
    </row>
    <row r="4304" spans="1:15" x14ac:dyDescent="0.25">
      <c r="A4304" t="s">
        <v>3638</v>
      </c>
      <c r="B4304" t="s">
        <v>15</v>
      </c>
      <c r="C4304" t="s">
        <v>343</v>
      </c>
      <c r="D4304" t="s">
        <v>17</v>
      </c>
      <c r="E4304" t="s">
        <v>18</v>
      </c>
      <c r="F4304" t="s">
        <v>19</v>
      </c>
      <c r="G4304" t="s">
        <v>20</v>
      </c>
      <c r="J4304" t="s">
        <v>18</v>
      </c>
      <c r="K4304" t="str">
        <f>"2020050062757"</f>
        <v>2020050062757</v>
      </c>
      <c r="L4304" t="str">
        <f>"69060360"</f>
        <v>69060360</v>
      </c>
      <c r="M4304" t="s">
        <v>21</v>
      </c>
      <c r="N4304" s="1">
        <v>44265.667361111111</v>
      </c>
      <c r="O4304" t="s">
        <v>19</v>
      </c>
    </row>
    <row r="4305" spans="1:15" x14ac:dyDescent="0.25">
      <c r="A4305" t="s">
        <v>3639</v>
      </c>
      <c r="B4305" t="s">
        <v>15</v>
      </c>
      <c r="C4305" t="s">
        <v>343</v>
      </c>
      <c r="D4305" t="s">
        <v>17</v>
      </c>
      <c r="E4305" t="s">
        <v>18</v>
      </c>
      <c r="F4305" t="s">
        <v>19</v>
      </c>
      <c r="G4305" t="s">
        <v>20</v>
      </c>
      <c r="J4305" t="s">
        <v>18</v>
      </c>
      <c r="K4305" t="str">
        <f>"2020050062764"</f>
        <v>2020050062764</v>
      </c>
      <c r="L4305" t="str">
        <f>"69060600"</f>
        <v>69060600</v>
      </c>
      <c r="M4305" t="s">
        <v>21</v>
      </c>
      <c r="N4305" s="1">
        <v>44265.67083333333</v>
      </c>
      <c r="O4305" t="s">
        <v>19</v>
      </c>
    </row>
    <row r="4306" spans="1:15" x14ac:dyDescent="0.25">
      <c r="A4306" t="s">
        <v>3640</v>
      </c>
      <c r="B4306" t="s">
        <v>15</v>
      </c>
      <c r="C4306" t="s">
        <v>343</v>
      </c>
      <c r="D4306" t="s">
        <v>17</v>
      </c>
      <c r="E4306" t="s">
        <v>18</v>
      </c>
      <c r="F4306" t="s">
        <v>19</v>
      </c>
      <c r="G4306" t="s">
        <v>20</v>
      </c>
      <c r="J4306" t="s">
        <v>18</v>
      </c>
      <c r="K4306" t="str">
        <f>"2020050062771"</f>
        <v>2020050062771</v>
      </c>
      <c r="L4306" t="str">
        <f>"69060188"</f>
        <v>69060188</v>
      </c>
      <c r="M4306" t="s">
        <v>21</v>
      </c>
      <c r="N4306" s="1">
        <v>44265.668749999997</v>
      </c>
      <c r="O4306" t="s">
        <v>19</v>
      </c>
    </row>
    <row r="4307" spans="1:15" x14ac:dyDescent="0.25">
      <c r="A4307" t="s">
        <v>3641</v>
      </c>
      <c r="B4307" t="s">
        <v>15</v>
      </c>
      <c r="C4307" t="s">
        <v>343</v>
      </c>
      <c r="D4307" t="s">
        <v>17</v>
      </c>
      <c r="E4307" t="s">
        <v>18</v>
      </c>
      <c r="F4307" t="s">
        <v>19</v>
      </c>
      <c r="G4307" t="s">
        <v>20</v>
      </c>
      <c r="J4307" t="s">
        <v>18</v>
      </c>
      <c r="K4307" t="str">
        <f>"2020050062733"</f>
        <v>2020050062733</v>
      </c>
      <c r="L4307" t="str">
        <f>"69060006"</f>
        <v>69060006</v>
      </c>
      <c r="M4307" t="s">
        <v>21</v>
      </c>
      <c r="N4307" s="1">
        <v>44265.672222222223</v>
      </c>
      <c r="O4307" t="s">
        <v>19</v>
      </c>
    </row>
    <row r="4308" spans="1:15" x14ac:dyDescent="0.25">
      <c r="A4308" t="s">
        <v>3642</v>
      </c>
      <c r="B4308" t="s">
        <v>15</v>
      </c>
      <c r="C4308" t="s">
        <v>343</v>
      </c>
      <c r="D4308" t="s">
        <v>17</v>
      </c>
      <c r="E4308" t="s">
        <v>18</v>
      </c>
      <c r="F4308" t="s">
        <v>19</v>
      </c>
      <c r="G4308" t="s">
        <v>20</v>
      </c>
      <c r="J4308" t="s">
        <v>17</v>
      </c>
      <c r="K4308" t="str">
        <f>"6905631118060"</f>
        <v>6905631118060</v>
      </c>
      <c r="L4308" t="str">
        <f>"40060450"</f>
        <v>40060450</v>
      </c>
      <c r="M4308" t="s">
        <v>21</v>
      </c>
      <c r="N4308" s="1">
        <v>42872.839583333334</v>
      </c>
      <c r="O4308" t="s">
        <v>19</v>
      </c>
    </row>
    <row r="4309" spans="1:15" x14ac:dyDescent="0.25">
      <c r="A4309" t="s">
        <v>3643</v>
      </c>
      <c r="B4309" t="s">
        <v>15</v>
      </c>
      <c r="C4309" t="s">
        <v>343</v>
      </c>
      <c r="D4309" t="s">
        <v>17</v>
      </c>
      <c r="E4309" t="s">
        <v>18</v>
      </c>
      <c r="F4309" t="s">
        <v>19</v>
      </c>
      <c r="G4309" t="s">
        <v>20</v>
      </c>
      <c r="J4309" t="s">
        <v>17</v>
      </c>
      <c r="K4309" t="str">
        <f>"85068017"</f>
        <v>85068017</v>
      </c>
      <c r="L4309" t="str">
        <f>"85068017"</f>
        <v>85068017</v>
      </c>
      <c r="M4309" t="s">
        <v>84</v>
      </c>
      <c r="N4309" s="1">
        <v>43347.840277777781</v>
      </c>
      <c r="O4309" t="s">
        <v>19</v>
      </c>
    </row>
    <row r="4310" spans="1:15" x14ac:dyDescent="0.25">
      <c r="A4310" t="s">
        <v>3644</v>
      </c>
      <c r="B4310" t="s">
        <v>15</v>
      </c>
      <c r="C4310" t="s">
        <v>55</v>
      </c>
      <c r="D4310" t="s">
        <v>17</v>
      </c>
      <c r="E4310" t="s">
        <v>18</v>
      </c>
      <c r="F4310" t="s">
        <v>19</v>
      </c>
      <c r="G4310" t="s">
        <v>20</v>
      </c>
      <c r="J4310" t="s">
        <v>17</v>
      </c>
      <c r="K4310" t="str">
        <f>"7858816017872"</f>
        <v>7858816017872</v>
      </c>
      <c r="L4310" t="str">
        <f>"87021787"</f>
        <v>87021787</v>
      </c>
      <c r="M4310" t="s">
        <v>21</v>
      </c>
      <c r="N4310" s="1">
        <v>44211.775000000001</v>
      </c>
      <c r="O4310" t="s">
        <v>19</v>
      </c>
    </row>
    <row r="4311" spans="1:15" x14ac:dyDescent="0.25">
      <c r="A4311" t="s">
        <v>3645</v>
      </c>
      <c r="B4311" t="s">
        <v>15</v>
      </c>
      <c r="C4311" t="s">
        <v>965</v>
      </c>
      <c r="D4311" t="s">
        <v>17</v>
      </c>
      <c r="E4311" t="s">
        <v>18</v>
      </c>
      <c r="F4311" t="s">
        <v>19</v>
      </c>
      <c r="G4311" t="s">
        <v>20</v>
      </c>
      <c r="J4311" t="s">
        <v>17</v>
      </c>
      <c r="K4311" t="str">
        <f>"10002892"</f>
        <v>10002892</v>
      </c>
      <c r="L4311" t="str">
        <f>"10002892"</f>
        <v>10002892</v>
      </c>
      <c r="M4311" t="s">
        <v>84</v>
      </c>
      <c r="N4311" s="1">
        <v>43454.665277777778</v>
      </c>
      <c r="O4311" t="s">
        <v>19</v>
      </c>
    </row>
    <row r="4312" spans="1:15" x14ac:dyDescent="0.25">
      <c r="A4312" t="s">
        <v>3646</v>
      </c>
      <c r="B4312" t="s">
        <v>15</v>
      </c>
      <c r="C4312" t="s">
        <v>965</v>
      </c>
      <c r="D4312" t="s">
        <v>17</v>
      </c>
      <c r="E4312" t="s">
        <v>18</v>
      </c>
      <c r="F4312" t="s">
        <v>19</v>
      </c>
      <c r="G4312" t="s">
        <v>20</v>
      </c>
      <c r="J4312" t="s">
        <v>17</v>
      </c>
      <c r="K4312" t="str">
        <f>"6986698108218"</f>
        <v>6986698108218</v>
      </c>
      <c r="L4312" t="str">
        <f>"40064500"</f>
        <v>40064500</v>
      </c>
      <c r="M4312" t="s">
        <v>21</v>
      </c>
      <c r="N4312" s="1">
        <v>44434.881249999999</v>
      </c>
      <c r="O4312" t="s">
        <v>19</v>
      </c>
    </row>
    <row r="4313" spans="1:15" x14ac:dyDescent="0.25">
      <c r="A4313" t="s">
        <v>3647</v>
      </c>
      <c r="B4313" t="s">
        <v>15</v>
      </c>
      <c r="C4313" t="s">
        <v>343</v>
      </c>
      <c r="D4313" t="s">
        <v>17</v>
      </c>
      <c r="E4313" t="s">
        <v>18</v>
      </c>
      <c r="F4313" t="s">
        <v>19</v>
      </c>
      <c r="G4313" t="s">
        <v>20</v>
      </c>
      <c r="J4313" t="s">
        <v>17</v>
      </c>
      <c r="K4313" t="str">
        <f>"4710007724699"</f>
        <v>4710007724699</v>
      </c>
      <c r="L4313" t="str">
        <f>"65524699"</f>
        <v>65524699</v>
      </c>
      <c r="M4313" t="s">
        <v>75</v>
      </c>
      <c r="N4313" s="1">
        <v>43028.956944444442</v>
      </c>
      <c r="O4313" t="s">
        <v>19</v>
      </c>
    </row>
    <row r="4314" spans="1:15" x14ac:dyDescent="0.25">
      <c r="A4314" t="s">
        <v>3648</v>
      </c>
      <c r="B4314" t="s">
        <v>15</v>
      </c>
      <c r="C4314" t="s">
        <v>37</v>
      </c>
      <c r="D4314" t="s">
        <v>17</v>
      </c>
      <c r="E4314" t="s">
        <v>18</v>
      </c>
      <c r="F4314" t="s">
        <v>19</v>
      </c>
      <c r="G4314" t="s">
        <v>20</v>
      </c>
      <c r="J4314" t="s">
        <v>17</v>
      </c>
      <c r="K4314" t="str">
        <f>"2587999662115"</f>
        <v>2587999662115</v>
      </c>
      <c r="L4314" t="str">
        <f>"40521019"</f>
        <v>40521019</v>
      </c>
      <c r="M4314" t="s">
        <v>21</v>
      </c>
      <c r="N4314" s="1">
        <v>44434.864583333336</v>
      </c>
      <c r="O4314" t="s">
        <v>19</v>
      </c>
    </row>
    <row r="4315" spans="1:15" x14ac:dyDescent="0.25">
      <c r="A4315" t="s">
        <v>3649</v>
      </c>
      <c r="B4315" t="s">
        <v>15</v>
      </c>
      <c r="C4315" t="s">
        <v>37</v>
      </c>
      <c r="D4315" t="s">
        <v>17</v>
      </c>
      <c r="E4315" t="s">
        <v>18</v>
      </c>
      <c r="F4315" t="s">
        <v>19</v>
      </c>
      <c r="G4315" t="s">
        <v>20</v>
      </c>
      <c r="J4315" t="s">
        <v>17</v>
      </c>
      <c r="K4315" t="str">
        <f>"10000886"</f>
        <v>10000886</v>
      </c>
      <c r="L4315" t="str">
        <f>"10000886"</f>
        <v>10000886</v>
      </c>
      <c r="M4315" t="s">
        <v>84</v>
      </c>
      <c r="N4315" s="1">
        <v>43307.863888888889</v>
      </c>
      <c r="O4315" t="s">
        <v>19</v>
      </c>
    </row>
    <row r="4316" spans="1:15" x14ac:dyDescent="0.25">
      <c r="A4316" t="s">
        <v>3650</v>
      </c>
      <c r="B4316" t="s">
        <v>15</v>
      </c>
      <c r="C4316" t="s">
        <v>941</v>
      </c>
      <c r="D4316" t="s">
        <v>17</v>
      </c>
      <c r="E4316" t="s">
        <v>18</v>
      </c>
      <c r="F4316" t="s">
        <v>19</v>
      </c>
      <c r="G4316" t="s">
        <v>20</v>
      </c>
      <c r="J4316" t="s">
        <v>17</v>
      </c>
      <c r="K4316" t="str">
        <f>"6925871650274"</f>
        <v>6925871650274</v>
      </c>
      <c r="L4316" t="str">
        <f>"22075027"</f>
        <v>22075027</v>
      </c>
      <c r="M4316" t="s">
        <v>75</v>
      </c>
      <c r="N4316" s="1">
        <v>42907.943749999999</v>
      </c>
      <c r="O4316" t="s">
        <v>19</v>
      </c>
    </row>
    <row r="4317" spans="1:15" x14ac:dyDescent="0.25">
      <c r="A4317" t="s">
        <v>3651</v>
      </c>
      <c r="B4317" t="s">
        <v>15</v>
      </c>
      <c r="C4317" t="s">
        <v>37</v>
      </c>
      <c r="D4317" t="s">
        <v>17</v>
      </c>
      <c r="E4317" t="s">
        <v>18</v>
      </c>
      <c r="F4317" t="s">
        <v>19</v>
      </c>
      <c r="G4317" t="s">
        <v>20</v>
      </c>
      <c r="J4317" t="s">
        <v>17</v>
      </c>
      <c r="K4317" t="str">
        <f>"8669885010270"</f>
        <v>8669885010270</v>
      </c>
      <c r="L4317" t="str">
        <f>"66520270"</f>
        <v>66520270</v>
      </c>
      <c r="M4317" t="s">
        <v>75</v>
      </c>
      <c r="N4317" s="1">
        <v>43096.88958333333</v>
      </c>
      <c r="O4317" t="s">
        <v>19</v>
      </c>
    </row>
    <row r="4318" spans="1:15" x14ac:dyDescent="0.25">
      <c r="A4318" t="s">
        <v>3652</v>
      </c>
      <c r="B4318" t="s">
        <v>15</v>
      </c>
      <c r="C4318" t="s">
        <v>37</v>
      </c>
      <c r="D4318" t="s">
        <v>17</v>
      </c>
      <c r="E4318" t="s">
        <v>18</v>
      </c>
      <c r="F4318" t="s">
        <v>19</v>
      </c>
      <c r="G4318" t="s">
        <v>20</v>
      </c>
      <c r="J4318" t="s">
        <v>17</v>
      </c>
      <c r="K4318" t="str">
        <f>"10522926"</f>
        <v>10522926</v>
      </c>
      <c r="L4318" t="str">
        <f>"10522926"</f>
        <v>10522926</v>
      </c>
      <c r="M4318" t="s">
        <v>75</v>
      </c>
      <c r="N4318" s="1">
        <v>43084.796527777777</v>
      </c>
      <c r="O4318" t="s">
        <v>19</v>
      </c>
    </row>
    <row r="4319" spans="1:15" x14ac:dyDescent="0.25">
      <c r="A4319" t="s">
        <v>3653</v>
      </c>
      <c r="B4319" t="s">
        <v>15</v>
      </c>
      <c r="C4319" t="s">
        <v>37</v>
      </c>
      <c r="D4319" t="s">
        <v>17</v>
      </c>
      <c r="E4319" t="s">
        <v>18</v>
      </c>
      <c r="F4319" t="s">
        <v>19</v>
      </c>
      <c r="G4319" t="s">
        <v>20</v>
      </c>
      <c r="J4319" t="s">
        <v>17</v>
      </c>
      <c r="K4319" t="str">
        <f>"10522993"</f>
        <v>10522993</v>
      </c>
      <c r="L4319" t="str">
        <f>"10522993"</f>
        <v>10522993</v>
      </c>
      <c r="M4319" t="s">
        <v>75</v>
      </c>
      <c r="N4319" s="1">
        <v>43084.797222222223</v>
      </c>
      <c r="O4319" t="s">
        <v>19</v>
      </c>
    </row>
    <row r="4320" spans="1:15" x14ac:dyDescent="0.25">
      <c r="A4320" t="s">
        <v>3653</v>
      </c>
      <c r="B4320" t="s">
        <v>15</v>
      </c>
      <c r="C4320" t="s">
        <v>37</v>
      </c>
      <c r="D4320" t="s">
        <v>17</v>
      </c>
      <c r="E4320" t="s">
        <v>18</v>
      </c>
      <c r="F4320" t="s">
        <v>19</v>
      </c>
      <c r="G4320" t="s">
        <v>20</v>
      </c>
      <c r="J4320" t="s">
        <v>17</v>
      </c>
      <c r="K4320" t="str">
        <f>"10002993"</f>
        <v>10002993</v>
      </c>
      <c r="L4320" t="str">
        <f>"10002993"</f>
        <v>10002993</v>
      </c>
      <c r="M4320" t="s">
        <v>84</v>
      </c>
      <c r="N4320" s="1">
        <v>43307.864583333336</v>
      </c>
      <c r="O4320" t="s">
        <v>19</v>
      </c>
    </row>
    <row r="4321" spans="1:15" x14ac:dyDescent="0.25">
      <c r="A4321" t="s">
        <v>3654</v>
      </c>
      <c r="B4321" t="s">
        <v>15</v>
      </c>
      <c r="C4321" t="s">
        <v>2131</v>
      </c>
      <c r="D4321" t="s">
        <v>17</v>
      </c>
      <c r="E4321" t="s">
        <v>17</v>
      </c>
      <c r="F4321" t="s">
        <v>19</v>
      </c>
      <c r="G4321" t="s">
        <v>20</v>
      </c>
      <c r="J4321" t="s">
        <v>17</v>
      </c>
      <c r="K4321" t="str">
        <f>"5050505"</f>
        <v>5050505</v>
      </c>
      <c r="L4321" t="str">
        <f>"50505050"</f>
        <v>50505050</v>
      </c>
      <c r="M4321" t="s">
        <v>21</v>
      </c>
      <c r="N4321" s="1">
        <v>42899.845138888886</v>
      </c>
      <c r="O4321" t="s">
        <v>33</v>
      </c>
    </row>
    <row r="4322" spans="1:15" x14ac:dyDescent="0.25">
      <c r="A4322" t="s">
        <v>3655</v>
      </c>
      <c r="B4322" t="s">
        <v>15</v>
      </c>
      <c r="C4322" t="s">
        <v>64</v>
      </c>
      <c r="D4322" t="s">
        <v>17</v>
      </c>
      <c r="E4322" t="s">
        <v>18</v>
      </c>
      <c r="F4322" t="s">
        <v>19</v>
      </c>
      <c r="G4322" t="s">
        <v>20</v>
      </c>
      <c r="J4322" t="s">
        <v>17</v>
      </c>
      <c r="K4322" t="str">
        <f>"1921681118021"</f>
        <v>1921681118021</v>
      </c>
      <c r="L4322" t="str">
        <f>"40920600"</f>
        <v>40920600</v>
      </c>
      <c r="M4322" t="s">
        <v>21</v>
      </c>
      <c r="N4322" s="1">
        <v>44306.890277777777</v>
      </c>
      <c r="O4322" t="s">
        <v>19</v>
      </c>
    </row>
    <row r="4323" spans="1:15" x14ac:dyDescent="0.25">
      <c r="A4323" t="s">
        <v>3656</v>
      </c>
      <c r="B4323" t="s">
        <v>15</v>
      </c>
      <c r="C4323" t="s">
        <v>64</v>
      </c>
      <c r="D4323" t="s">
        <v>17</v>
      </c>
      <c r="E4323" t="s">
        <v>18</v>
      </c>
      <c r="F4323" t="s">
        <v>19</v>
      </c>
      <c r="G4323" t="s">
        <v>20</v>
      </c>
      <c r="J4323" t="s">
        <v>17</v>
      </c>
      <c r="K4323" t="str">
        <f>"6931328508210"</f>
        <v>6931328508210</v>
      </c>
      <c r="L4323" t="str">
        <f>"40930300"</f>
        <v>40930300</v>
      </c>
      <c r="M4323" t="s">
        <v>21</v>
      </c>
      <c r="N4323" s="1">
        <v>44286.740972222222</v>
      </c>
      <c r="O4323" t="s">
        <v>19</v>
      </c>
    </row>
    <row r="4324" spans="1:15" x14ac:dyDescent="0.25">
      <c r="A4324" t="s">
        <v>3657</v>
      </c>
      <c r="B4324" t="s">
        <v>15</v>
      </c>
      <c r="C4324" t="s">
        <v>37</v>
      </c>
      <c r="D4324" t="s">
        <v>17</v>
      </c>
      <c r="E4324" t="s">
        <v>18</v>
      </c>
      <c r="F4324" t="s">
        <v>19</v>
      </c>
      <c r="G4324" t="s">
        <v>20</v>
      </c>
      <c r="J4324" t="s">
        <v>18</v>
      </c>
      <c r="K4324" t="str">
        <f>"4710007730003"</f>
        <v>4710007730003</v>
      </c>
      <c r="L4324" t="str">
        <f>"65520502"</f>
        <v>65520502</v>
      </c>
      <c r="M4324" t="s">
        <v>84</v>
      </c>
      <c r="N4324" s="1">
        <v>43326.852777777778</v>
      </c>
      <c r="O4324" t="s">
        <v>19</v>
      </c>
    </row>
    <row r="4325" spans="1:15" x14ac:dyDescent="0.25">
      <c r="A4325" t="s">
        <v>3657</v>
      </c>
      <c r="B4325" t="s">
        <v>15</v>
      </c>
      <c r="C4325" t="s">
        <v>37</v>
      </c>
      <c r="D4325" t="s">
        <v>17</v>
      </c>
      <c r="E4325" t="s">
        <v>18</v>
      </c>
      <c r="F4325" t="s">
        <v>19</v>
      </c>
      <c r="G4325" t="s">
        <v>20</v>
      </c>
      <c r="J4325" t="s">
        <v>17</v>
      </c>
      <c r="K4325" t="str">
        <f>"4710007735336"</f>
        <v>4710007735336</v>
      </c>
      <c r="L4325" t="str">
        <f>"65522251"</f>
        <v>65522251</v>
      </c>
      <c r="M4325" t="s">
        <v>84</v>
      </c>
      <c r="N4325" s="1">
        <v>43326.854861111111</v>
      </c>
      <c r="O4325" t="s">
        <v>19</v>
      </c>
    </row>
    <row r="4326" spans="1:15" x14ac:dyDescent="0.25">
      <c r="A4326" t="s">
        <v>3658</v>
      </c>
      <c r="B4326" t="s">
        <v>15</v>
      </c>
      <c r="C4326" t="s">
        <v>37</v>
      </c>
      <c r="D4326" t="s">
        <v>17</v>
      </c>
      <c r="E4326" t="s">
        <v>18</v>
      </c>
      <c r="F4326" t="s">
        <v>19</v>
      </c>
      <c r="G4326" t="s">
        <v>20</v>
      </c>
      <c r="J4326" t="s">
        <v>17</v>
      </c>
      <c r="K4326" t="str">
        <f>"4710007735367"</f>
        <v>4710007735367</v>
      </c>
      <c r="L4326" t="str">
        <f>"65522252"</f>
        <v>65522252</v>
      </c>
      <c r="M4326" t="s">
        <v>84</v>
      </c>
      <c r="N4326" s="1">
        <v>43326.855555555558</v>
      </c>
      <c r="O4326" t="s">
        <v>19</v>
      </c>
    </row>
    <row r="4327" spans="1:15" x14ac:dyDescent="0.25">
      <c r="A4327" t="s">
        <v>3659</v>
      </c>
      <c r="B4327" t="s">
        <v>15</v>
      </c>
      <c r="C4327" t="s">
        <v>37</v>
      </c>
      <c r="D4327" t="s">
        <v>17</v>
      </c>
      <c r="E4327" t="s">
        <v>18</v>
      </c>
      <c r="F4327" t="s">
        <v>19</v>
      </c>
      <c r="G4327" t="s">
        <v>20</v>
      </c>
      <c r="J4327" t="s">
        <v>18</v>
      </c>
      <c r="K4327" t="str">
        <f>"4710007737972"</f>
        <v>4710007737972</v>
      </c>
      <c r="L4327" t="str">
        <f>"65520503"</f>
        <v>65520503</v>
      </c>
      <c r="M4327" t="s">
        <v>84</v>
      </c>
      <c r="N4327" s="1">
        <v>43326.853472222225</v>
      </c>
      <c r="O4327" t="s">
        <v>33</v>
      </c>
    </row>
    <row r="4328" spans="1:15" x14ac:dyDescent="0.25">
      <c r="A4328" t="s">
        <v>3660</v>
      </c>
      <c r="B4328" t="s">
        <v>15</v>
      </c>
      <c r="C4328" t="s">
        <v>37</v>
      </c>
      <c r="D4328" t="s">
        <v>17</v>
      </c>
      <c r="E4328" t="s">
        <v>18</v>
      </c>
      <c r="F4328" t="s">
        <v>19</v>
      </c>
      <c r="G4328" t="s">
        <v>20</v>
      </c>
      <c r="J4328" t="s">
        <v>18</v>
      </c>
      <c r="K4328" t="str">
        <f>"4710007730874"</f>
        <v>4710007730874</v>
      </c>
      <c r="L4328" t="str">
        <f>"65520501"</f>
        <v>65520501</v>
      </c>
      <c r="M4328" t="s">
        <v>84</v>
      </c>
      <c r="N4328" s="1">
        <v>43326.851388888892</v>
      </c>
      <c r="O4328" t="s">
        <v>19</v>
      </c>
    </row>
    <row r="4329" spans="1:15" x14ac:dyDescent="0.25">
      <c r="A4329" t="s">
        <v>3661</v>
      </c>
      <c r="B4329" t="s">
        <v>15</v>
      </c>
      <c r="C4329" t="s">
        <v>37</v>
      </c>
      <c r="D4329" t="s">
        <v>17</v>
      </c>
      <c r="E4329" t="s">
        <v>18</v>
      </c>
      <c r="F4329" t="s">
        <v>19</v>
      </c>
      <c r="G4329" t="s">
        <v>20</v>
      </c>
      <c r="J4329" t="s">
        <v>17</v>
      </c>
      <c r="K4329" t="str">
        <f>"4710007735343"</f>
        <v>4710007735343</v>
      </c>
      <c r="L4329" t="str">
        <f>"65522253"</f>
        <v>65522253</v>
      </c>
      <c r="M4329" t="s">
        <v>84</v>
      </c>
      <c r="N4329" s="1">
        <v>43326.856249999997</v>
      </c>
      <c r="O4329" t="s">
        <v>19</v>
      </c>
    </row>
    <row r="4330" spans="1:15" x14ac:dyDescent="0.25">
      <c r="A4330" t="s">
        <v>3662</v>
      </c>
      <c r="B4330" t="s">
        <v>15</v>
      </c>
      <c r="C4330" t="s">
        <v>37</v>
      </c>
      <c r="D4330" t="s">
        <v>17</v>
      </c>
      <c r="E4330" t="s">
        <v>18</v>
      </c>
      <c r="F4330" t="s">
        <v>19</v>
      </c>
      <c r="G4330" t="s">
        <v>20</v>
      </c>
      <c r="J4330" t="s">
        <v>17</v>
      </c>
      <c r="K4330" t="str">
        <f>"4710007735350"</f>
        <v>4710007735350</v>
      </c>
      <c r="L4330" t="str">
        <f>"65522254"</f>
        <v>65522254</v>
      </c>
      <c r="M4330" t="s">
        <v>84</v>
      </c>
      <c r="N4330" s="1">
        <v>43326.856944444444</v>
      </c>
      <c r="O4330" t="s">
        <v>19</v>
      </c>
    </row>
    <row r="4331" spans="1:15" x14ac:dyDescent="0.25">
      <c r="A4331" t="s">
        <v>3663</v>
      </c>
      <c r="B4331" t="s">
        <v>15</v>
      </c>
      <c r="C4331" t="s">
        <v>2989</v>
      </c>
      <c r="D4331" t="s">
        <v>17</v>
      </c>
      <c r="E4331" t="s">
        <v>18</v>
      </c>
      <c r="F4331" t="s">
        <v>19</v>
      </c>
      <c r="G4331" t="s">
        <v>20</v>
      </c>
      <c r="J4331" t="s">
        <v>17</v>
      </c>
      <c r="K4331" t="str">
        <f>"77520700"</f>
        <v>77520700</v>
      </c>
      <c r="L4331" t="str">
        <f>"77520700"</f>
        <v>77520700</v>
      </c>
      <c r="M4331" t="s">
        <v>84</v>
      </c>
      <c r="N4331" s="1">
        <v>43538.897916666669</v>
      </c>
      <c r="O4331" t="s">
        <v>19</v>
      </c>
    </row>
    <row r="4332" spans="1:15" x14ac:dyDescent="0.25">
      <c r="A4332" t="s">
        <v>3664</v>
      </c>
      <c r="B4332" t="s">
        <v>15</v>
      </c>
      <c r="C4332" t="s">
        <v>217</v>
      </c>
      <c r="D4332" t="s">
        <v>17</v>
      </c>
      <c r="E4332" t="s">
        <v>18</v>
      </c>
      <c r="F4332" t="s">
        <v>19</v>
      </c>
      <c r="G4332" t="s">
        <v>20</v>
      </c>
      <c r="J4332" t="s">
        <v>17</v>
      </c>
      <c r="K4332" t="str">
        <f>"77520701"</f>
        <v>77520701</v>
      </c>
      <c r="L4332" t="str">
        <f>"77520701"</f>
        <v>77520701</v>
      </c>
      <c r="M4332" t="s">
        <v>21</v>
      </c>
      <c r="N4332" s="1">
        <v>43843.635416666664</v>
      </c>
      <c r="O4332" t="s">
        <v>19</v>
      </c>
    </row>
    <row r="4333" spans="1:15" x14ac:dyDescent="0.25">
      <c r="A4333" t="s">
        <v>3665</v>
      </c>
      <c r="B4333" t="s">
        <v>1963</v>
      </c>
      <c r="C4333" t="s">
        <v>2989</v>
      </c>
      <c r="D4333" t="s">
        <v>17</v>
      </c>
      <c r="E4333" t="s">
        <v>17</v>
      </c>
      <c r="F4333" t="s">
        <v>19</v>
      </c>
      <c r="G4333" t="s">
        <v>20</v>
      </c>
      <c r="J4333" t="s">
        <v>17</v>
      </c>
      <c r="K4333" t="str">
        <f>"80000"</f>
        <v>80000</v>
      </c>
      <c r="L4333" t="str">
        <f>"80000"</f>
        <v>80000</v>
      </c>
      <c r="M4333" t="s">
        <v>21</v>
      </c>
      <c r="N4333" s="1">
        <v>43721.84375</v>
      </c>
      <c r="O4333" t="s">
        <v>19</v>
      </c>
    </row>
    <row r="4334" spans="1:15" x14ac:dyDescent="0.25">
      <c r="A4334" t="s">
        <v>3666</v>
      </c>
      <c r="B4334" t="s">
        <v>1963</v>
      </c>
      <c r="C4334" t="s">
        <v>2989</v>
      </c>
      <c r="D4334" t="s">
        <v>17</v>
      </c>
      <c r="E4334" t="s">
        <v>17</v>
      </c>
      <c r="F4334" t="s">
        <v>19</v>
      </c>
      <c r="G4334" t="s">
        <v>20</v>
      </c>
      <c r="J4334" t="s">
        <v>17</v>
      </c>
      <c r="K4334" t="str">
        <f>"40000"</f>
        <v>40000</v>
      </c>
      <c r="L4334" t="str">
        <f>"40000"</f>
        <v>40000</v>
      </c>
      <c r="M4334" t="s">
        <v>21</v>
      </c>
      <c r="N4334" s="1">
        <v>43721.845138888886</v>
      </c>
      <c r="O4334" t="s">
        <v>19</v>
      </c>
    </row>
    <row r="4335" spans="1:15" x14ac:dyDescent="0.25">
      <c r="A4335" t="s">
        <v>3667</v>
      </c>
      <c r="B4335" t="s">
        <v>1963</v>
      </c>
      <c r="C4335" t="s">
        <v>2989</v>
      </c>
      <c r="D4335" t="s">
        <v>17</v>
      </c>
      <c r="E4335" t="s">
        <v>17</v>
      </c>
      <c r="F4335" t="s">
        <v>19</v>
      </c>
      <c r="G4335" t="s">
        <v>20</v>
      </c>
      <c r="J4335" t="s">
        <v>17</v>
      </c>
      <c r="K4335" t="str">
        <f>"20000"</f>
        <v>20000</v>
      </c>
      <c r="L4335" t="str">
        <f>"20000"</f>
        <v>20000</v>
      </c>
      <c r="M4335" t="s">
        <v>21</v>
      </c>
      <c r="N4335" s="1">
        <v>43721.845833333333</v>
      </c>
      <c r="O4335" t="s">
        <v>19</v>
      </c>
    </row>
    <row r="4336" spans="1:15" x14ac:dyDescent="0.25">
      <c r="A4336" t="s">
        <v>3668</v>
      </c>
      <c r="B4336" t="s">
        <v>15</v>
      </c>
      <c r="C4336" t="s">
        <v>37</v>
      </c>
      <c r="D4336" t="s">
        <v>17</v>
      </c>
      <c r="E4336" t="s">
        <v>18</v>
      </c>
      <c r="F4336" t="s">
        <v>19</v>
      </c>
      <c r="G4336" t="s">
        <v>20</v>
      </c>
      <c r="J4336" t="s">
        <v>17</v>
      </c>
      <c r="K4336" t="str">
        <f>"10001431"</f>
        <v>10001431</v>
      </c>
      <c r="L4336" t="str">
        <f>"10001431"</f>
        <v>10001431</v>
      </c>
      <c r="M4336" t="s">
        <v>84</v>
      </c>
      <c r="N4336" s="1">
        <v>43307.936805555553</v>
      </c>
      <c r="O4336" t="s">
        <v>19</v>
      </c>
    </row>
    <row r="4337" spans="1:15" x14ac:dyDescent="0.25">
      <c r="A4337" t="s">
        <v>3669</v>
      </c>
      <c r="B4337" t="s">
        <v>15</v>
      </c>
      <c r="C4337" t="s">
        <v>2481</v>
      </c>
      <c r="D4337" t="s">
        <v>17</v>
      </c>
      <c r="E4337" t="s">
        <v>18</v>
      </c>
      <c r="F4337" t="s">
        <v>19</v>
      </c>
      <c r="G4337" t="s">
        <v>20</v>
      </c>
      <c r="J4337" t="s">
        <v>17</v>
      </c>
      <c r="K4337" t="str">
        <f>"7858816062896"</f>
        <v>7858816062896</v>
      </c>
      <c r="L4337" t="str">
        <f>"87386289"</f>
        <v>87386289</v>
      </c>
      <c r="M4337" t="s">
        <v>21</v>
      </c>
      <c r="N4337" s="1">
        <v>43819.624305555553</v>
      </c>
      <c r="O4337" t="s">
        <v>19</v>
      </c>
    </row>
    <row r="4338" spans="1:15" x14ac:dyDescent="0.25">
      <c r="A4338" t="s">
        <v>3670</v>
      </c>
      <c r="B4338" t="s">
        <v>15</v>
      </c>
      <c r="C4338" t="s">
        <v>217</v>
      </c>
      <c r="D4338" t="s">
        <v>17</v>
      </c>
      <c r="E4338" t="s">
        <v>18</v>
      </c>
      <c r="F4338" t="s">
        <v>19</v>
      </c>
      <c r="G4338" t="s">
        <v>20</v>
      </c>
      <c r="J4338" t="s">
        <v>17</v>
      </c>
      <c r="K4338" t="str">
        <f>"7858816062902"</f>
        <v>7858816062902</v>
      </c>
      <c r="L4338" t="str">
        <f>"87526390"</f>
        <v>87526390</v>
      </c>
      <c r="M4338" t="s">
        <v>21</v>
      </c>
      <c r="N4338" s="1">
        <v>43545.875</v>
      </c>
      <c r="O4338" t="s">
        <v>19</v>
      </c>
    </row>
    <row r="4339" spans="1:15" x14ac:dyDescent="0.25">
      <c r="A4339" t="s">
        <v>3671</v>
      </c>
      <c r="B4339" t="s">
        <v>15</v>
      </c>
      <c r="C4339" t="s">
        <v>37</v>
      </c>
      <c r="D4339" t="s">
        <v>17</v>
      </c>
      <c r="E4339" t="s">
        <v>18</v>
      </c>
      <c r="F4339" t="s">
        <v>19</v>
      </c>
      <c r="G4339" t="s">
        <v>20</v>
      </c>
      <c r="J4339" t="s">
        <v>17</v>
      </c>
      <c r="K4339" t="str">
        <f>"829610001814"</f>
        <v>829610001814</v>
      </c>
      <c r="L4339" t="str">
        <f>"2189038219"</f>
        <v>2189038219</v>
      </c>
      <c r="M4339" t="s">
        <v>21</v>
      </c>
      <c r="N4339" s="1">
        <v>43879.751388888886</v>
      </c>
      <c r="O4339" t="s">
        <v>19</v>
      </c>
    </row>
    <row r="4340" spans="1:15" x14ac:dyDescent="0.25">
      <c r="A4340" t="s">
        <v>3672</v>
      </c>
      <c r="B4340" t="s">
        <v>15</v>
      </c>
      <c r="C4340" t="s">
        <v>2989</v>
      </c>
      <c r="D4340" t="s">
        <v>17</v>
      </c>
      <c r="E4340" t="s">
        <v>17</v>
      </c>
      <c r="F4340" t="s">
        <v>33</v>
      </c>
      <c r="G4340" t="s">
        <v>20</v>
      </c>
      <c r="J4340" t="s">
        <v>17</v>
      </c>
      <c r="K4340" t="str">
        <f>"90000001"</f>
        <v>90000001</v>
      </c>
      <c r="L4340" t="str">
        <f>"90000001"</f>
        <v>90000001</v>
      </c>
      <c r="M4340" t="s">
        <v>84</v>
      </c>
      <c r="N4340" s="1">
        <v>43381.947916666664</v>
      </c>
      <c r="O4340" t="s">
        <v>33</v>
      </c>
    </row>
    <row r="4341" spans="1:15" x14ac:dyDescent="0.25">
      <c r="A4341" t="s">
        <v>3673</v>
      </c>
      <c r="B4341" t="s">
        <v>15</v>
      </c>
      <c r="C4341" t="s">
        <v>164</v>
      </c>
      <c r="D4341" t="s">
        <v>17</v>
      </c>
      <c r="E4341" t="s">
        <v>18</v>
      </c>
      <c r="F4341" t="s">
        <v>19</v>
      </c>
      <c r="G4341" t="s">
        <v>20</v>
      </c>
      <c r="J4341" t="s">
        <v>18</v>
      </c>
      <c r="K4341" t="str">
        <f>"47880001"</f>
        <v>47880001</v>
      </c>
      <c r="L4341" t="str">
        <f>"47880001"</f>
        <v>47880001</v>
      </c>
      <c r="M4341" t="s">
        <v>21</v>
      </c>
      <c r="N4341" s="1">
        <v>44042.649305555555</v>
      </c>
      <c r="O4341" t="s">
        <v>19</v>
      </c>
    </row>
    <row r="4342" spans="1:15" x14ac:dyDescent="0.25">
      <c r="A4342" t="s">
        <v>3674</v>
      </c>
      <c r="B4342" t="s">
        <v>15</v>
      </c>
      <c r="C4342" t="s">
        <v>2751</v>
      </c>
      <c r="D4342" t="s">
        <v>17</v>
      </c>
      <c r="E4342" t="s">
        <v>18</v>
      </c>
      <c r="F4342" t="s">
        <v>19</v>
      </c>
      <c r="G4342" t="s">
        <v>20</v>
      </c>
      <c r="J4342" t="s">
        <v>17</v>
      </c>
      <c r="K4342" t="str">
        <f>"619659147655"</f>
        <v>619659147655</v>
      </c>
      <c r="L4342" t="str">
        <f>"92360332"</f>
        <v>92360332</v>
      </c>
      <c r="M4342" t="s">
        <v>21</v>
      </c>
      <c r="N4342" s="1">
        <v>43630.986111111109</v>
      </c>
      <c r="O4342" t="s">
        <v>19</v>
      </c>
    </row>
    <row r="4343" spans="1:15" x14ac:dyDescent="0.25">
      <c r="A4343" t="s">
        <v>3675</v>
      </c>
      <c r="B4343" t="s">
        <v>15</v>
      </c>
      <c r="C4343" t="s">
        <v>905</v>
      </c>
      <c r="D4343" t="s">
        <v>17</v>
      </c>
      <c r="E4343" t="s">
        <v>18</v>
      </c>
      <c r="F4343" t="s">
        <v>19</v>
      </c>
      <c r="G4343" t="s">
        <v>20</v>
      </c>
      <c r="J4343" t="s">
        <v>17</v>
      </c>
      <c r="K4343" t="str">
        <f>"66794482"</f>
        <v>66794482</v>
      </c>
      <c r="L4343" t="str">
        <f>"66794482"</f>
        <v>66794482</v>
      </c>
      <c r="M4343" t="s">
        <v>75</v>
      </c>
      <c r="N4343" s="1">
        <v>42872.847222222219</v>
      </c>
      <c r="O4343" t="s">
        <v>19</v>
      </c>
    </row>
    <row r="4344" spans="1:15" x14ac:dyDescent="0.25">
      <c r="A4344" t="s">
        <v>3676</v>
      </c>
      <c r="B4344" t="s">
        <v>15</v>
      </c>
      <c r="C4344" t="s">
        <v>905</v>
      </c>
      <c r="D4344" t="s">
        <v>17</v>
      </c>
      <c r="E4344" t="s">
        <v>18</v>
      </c>
      <c r="F4344" t="s">
        <v>19</v>
      </c>
      <c r="G4344" t="s">
        <v>20</v>
      </c>
      <c r="J4344" t="s">
        <v>17</v>
      </c>
      <c r="K4344" t="str">
        <f>"17794482"</f>
        <v>17794482</v>
      </c>
      <c r="L4344" t="str">
        <f>"17794482"</f>
        <v>17794482</v>
      </c>
      <c r="M4344" t="s">
        <v>75</v>
      </c>
      <c r="N4344" s="1">
        <v>42872.839583333334</v>
      </c>
      <c r="O4344" t="s">
        <v>19</v>
      </c>
    </row>
    <row r="4345" spans="1:15" x14ac:dyDescent="0.25">
      <c r="A4345" t="s">
        <v>3677</v>
      </c>
      <c r="B4345" t="s">
        <v>15</v>
      </c>
      <c r="C4345" t="s">
        <v>905</v>
      </c>
      <c r="D4345" t="s">
        <v>17</v>
      </c>
      <c r="E4345" t="s">
        <v>18</v>
      </c>
      <c r="F4345" t="s">
        <v>19</v>
      </c>
      <c r="G4345" t="s">
        <v>20</v>
      </c>
      <c r="J4345" t="s">
        <v>17</v>
      </c>
      <c r="K4345" t="str">
        <f>"76730001"</f>
        <v>76730001</v>
      </c>
      <c r="L4345" t="str">
        <f>"76730001"</f>
        <v>76730001</v>
      </c>
      <c r="M4345" t="s">
        <v>75</v>
      </c>
      <c r="N4345" s="1">
        <v>42872.847222222219</v>
      </c>
      <c r="O4345" t="s">
        <v>19</v>
      </c>
    </row>
    <row r="4346" spans="1:15" x14ac:dyDescent="0.25">
      <c r="A4346" t="s">
        <v>3678</v>
      </c>
      <c r="B4346" t="s">
        <v>15</v>
      </c>
      <c r="C4346" t="s">
        <v>905</v>
      </c>
      <c r="D4346" t="s">
        <v>17</v>
      </c>
      <c r="E4346" t="s">
        <v>18</v>
      </c>
      <c r="F4346" t="s">
        <v>19</v>
      </c>
      <c r="G4346" t="s">
        <v>20</v>
      </c>
      <c r="J4346" t="s">
        <v>17</v>
      </c>
      <c r="K4346" t="str">
        <f>"4710007727348"</f>
        <v>4710007727348</v>
      </c>
      <c r="L4346" t="str">
        <f>"65737348"</f>
        <v>65737348</v>
      </c>
      <c r="M4346" t="s">
        <v>75</v>
      </c>
      <c r="N4346" s="1">
        <v>43123.84097222222</v>
      </c>
      <c r="O4346" t="s">
        <v>19</v>
      </c>
    </row>
    <row r="4347" spans="1:15" x14ac:dyDescent="0.25">
      <c r="A4347" t="s">
        <v>3679</v>
      </c>
      <c r="B4347" t="s">
        <v>15</v>
      </c>
      <c r="C4347" t="s">
        <v>905</v>
      </c>
      <c r="D4347" t="s">
        <v>17</v>
      </c>
      <c r="E4347" t="s">
        <v>18</v>
      </c>
      <c r="F4347" t="s">
        <v>19</v>
      </c>
      <c r="G4347" t="s">
        <v>20</v>
      </c>
      <c r="J4347" t="s">
        <v>17</v>
      </c>
      <c r="K4347" t="str">
        <f>"4710007735657"</f>
        <v>4710007735657</v>
      </c>
      <c r="L4347" t="str">
        <f>"65735657"</f>
        <v>65735657</v>
      </c>
      <c r="M4347" t="s">
        <v>75</v>
      </c>
      <c r="N4347" s="1">
        <v>43028.95</v>
      </c>
      <c r="O4347" t="s">
        <v>19</v>
      </c>
    </row>
    <row r="4348" spans="1:15" x14ac:dyDescent="0.25">
      <c r="A4348" t="s">
        <v>3680</v>
      </c>
      <c r="B4348" t="s">
        <v>15</v>
      </c>
      <c r="C4348" t="s">
        <v>905</v>
      </c>
      <c r="D4348" t="s">
        <v>17</v>
      </c>
      <c r="E4348" t="s">
        <v>18</v>
      </c>
      <c r="F4348" t="s">
        <v>19</v>
      </c>
      <c r="G4348" t="s">
        <v>20</v>
      </c>
      <c r="J4348" t="s">
        <v>17</v>
      </c>
      <c r="K4348" t="str">
        <f>"025215494697"</f>
        <v>025215494697</v>
      </c>
      <c r="L4348" t="str">
        <f>"18734697"</f>
        <v>18734697</v>
      </c>
      <c r="M4348" t="s">
        <v>75</v>
      </c>
      <c r="N4348" s="1">
        <v>43033.926388888889</v>
      </c>
      <c r="O4348" t="s">
        <v>19</v>
      </c>
    </row>
    <row r="4349" spans="1:15" x14ac:dyDescent="0.25">
      <c r="A4349" t="s">
        <v>3681</v>
      </c>
      <c r="B4349" t="s">
        <v>15</v>
      </c>
      <c r="C4349" t="s">
        <v>905</v>
      </c>
      <c r="D4349" t="s">
        <v>17</v>
      </c>
      <c r="E4349" t="s">
        <v>18</v>
      </c>
      <c r="F4349" t="s">
        <v>19</v>
      </c>
      <c r="G4349" t="s">
        <v>20</v>
      </c>
      <c r="J4349" t="s">
        <v>17</v>
      </c>
      <c r="K4349" t="str">
        <f>"10000686"</f>
        <v>10000686</v>
      </c>
      <c r="L4349" t="str">
        <f>"10000686"</f>
        <v>10000686</v>
      </c>
      <c r="M4349" t="s">
        <v>75</v>
      </c>
      <c r="N4349" s="1">
        <v>42872.839583333334</v>
      </c>
      <c r="O4349" t="s">
        <v>19</v>
      </c>
    </row>
    <row r="4350" spans="1:15" x14ac:dyDescent="0.25">
      <c r="A4350" t="s">
        <v>3682</v>
      </c>
      <c r="B4350" t="s">
        <v>15</v>
      </c>
      <c r="C4350" t="s">
        <v>37</v>
      </c>
      <c r="D4350" t="s">
        <v>17</v>
      </c>
      <c r="E4350" t="s">
        <v>18</v>
      </c>
      <c r="F4350" t="s">
        <v>19</v>
      </c>
      <c r="G4350" t="s">
        <v>20</v>
      </c>
      <c r="J4350" t="s">
        <v>17</v>
      </c>
      <c r="K4350" t="str">
        <f>"10732530"</f>
        <v>10732530</v>
      </c>
      <c r="L4350" t="str">
        <f>"10732530"</f>
        <v>10732530</v>
      </c>
      <c r="M4350" t="s">
        <v>75</v>
      </c>
      <c r="N4350" s="1">
        <v>42941.836111111108</v>
      </c>
      <c r="O4350" t="s">
        <v>19</v>
      </c>
    </row>
    <row r="4351" spans="1:15" x14ac:dyDescent="0.25">
      <c r="A4351" t="s">
        <v>3683</v>
      </c>
      <c r="B4351" t="s">
        <v>15</v>
      </c>
      <c r="C4351" t="s">
        <v>905</v>
      </c>
      <c r="D4351" t="s">
        <v>17</v>
      </c>
      <c r="E4351" t="s">
        <v>18</v>
      </c>
      <c r="F4351" t="s">
        <v>19</v>
      </c>
      <c r="G4351" t="s">
        <v>20</v>
      </c>
      <c r="J4351" t="s">
        <v>17</v>
      </c>
      <c r="K4351" t="str">
        <f>"10000945"</f>
        <v>10000945</v>
      </c>
      <c r="L4351" t="str">
        <f>"10000945"</f>
        <v>10000945</v>
      </c>
      <c r="M4351" t="s">
        <v>75</v>
      </c>
      <c r="N4351" s="1">
        <v>42872.839583333334</v>
      </c>
      <c r="O4351" t="s">
        <v>19</v>
      </c>
    </row>
    <row r="4352" spans="1:15" x14ac:dyDescent="0.25">
      <c r="A4352" t="s">
        <v>3684</v>
      </c>
      <c r="B4352" t="s">
        <v>15</v>
      </c>
      <c r="C4352" t="s">
        <v>905</v>
      </c>
      <c r="D4352" t="s">
        <v>17</v>
      </c>
      <c r="E4352" t="s">
        <v>18</v>
      </c>
      <c r="F4352" t="s">
        <v>19</v>
      </c>
      <c r="G4352" t="s">
        <v>20</v>
      </c>
      <c r="J4352" t="s">
        <v>17</v>
      </c>
      <c r="K4352" t="str">
        <f>"10732929"</f>
        <v>10732929</v>
      </c>
      <c r="L4352" t="str">
        <f>"10732929"</f>
        <v>10732929</v>
      </c>
      <c r="M4352" t="s">
        <v>75</v>
      </c>
      <c r="N4352" s="1">
        <v>43146.897916666669</v>
      </c>
      <c r="O4352" t="s">
        <v>19</v>
      </c>
    </row>
    <row r="4353" spans="1:15" x14ac:dyDescent="0.25">
      <c r="A4353" t="s">
        <v>3685</v>
      </c>
      <c r="B4353" t="s">
        <v>15</v>
      </c>
      <c r="C4353" t="s">
        <v>905</v>
      </c>
      <c r="D4353" t="s">
        <v>17</v>
      </c>
      <c r="E4353" t="s">
        <v>18</v>
      </c>
      <c r="F4353" t="s">
        <v>19</v>
      </c>
      <c r="G4353" t="s">
        <v>20</v>
      </c>
      <c r="J4353" t="s">
        <v>17</v>
      </c>
      <c r="K4353" t="str">
        <f>"34630011"</f>
        <v>34630011</v>
      </c>
      <c r="L4353" t="str">
        <f>"34630011"</f>
        <v>34630011</v>
      </c>
      <c r="M4353" t="s">
        <v>75</v>
      </c>
      <c r="N4353" s="1">
        <v>42872.839583333334</v>
      </c>
      <c r="O4353" t="s">
        <v>19</v>
      </c>
    </row>
    <row r="4354" spans="1:15" x14ac:dyDescent="0.25">
      <c r="A4354" t="s">
        <v>3686</v>
      </c>
      <c r="B4354" t="s">
        <v>15</v>
      </c>
      <c r="C4354" t="s">
        <v>905</v>
      </c>
      <c r="D4354" t="s">
        <v>17</v>
      </c>
      <c r="E4354" t="s">
        <v>18</v>
      </c>
      <c r="F4354" t="s">
        <v>19</v>
      </c>
      <c r="G4354" t="s">
        <v>20</v>
      </c>
      <c r="J4354" t="s">
        <v>17</v>
      </c>
      <c r="K4354" t="str">
        <f>"87731599"</f>
        <v>87731599</v>
      </c>
      <c r="L4354" t="str">
        <f>"87731599"</f>
        <v>87731599</v>
      </c>
      <c r="M4354" t="s">
        <v>75</v>
      </c>
      <c r="N4354" s="1">
        <v>42872.847222222219</v>
      </c>
      <c r="O4354" t="s">
        <v>19</v>
      </c>
    </row>
    <row r="4355" spans="1:15" x14ac:dyDescent="0.25">
      <c r="A4355" t="s">
        <v>3687</v>
      </c>
      <c r="B4355" t="s">
        <v>15</v>
      </c>
      <c r="C4355" t="s">
        <v>905</v>
      </c>
      <c r="D4355" t="s">
        <v>17</v>
      </c>
      <c r="E4355" t="s">
        <v>18</v>
      </c>
      <c r="F4355" t="s">
        <v>19</v>
      </c>
      <c r="G4355" t="s">
        <v>20</v>
      </c>
      <c r="J4355" t="s">
        <v>17</v>
      </c>
      <c r="K4355" t="str">
        <f>"76731288"</f>
        <v>76731288</v>
      </c>
      <c r="L4355" t="str">
        <f>"76731288"</f>
        <v>76731288</v>
      </c>
      <c r="M4355" t="s">
        <v>75</v>
      </c>
      <c r="N4355" s="1">
        <v>42872.847222222219</v>
      </c>
      <c r="O4355" t="s">
        <v>19</v>
      </c>
    </row>
    <row r="4356" spans="1:15" x14ac:dyDescent="0.25">
      <c r="A4356" t="s">
        <v>3688</v>
      </c>
      <c r="B4356" t="s">
        <v>15</v>
      </c>
      <c r="C4356" t="s">
        <v>905</v>
      </c>
      <c r="D4356" t="s">
        <v>17</v>
      </c>
      <c r="E4356" t="s">
        <v>18</v>
      </c>
      <c r="F4356" t="s">
        <v>19</v>
      </c>
      <c r="G4356" t="s">
        <v>20</v>
      </c>
      <c r="J4356" t="s">
        <v>17</v>
      </c>
      <c r="K4356" t="str">
        <f>"76794482"</f>
        <v>76794482</v>
      </c>
      <c r="L4356" t="str">
        <f>"76794482"</f>
        <v>76794482</v>
      </c>
      <c r="M4356" t="s">
        <v>75</v>
      </c>
      <c r="N4356" s="1">
        <v>42872.847222222219</v>
      </c>
      <c r="O4356" t="s">
        <v>19</v>
      </c>
    </row>
    <row r="4357" spans="1:15" x14ac:dyDescent="0.25">
      <c r="A4357" t="s">
        <v>3689</v>
      </c>
      <c r="B4357" t="s">
        <v>15</v>
      </c>
      <c r="C4357" t="s">
        <v>905</v>
      </c>
      <c r="D4357" t="s">
        <v>17</v>
      </c>
      <c r="E4357" t="s">
        <v>18</v>
      </c>
      <c r="F4357" t="s">
        <v>19</v>
      </c>
      <c r="G4357" t="s">
        <v>20</v>
      </c>
      <c r="J4357" t="s">
        <v>17</v>
      </c>
      <c r="K4357" t="str">
        <f>"87794482"</f>
        <v>87794482</v>
      </c>
      <c r="L4357" t="str">
        <f>"87794482"</f>
        <v>87794482</v>
      </c>
      <c r="M4357" t="s">
        <v>75</v>
      </c>
      <c r="N4357" s="1">
        <v>42872.847222222219</v>
      </c>
      <c r="O4357" t="s">
        <v>19</v>
      </c>
    </row>
    <row r="4358" spans="1:15" x14ac:dyDescent="0.25">
      <c r="A4358" t="s">
        <v>3690</v>
      </c>
      <c r="B4358" t="s">
        <v>15</v>
      </c>
      <c r="C4358" t="s">
        <v>905</v>
      </c>
      <c r="D4358" t="s">
        <v>17</v>
      </c>
      <c r="E4358" t="s">
        <v>18</v>
      </c>
      <c r="F4358" t="s">
        <v>19</v>
      </c>
      <c r="G4358" t="s">
        <v>20</v>
      </c>
      <c r="J4358" t="s">
        <v>17</v>
      </c>
      <c r="K4358" t="str">
        <f>"877300075"</f>
        <v>877300075</v>
      </c>
      <c r="L4358" t="str">
        <f>"877300075"</f>
        <v>877300075</v>
      </c>
      <c r="M4358" t="s">
        <v>75</v>
      </c>
      <c r="N4358" s="1">
        <v>42872.849305555559</v>
      </c>
      <c r="O4358" t="s">
        <v>19</v>
      </c>
    </row>
    <row r="4359" spans="1:15" x14ac:dyDescent="0.25">
      <c r="A4359" t="s">
        <v>3691</v>
      </c>
      <c r="B4359" t="s">
        <v>15</v>
      </c>
      <c r="C4359" t="s">
        <v>37</v>
      </c>
      <c r="D4359" t="s">
        <v>17</v>
      </c>
      <c r="E4359" t="s">
        <v>18</v>
      </c>
      <c r="F4359" t="s">
        <v>19</v>
      </c>
      <c r="G4359" t="s">
        <v>20</v>
      </c>
      <c r="J4359" t="s">
        <v>17</v>
      </c>
      <c r="K4359" t="str">
        <f>"10002248"</f>
        <v>10002248</v>
      </c>
      <c r="L4359" t="str">
        <f>"10002248"</f>
        <v>10002248</v>
      </c>
      <c r="M4359" t="s">
        <v>21</v>
      </c>
      <c r="N4359" s="1">
        <v>43612.629166666666</v>
      </c>
      <c r="O4359" t="s">
        <v>19</v>
      </c>
    </row>
    <row r="4360" spans="1:15" x14ac:dyDescent="0.25">
      <c r="A4360" t="s">
        <v>3692</v>
      </c>
      <c r="B4360" t="s">
        <v>15</v>
      </c>
      <c r="C4360" t="s">
        <v>171</v>
      </c>
      <c r="D4360" t="s">
        <v>17</v>
      </c>
      <c r="E4360" t="s">
        <v>18</v>
      </c>
      <c r="F4360" t="s">
        <v>19</v>
      </c>
      <c r="G4360" t="s">
        <v>20</v>
      </c>
      <c r="J4360" t="s">
        <v>17</v>
      </c>
      <c r="K4360" t="str">
        <f>"10521344"</f>
        <v>10521344</v>
      </c>
      <c r="L4360" t="str">
        <f>"10521344"</f>
        <v>10521344</v>
      </c>
      <c r="M4360" t="s">
        <v>75</v>
      </c>
      <c r="N4360" s="1">
        <v>43034.668055555558</v>
      </c>
      <c r="O4360" t="s">
        <v>19</v>
      </c>
    </row>
    <row r="4361" spans="1:15" x14ac:dyDescent="0.25">
      <c r="A4361" t="s">
        <v>3693</v>
      </c>
      <c r="B4361" t="s">
        <v>1963</v>
      </c>
      <c r="C4361" t="s">
        <v>2989</v>
      </c>
      <c r="D4361" t="s">
        <v>17</v>
      </c>
      <c r="E4361" t="s">
        <v>17</v>
      </c>
      <c r="F4361" t="s">
        <v>19</v>
      </c>
      <c r="G4361" t="s">
        <v>20</v>
      </c>
      <c r="J4361" t="s">
        <v>17</v>
      </c>
      <c r="K4361" t="str">
        <f>"90500"</f>
        <v>90500</v>
      </c>
      <c r="L4361" t="str">
        <f>"90500"</f>
        <v>90500</v>
      </c>
      <c r="M4361" t="s">
        <v>84</v>
      </c>
      <c r="N4361" s="1">
        <v>43354.757638888892</v>
      </c>
      <c r="O4361" t="s">
        <v>19</v>
      </c>
    </row>
    <row r="4362" spans="1:15" x14ac:dyDescent="0.25">
      <c r="A4362" t="s">
        <v>3693</v>
      </c>
      <c r="B4362" t="s">
        <v>1963</v>
      </c>
      <c r="C4362" t="s">
        <v>2989</v>
      </c>
      <c r="D4362" t="s">
        <v>17</v>
      </c>
      <c r="E4362" t="s">
        <v>17</v>
      </c>
      <c r="F4362" t="s">
        <v>19</v>
      </c>
      <c r="G4362" t="s">
        <v>20</v>
      </c>
      <c r="J4362" t="s">
        <v>17</v>
      </c>
      <c r="K4362" t="str">
        <f>"901000"</f>
        <v>901000</v>
      </c>
      <c r="L4362" t="str">
        <f>"901000"</f>
        <v>901000</v>
      </c>
      <c r="M4362" t="s">
        <v>84</v>
      </c>
      <c r="N4362" s="1">
        <v>43354.757638888892</v>
      </c>
      <c r="O4362" t="s">
        <v>19</v>
      </c>
    </row>
    <row r="4363" spans="1:15" x14ac:dyDescent="0.25">
      <c r="A4363" t="s">
        <v>3693</v>
      </c>
      <c r="B4363" t="s">
        <v>1963</v>
      </c>
      <c r="C4363" t="s">
        <v>2989</v>
      </c>
      <c r="D4363" t="s">
        <v>17</v>
      </c>
      <c r="E4363" t="s">
        <v>17</v>
      </c>
      <c r="F4363" t="s">
        <v>19</v>
      </c>
      <c r="G4363" t="s">
        <v>20</v>
      </c>
      <c r="J4363" t="s">
        <v>17</v>
      </c>
      <c r="K4363" t="str">
        <f>"902000"</f>
        <v>902000</v>
      </c>
      <c r="L4363" t="str">
        <f>"902000"</f>
        <v>902000</v>
      </c>
      <c r="M4363" t="s">
        <v>84</v>
      </c>
      <c r="N4363" s="1">
        <v>43354.758333333331</v>
      </c>
      <c r="O4363" t="s">
        <v>19</v>
      </c>
    </row>
    <row r="4364" spans="1:15" x14ac:dyDescent="0.25">
      <c r="A4364" t="s">
        <v>3693</v>
      </c>
      <c r="B4364" t="s">
        <v>1963</v>
      </c>
      <c r="C4364" t="s">
        <v>2989</v>
      </c>
      <c r="D4364" t="s">
        <v>17</v>
      </c>
      <c r="E4364" t="s">
        <v>17</v>
      </c>
      <c r="F4364" t="s">
        <v>19</v>
      </c>
      <c r="G4364" t="s">
        <v>20</v>
      </c>
      <c r="J4364" t="s">
        <v>17</v>
      </c>
      <c r="K4364" t="str">
        <f>"905000"</f>
        <v>905000</v>
      </c>
      <c r="L4364" t="str">
        <f>"905000"</f>
        <v>905000</v>
      </c>
      <c r="M4364" t="s">
        <v>84</v>
      </c>
      <c r="N4364" s="1">
        <v>43354.759027777778</v>
      </c>
      <c r="O4364" t="s">
        <v>19</v>
      </c>
    </row>
    <row r="4365" spans="1:15" x14ac:dyDescent="0.25">
      <c r="A4365" t="s">
        <v>3693</v>
      </c>
      <c r="B4365" t="s">
        <v>1963</v>
      </c>
      <c r="C4365" t="s">
        <v>2989</v>
      </c>
      <c r="D4365" t="s">
        <v>17</v>
      </c>
      <c r="E4365" t="s">
        <v>17</v>
      </c>
      <c r="F4365" t="s">
        <v>19</v>
      </c>
      <c r="G4365" t="s">
        <v>20</v>
      </c>
      <c r="J4365" t="s">
        <v>17</v>
      </c>
      <c r="K4365" t="str">
        <f>"9010000"</f>
        <v>9010000</v>
      </c>
      <c r="L4365" t="str">
        <f>"9010000"</f>
        <v>9010000</v>
      </c>
      <c r="M4365" t="s">
        <v>84</v>
      </c>
      <c r="N4365" s="1">
        <v>43354.759027777778</v>
      </c>
      <c r="O4365" t="s">
        <v>19</v>
      </c>
    </row>
    <row r="4366" spans="1:15" x14ac:dyDescent="0.25">
      <c r="A4366" t="s">
        <v>3693</v>
      </c>
      <c r="B4366" t="s">
        <v>1963</v>
      </c>
      <c r="C4366" t="s">
        <v>2989</v>
      </c>
      <c r="D4366" t="s">
        <v>17</v>
      </c>
      <c r="E4366" t="s">
        <v>17</v>
      </c>
      <c r="F4366" t="s">
        <v>19</v>
      </c>
      <c r="G4366" t="s">
        <v>20</v>
      </c>
      <c r="J4366" t="s">
        <v>17</v>
      </c>
      <c r="K4366" t="str">
        <f>"9020000"</f>
        <v>9020000</v>
      </c>
      <c r="L4366" t="str">
        <f>"9020000"</f>
        <v>9020000</v>
      </c>
      <c r="M4366" t="s">
        <v>84</v>
      </c>
      <c r="N4366" s="1">
        <v>43354.759027777778</v>
      </c>
      <c r="O4366" t="s">
        <v>19</v>
      </c>
    </row>
    <row r="4367" spans="1:15" x14ac:dyDescent="0.25">
      <c r="A4367" t="s">
        <v>3694</v>
      </c>
      <c r="B4367" t="s">
        <v>1963</v>
      </c>
      <c r="C4367" t="s">
        <v>2989</v>
      </c>
      <c r="D4367" t="s">
        <v>17</v>
      </c>
      <c r="E4367" t="s">
        <v>17</v>
      </c>
      <c r="F4367" t="s">
        <v>19</v>
      </c>
      <c r="G4367" t="s">
        <v>20</v>
      </c>
      <c r="J4367" t="s">
        <v>17</v>
      </c>
      <c r="K4367" t="str">
        <f>"80500"</f>
        <v>80500</v>
      </c>
      <c r="L4367" t="str">
        <f>"80500"</f>
        <v>80500</v>
      </c>
      <c r="M4367" t="s">
        <v>84</v>
      </c>
      <c r="N4367" s="1">
        <v>43354.761111111111</v>
      </c>
      <c r="O4367" t="s">
        <v>19</v>
      </c>
    </row>
    <row r="4368" spans="1:15" x14ac:dyDescent="0.25">
      <c r="A4368" t="s">
        <v>3694</v>
      </c>
      <c r="B4368" t="s">
        <v>1963</v>
      </c>
      <c r="C4368" t="s">
        <v>2989</v>
      </c>
      <c r="D4368" t="s">
        <v>17</v>
      </c>
      <c r="E4368" t="s">
        <v>17</v>
      </c>
      <c r="F4368" t="s">
        <v>19</v>
      </c>
      <c r="G4368" t="s">
        <v>20</v>
      </c>
      <c r="J4368" t="s">
        <v>17</v>
      </c>
      <c r="K4368" t="str">
        <f>"801000"</f>
        <v>801000</v>
      </c>
      <c r="L4368" t="str">
        <f>"801000"</f>
        <v>801000</v>
      </c>
      <c r="M4368" t="s">
        <v>84</v>
      </c>
      <c r="N4368" s="1">
        <v>43354.761111111111</v>
      </c>
      <c r="O4368" t="s">
        <v>19</v>
      </c>
    </row>
    <row r="4369" spans="1:15" x14ac:dyDescent="0.25">
      <c r="A4369" t="s">
        <v>3694</v>
      </c>
      <c r="B4369" t="s">
        <v>1963</v>
      </c>
      <c r="C4369" t="s">
        <v>2989</v>
      </c>
      <c r="D4369" t="s">
        <v>17</v>
      </c>
      <c r="E4369" t="s">
        <v>17</v>
      </c>
      <c r="F4369" t="s">
        <v>19</v>
      </c>
      <c r="G4369" t="s">
        <v>20</v>
      </c>
      <c r="J4369" t="s">
        <v>17</v>
      </c>
      <c r="K4369" t="str">
        <f>"802000"</f>
        <v>802000</v>
      </c>
      <c r="L4369" t="str">
        <f>"802000"</f>
        <v>802000</v>
      </c>
      <c r="M4369" t="s">
        <v>84</v>
      </c>
      <c r="N4369" s="1">
        <v>43354.761805555558</v>
      </c>
      <c r="O4369" t="s">
        <v>19</v>
      </c>
    </row>
    <row r="4370" spans="1:15" x14ac:dyDescent="0.25">
      <c r="A4370" t="s">
        <v>3694</v>
      </c>
      <c r="B4370" t="s">
        <v>1963</v>
      </c>
      <c r="C4370" t="s">
        <v>2989</v>
      </c>
      <c r="D4370" t="s">
        <v>17</v>
      </c>
      <c r="E4370" t="s">
        <v>17</v>
      </c>
      <c r="F4370" t="s">
        <v>19</v>
      </c>
      <c r="G4370" t="s">
        <v>20</v>
      </c>
      <c r="J4370" t="s">
        <v>17</v>
      </c>
      <c r="K4370" t="str">
        <f>"805000"</f>
        <v>805000</v>
      </c>
      <c r="L4370" t="str">
        <f>"805000"</f>
        <v>805000</v>
      </c>
      <c r="M4370" t="s">
        <v>84</v>
      </c>
      <c r="N4370" s="1">
        <v>43354.762499999997</v>
      </c>
      <c r="O4370" t="s">
        <v>19</v>
      </c>
    </row>
    <row r="4371" spans="1:15" x14ac:dyDescent="0.25">
      <c r="A4371" t="s">
        <v>3694</v>
      </c>
      <c r="B4371" t="s">
        <v>1963</v>
      </c>
      <c r="C4371" t="s">
        <v>2989</v>
      </c>
      <c r="D4371" t="s">
        <v>17</v>
      </c>
      <c r="E4371" t="s">
        <v>17</v>
      </c>
      <c r="F4371" t="s">
        <v>19</v>
      </c>
      <c r="G4371" t="s">
        <v>20</v>
      </c>
      <c r="J4371" t="s">
        <v>17</v>
      </c>
      <c r="K4371" t="str">
        <f>"8010000"</f>
        <v>8010000</v>
      </c>
      <c r="L4371" t="str">
        <f>"8010000"</f>
        <v>8010000</v>
      </c>
      <c r="M4371" t="s">
        <v>84</v>
      </c>
      <c r="N4371" s="1">
        <v>43354.762499999997</v>
      </c>
      <c r="O4371" t="s">
        <v>19</v>
      </c>
    </row>
    <row r="4372" spans="1:15" x14ac:dyDescent="0.25">
      <c r="A4372" t="s">
        <v>3694</v>
      </c>
      <c r="B4372" t="s">
        <v>1963</v>
      </c>
      <c r="C4372" t="s">
        <v>2989</v>
      </c>
      <c r="D4372" t="s">
        <v>17</v>
      </c>
      <c r="E4372" t="s">
        <v>17</v>
      </c>
      <c r="F4372" t="s">
        <v>19</v>
      </c>
      <c r="G4372" t="s">
        <v>20</v>
      </c>
      <c r="J4372" t="s">
        <v>17</v>
      </c>
      <c r="K4372" t="str">
        <f>"8020000"</f>
        <v>8020000</v>
      </c>
      <c r="L4372" t="str">
        <f>"8020000"</f>
        <v>8020000</v>
      </c>
      <c r="M4372" t="s">
        <v>84</v>
      </c>
      <c r="N4372" s="1">
        <v>43354.763194444444</v>
      </c>
      <c r="O4372" t="s">
        <v>19</v>
      </c>
    </row>
    <row r="4373" spans="1:15" x14ac:dyDescent="0.25">
      <c r="A4373" t="s">
        <v>3695</v>
      </c>
      <c r="B4373" t="s">
        <v>1963</v>
      </c>
      <c r="C4373" t="s">
        <v>2989</v>
      </c>
      <c r="D4373" t="s">
        <v>17</v>
      </c>
      <c r="E4373" t="s">
        <v>17</v>
      </c>
      <c r="F4373" t="s">
        <v>19</v>
      </c>
      <c r="G4373" t="s">
        <v>20</v>
      </c>
      <c r="J4373" t="s">
        <v>17</v>
      </c>
      <c r="K4373" t="str">
        <f>"4001000"</f>
        <v>4001000</v>
      </c>
      <c r="L4373" t="str">
        <f>"4001000"</f>
        <v>4001000</v>
      </c>
      <c r="M4373" t="s">
        <v>84</v>
      </c>
      <c r="N4373" s="1">
        <v>43550.842361111114</v>
      </c>
      <c r="O4373" t="s">
        <v>19</v>
      </c>
    </row>
    <row r="4374" spans="1:15" x14ac:dyDescent="0.25">
      <c r="A4374" t="s">
        <v>3695</v>
      </c>
      <c r="B4374" t="s">
        <v>1963</v>
      </c>
      <c r="C4374" t="s">
        <v>2989</v>
      </c>
      <c r="D4374" t="s">
        <v>17</v>
      </c>
      <c r="E4374" t="s">
        <v>17</v>
      </c>
      <c r="F4374" t="s">
        <v>19</v>
      </c>
      <c r="G4374" t="s">
        <v>20</v>
      </c>
      <c r="J4374" t="s">
        <v>17</v>
      </c>
      <c r="K4374" t="str">
        <f>"4000500"</f>
        <v>4000500</v>
      </c>
      <c r="L4374" t="str">
        <f>"4000500"</f>
        <v>4000500</v>
      </c>
      <c r="M4374" t="s">
        <v>84</v>
      </c>
      <c r="N4374" s="1">
        <v>43550.842361111114</v>
      </c>
      <c r="O4374" t="s">
        <v>19</v>
      </c>
    </row>
    <row r="4375" spans="1:15" x14ac:dyDescent="0.25">
      <c r="A4375" t="s">
        <v>3695</v>
      </c>
      <c r="B4375" t="s">
        <v>1963</v>
      </c>
      <c r="C4375" t="s">
        <v>2989</v>
      </c>
      <c r="D4375" t="s">
        <v>17</v>
      </c>
      <c r="E4375" t="s">
        <v>17</v>
      </c>
      <c r="F4375" t="s">
        <v>19</v>
      </c>
      <c r="G4375" t="s">
        <v>20</v>
      </c>
      <c r="J4375" t="s">
        <v>17</v>
      </c>
      <c r="K4375" t="str">
        <f>"4005000"</f>
        <v>4005000</v>
      </c>
      <c r="L4375" t="str">
        <f>"4005000"</f>
        <v>4005000</v>
      </c>
      <c r="M4375" t="s">
        <v>84</v>
      </c>
      <c r="N4375" s="1">
        <v>43550.843055555553</v>
      </c>
      <c r="O4375" t="s">
        <v>19</v>
      </c>
    </row>
    <row r="4376" spans="1:15" x14ac:dyDescent="0.25">
      <c r="A4376" t="s">
        <v>3695</v>
      </c>
      <c r="B4376" t="s">
        <v>1963</v>
      </c>
      <c r="C4376" t="s">
        <v>2989</v>
      </c>
      <c r="D4376" t="s">
        <v>17</v>
      </c>
      <c r="E4376" t="s">
        <v>17</v>
      </c>
      <c r="F4376" t="s">
        <v>19</v>
      </c>
      <c r="G4376" t="s">
        <v>20</v>
      </c>
      <c r="J4376" t="s">
        <v>17</v>
      </c>
      <c r="K4376" t="str">
        <f>"4010000"</f>
        <v>4010000</v>
      </c>
      <c r="L4376" t="str">
        <f>"4010000"</f>
        <v>4010000</v>
      </c>
      <c r="M4376" t="s">
        <v>84</v>
      </c>
      <c r="N4376" s="1">
        <v>43550.84375</v>
      </c>
      <c r="O4376" t="s">
        <v>19</v>
      </c>
    </row>
    <row r="4377" spans="1:15" x14ac:dyDescent="0.25">
      <c r="A4377" t="s">
        <v>3695</v>
      </c>
      <c r="B4377" t="s">
        <v>1963</v>
      </c>
      <c r="C4377" t="s">
        <v>2989</v>
      </c>
      <c r="D4377" t="s">
        <v>17</v>
      </c>
      <c r="E4377" t="s">
        <v>17</v>
      </c>
      <c r="F4377" t="s">
        <v>19</v>
      </c>
      <c r="G4377" t="s">
        <v>20</v>
      </c>
      <c r="J4377" t="s">
        <v>17</v>
      </c>
      <c r="K4377" t="str">
        <f>"4020000"</f>
        <v>4020000</v>
      </c>
      <c r="L4377" t="str">
        <f>"4020000"</f>
        <v>4020000</v>
      </c>
      <c r="M4377" t="s">
        <v>84</v>
      </c>
      <c r="N4377" s="1">
        <v>43550.84375</v>
      </c>
      <c r="O4377" t="s">
        <v>19</v>
      </c>
    </row>
    <row r="4378" spans="1:15" x14ac:dyDescent="0.25">
      <c r="A4378" t="s">
        <v>3696</v>
      </c>
      <c r="B4378" t="s">
        <v>1963</v>
      </c>
      <c r="C4378" t="s">
        <v>2989</v>
      </c>
      <c r="D4378" t="s">
        <v>17</v>
      </c>
      <c r="E4378" t="s">
        <v>17</v>
      </c>
      <c r="F4378" t="s">
        <v>19</v>
      </c>
      <c r="G4378" t="s">
        <v>20</v>
      </c>
      <c r="J4378" t="s">
        <v>17</v>
      </c>
      <c r="K4378" t="str">
        <f>"2000500"</f>
        <v>2000500</v>
      </c>
      <c r="L4378" t="str">
        <f>"2000500"</f>
        <v>2000500</v>
      </c>
      <c r="M4378" t="s">
        <v>21</v>
      </c>
      <c r="N4378" s="1">
        <v>43612.786111111112</v>
      </c>
      <c r="O4378" t="s">
        <v>19</v>
      </c>
    </row>
    <row r="4379" spans="1:15" x14ac:dyDescent="0.25">
      <c r="A4379" t="s">
        <v>3696</v>
      </c>
      <c r="B4379" t="s">
        <v>1963</v>
      </c>
      <c r="C4379" t="s">
        <v>2989</v>
      </c>
      <c r="D4379" t="s">
        <v>17</v>
      </c>
      <c r="E4379" t="s">
        <v>17</v>
      </c>
      <c r="F4379" t="s">
        <v>19</v>
      </c>
      <c r="G4379" t="s">
        <v>20</v>
      </c>
      <c r="J4379" t="s">
        <v>17</v>
      </c>
      <c r="K4379" t="str">
        <f>"2001000"</f>
        <v>2001000</v>
      </c>
      <c r="L4379" t="str">
        <f>"2001000"</f>
        <v>2001000</v>
      </c>
      <c r="M4379" t="s">
        <v>21</v>
      </c>
      <c r="N4379" s="1">
        <v>43612.793749999997</v>
      </c>
      <c r="O4379" t="s">
        <v>19</v>
      </c>
    </row>
    <row r="4380" spans="1:15" x14ac:dyDescent="0.25">
      <c r="A4380" t="s">
        <v>3696</v>
      </c>
      <c r="B4380" t="s">
        <v>1963</v>
      </c>
      <c r="C4380" t="s">
        <v>2989</v>
      </c>
      <c r="D4380" t="s">
        <v>17</v>
      </c>
      <c r="E4380" t="s">
        <v>17</v>
      </c>
      <c r="F4380" t="s">
        <v>19</v>
      </c>
      <c r="G4380" t="s">
        <v>20</v>
      </c>
      <c r="J4380" t="s">
        <v>17</v>
      </c>
      <c r="K4380" t="str">
        <f>"2005000"</f>
        <v>2005000</v>
      </c>
      <c r="L4380" t="str">
        <f>"2005000"</f>
        <v>2005000</v>
      </c>
      <c r="M4380" t="s">
        <v>21</v>
      </c>
      <c r="N4380" s="1">
        <v>43612.794444444444</v>
      </c>
      <c r="O4380" t="s">
        <v>19</v>
      </c>
    </row>
    <row r="4381" spans="1:15" x14ac:dyDescent="0.25">
      <c r="A4381" t="s">
        <v>3696</v>
      </c>
      <c r="B4381" t="s">
        <v>1963</v>
      </c>
      <c r="C4381" t="s">
        <v>2989</v>
      </c>
      <c r="D4381" t="s">
        <v>17</v>
      </c>
      <c r="E4381" t="s">
        <v>17</v>
      </c>
      <c r="F4381" t="s">
        <v>19</v>
      </c>
      <c r="G4381" t="s">
        <v>20</v>
      </c>
      <c r="J4381" t="s">
        <v>17</v>
      </c>
      <c r="K4381" t="str">
        <f>"2010000"</f>
        <v>2010000</v>
      </c>
      <c r="L4381" t="str">
        <f>"2010000"</f>
        <v>2010000</v>
      </c>
      <c r="M4381" t="s">
        <v>21</v>
      </c>
      <c r="N4381" s="1">
        <v>43612.794444444444</v>
      </c>
      <c r="O4381" t="s">
        <v>19</v>
      </c>
    </row>
    <row r="4382" spans="1:15" x14ac:dyDescent="0.25">
      <c r="A4382" t="s">
        <v>3696</v>
      </c>
      <c r="B4382" t="s">
        <v>1963</v>
      </c>
      <c r="C4382" t="s">
        <v>2989</v>
      </c>
      <c r="D4382" t="s">
        <v>17</v>
      </c>
      <c r="E4382" t="s">
        <v>17</v>
      </c>
      <c r="F4382" t="s">
        <v>19</v>
      </c>
      <c r="G4382" t="s">
        <v>20</v>
      </c>
      <c r="J4382" t="s">
        <v>17</v>
      </c>
      <c r="K4382" t="str">
        <f>"2020000"</f>
        <v>2020000</v>
      </c>
      <c r="L4382" t="str">
        <f>"2020000"</f>
        <v>2020000</v>
      </c>
      <c r="M4382" t="s">
        <v>21</v>
      </c>
      <c r="N4382" s="1">
        <v>43612.794444444444</v>
      </c>
      <c r="O4382" t="s">
        <v>19</v>
      </c>
    </row>
    <row r="4383" spans="1:15" x14ac:dyDescent="0.25">
      <c r="A4383" t="s">
        <v>3697</v>
      </c>
      <c r="B4383" t="s">
        <v>1963</v>
      </c>
      <c r="C4383" t="s">
        <v>2989</v>
      </c>
      <c r="D4383" t="s">
        <v>17</v>
      </c>
      <c r="E4383" t="s">
        <v>17</v>
      </c>
      <c r="F4383" t="s">
        <v>19</v>
      </c>
      <c r="G4383" t="s">
        <v>20</v>
      </c>
      <c r="J4383" t="s">
        <v>17</v>
      </c>
      <c r="K4383" t="str">
        <f>"60001000"</f>
        <v>60001000</v>
      </c>
      <c r="L4383" t="str">
        <f>"60001000"</f>
        <v>60001000</v>
      </c>
      <c r="M4383" t="s">
        <v>21</v>
      </c>
      <c r="N4383" s="1">
        <v>43778.625694444447</v>
      </c>
      <c r="O4383" t="s">
        <v>19</v>
      </c>
    </row>
    <row r="4384" spans="1:15" x14ac:dyDescent="0.25">
      <c r="A4384" t="s">
        <v>3698</v>
      </c>
      <c r="B4384" t="s">
        <v>15</v>
      </c>
      <c r="C4384" t="s">
        <v>37</v>
      </c>
      <c r="D4384" t="s">
        <v>17</v>
      </c>
      <c r="E4384" t="s">
        <v>18</v>
      </c>
      <c r="F4384" t="s">
        <v>19</v>
      </c>
      <c r="G4384" t="s">
        <v>20</v>
      </c>
      <c r="J4384" t="s">
        <v>17</v>
      </c>
      <c r="K4384" t="str">
        <f>"10111836"</f>
        <v>10111836</v>
      </c>
      <c r="L4384" t="str">
        <f>"10111836"</f>
        <v>10111836</v>
      </c>
      <c r="M4384" t="s">
        <v>21</v>
      </c>
      <c r="N4384" s="1">
        <v>43854.697916666664</v>
      </c>
      <c r="O4384" t="s">
        <v>19</v>
      </c>
    </row>
    <row r="4385" spans="1:15" x14ac:dyDescent="0.25">
      <c r="A4385" t="s">
        <v>3699</v>
      </c>
      <c r="B4385" t="s">
        <v>15</v>
      </c>
      <c r="C4385" t="s">
        <v>37</v>
      </c>
      <c r="D4385" t="s">
        <v>17</v>
      </c>
      <c r="E4385" t="s">
        <v>18</v>
      </c>
      <c r="F4385" t="s">
        <v>19</v>
      </c>
      <c r="G4385" t="s">
        <v>20</v>
      </c>
      <c r="J4385" t="s">
        <v>17</v>
      </c>
      <c r="K4385" t="str">
        <f>"766623421027"</f>
        <v>766623421027</v>
      </c>
      <c r="L4385" t="str">
        <f>"56521027"</f>
        <v>56521027</v>
      </c>
      <c r="M4385" t="s">
        <v>21</v>
      </c>
      <c r="N4385" s="1">
        <v>43985.845138888886</v>
      </c>
      <c r="O4385" t="s">
        <v>19</v>
      </c>
    </row>
    <row r="4386" spans="1:15" x14ac:dyDescent="0.25">
      <c r="A4386" t="s">
        <v>3700</v>
      </c>
      <c r="B4386" t="s">
        <v>15</v>
      </c>
      <c r="C4386" t="s">
        <v>37</v>
      </c>
      <c r="D4386" t="s">
        <v>17</v>
      </c>
      <c r="E4386" t="s">
        <v>18</v>
      </c>
      <c r="F4386" t="s">
        <v>19</v>
      </c>
      <c r="G4386" t="s">
        <v>20</v>
      </c>
      <c r="J4386" t="s">
        <v>17</v>
      </c>
      <c r="K4386" t="str">
        <f>"766623421010"</f>
        <v>766623421010</v>
      </c>
      <c r="L4386" t="str">
        <f>"56521010"</f>
        <v>56521010</v>
      </c>
      <c r="M4386" t="s">
        <v>21</v>
      </c>
      <c r="N4386" s="1">
        <v>43985.844444444447</v>
      </c>
      <c r="O4386" t="s">
        <v>19</v>
      </c>
    </row>
    <row r="4387" spans="1:15" x14ac:dyDescent="0.25">
      <c r="A4387" t="s">
        <v>3701</v>
      </c>
      <c r="B4387" t="s">
        <v>15</v>
      </c>
      <c r="C4387" t="s">
        <v>37</v>
      </c>
      <c r="D4387" t="s">
        <v>17</v>
      </c>
      <c r="E4387" t="s">
        <v>18</v>
      </c>
      <c r="F4387" t="s">
        <v>19</v>
      </c>
      <c r="G4387" t="s">
        <v>20</v>
      </c>
      <c r="J4387" t="s">
        <v>17</v>
      </c>
      <c r="K4387" t="str">
        <f>"7268279003112"</f>
        <v>7268279003112</v>
      </c>
      <c r="L4387" t="str">
        <f>"78PLC00311"</f>
        <v>78PLC00311</v>
      </c>
      <c r="M4387" t="s">
        <v>21</v>
      </c>
      <c r="N4387" s="1">
        <v>43994.854861111111</v>
      </c>
      <c r="O4387" t="s">
        <v>19</v>
      </c>
    </row>
    <row r="4388" spans="1:15" x14ac:dyDescent="0.25">
      <c r="A4388" t="s">
        <v>3702</v>
      </c>
      <c r="B4388" t="s">
        <v>15</v>
      </c>
      <c r="C4388" t="s">
        <v>37</v>
      </c>
      <c r="D4388" t="s">
        <v>17</v>
      </c>
      <c r="E4388" t="s">
        <v>18</v>
      </c>
      <c r="F4388" t="s">
        <v>19</v>
      </c>
      <c r="G4388" t="s">
        <v>20</v>
      </c>
      <c r="J4388" t="s">
        <v>17</v>
      </c>
      <c r="K4388" t="str">
        <f>"10001689"</f>
        <v>10001689</v>
      </c>
      <c r="L4388" t="str">
        <f>"10001689"</f>
        <v>10001689</v>
      </c>
      <c r="M4388" t="s">
        <v>84</v>
      </c>
      <c r="N4388" s="1">
        <v>43419.690972222219</v>
      </c>
      <c r="O4388" t="s">
        <v>19</v>
      </c>
    </row>
    <row r="4389" spans="1:15" x14ac:dyDescent="0.25">
      <c r="A4389" t="s">
        <v>3703</v>
      </c>
      <c r="B4389" t="s">
        <v>15</v>
      </c>
      <c r="C4389" t="s">
        <v>37</v>
      </c>
      <c r="D4389" t="s">
        <v>17</v>
      </c>
      <c r="E4389" t="s">
        <v>18</v>
      </c>
      <c r="F4389" t="s">
        <v>19</v>
      </c>
      <c r="G4389" t="s">
        <v>20</v>
      </c>
      <c r="J4389" t="s">
        <v>17</v>
      </c>
      <c r="K4389" t="str">
        <f>"10004218"</f>
        <v>10004218</v>
      </c>
      <c r="L4389" t="str">
        <f>"10004218"</f>
        <v>10004218</v>
      </c>
      <c r="M4389" t="s">
        <v>84</v>
      </c>
      <c r="N4389" s="1">
        <v>43446.954861111109</v>
      </c>
      <c r="O4389" t="s">
        <v>19</v>
      </c>
    </row>
    <row r="4390" spans="1:15" x14ac:dyDescent="0.25">
      <c r="A4390" t="s">
        <v>3704</v>
      </c>
      <c r="B4390" t="s">
        <v>15</v>
      </c>
      <c r="C4390" t="s">
        <v>1607</v>
      </c>
      <c r="D4390" t="s">
        <v>17</v>
      </c>
      <c r="E4390" t="s">
        <v>18</v>
      </c>
      <c r="F4390" t="s">
        <v>19</v>
      </c>
      <c r="G4390" t="s">
        <v>20</v>
      </c>
      <c r="J4390" t="s">
        <v>17</v>
      </c>
      <c r="K4390" t="str">
        <f>"76210001"</f>
        <v>76210001</v>
      </c>
      <c r="L4390" t="str">
        <f>"76210001"</f>
        <v>76210001</v>
      </c>
      <c r="M4390" t="s">
        <v>75</v>
      </c>
      <c r="N4390" s="1">
        <v>42872.847222222219</v>
      </c>
      <c r="O4390" t="s">
        <v>19</v>
      </c>
    </row>
    <row r="4391" spans="1:15" x14ac:dyDescent="0.25">
      <c r="A4391" t="s">
        <v>3705</v>
      </c>
      <c r="B4391" t="s">
        <v>15</v>
      </c>
      <c r="C4391" t="s">
        <v>965</v>
      </c>
      <c r="D4391" t="s">
        <v>17</v>
      </c>
      <c r="E4391" t="s">
        <v>18</v>
      </c>
      <c r="F4391" t="s">
        <v>19</v>
      </c>
      <c r="G4391" t="s">
        <v>20</v>
      </c>
      <c r="J4391" t="s">
        <v>17</v>
      </c>
      <c r="K4391" t="str">
        <f>"6971410550628"</f>
        <v>6971410550628</v>
      </c>
      <c r="L4391" t="str">
        <f>"34210026"</f>
        <v>34210026</v>
      </c>
      <c r="M4391" t="s">
        <v>84</v>
      </c>
      <c r="N4391" s="1">
        <v>43463.974999999999</v>
      </c>
      <c r="O4391" t="s">
        <v>19</v>
      </c>
    </row>
    <row r="4392" spans="1:15" x14ac:dyDescent="0.25">
      <c r="A4392" t="s">
        <v>3706</v>
      </c>
      <c r="B4392" t="s">
        <v>15</v>
      </c>
      <c r="C4392" t="s">
        <v>37</v>
      </c>
      <c r="D4392" t="s">
        <v>17</v>
      </c>
      <c r="E4392" t="s">
        <v>18</v>
      </c>
      <c r="F4392" t="s">
        <v>19</v>
      </c>
      <c r="G4392" t="s">
        <v>20</v>
      </c>
      <c r="J4392" t="s">
        <v>17</v>
      </c>
      <c r="K4392" t="str">
        <f>"10014441"</f>
        <v>10014441</v>
      </c>
      <c r="L4392" t="str">
        <f>"10014441"</f>
        <v>10014441</v>
      </c>
      <c r="M4392" t="s">
        <v>84</v>
      </c>
      <c r="N4392" s="1">
        <v>43419.700694444444</v>
      </c>
      <c r="O4392" t="s">
        <v>19</v>
      </c>
    </row>
    <row r="4393" spans="1:15" x14ac:dyDescent="0.25">
      <c r="A4393" t="s">
        <v>3707</v>
      </c>
      <c r="B4393" t="s">
        <v>15</v>
      </c>
      <c r="C4393" t="s">
        <v>37</v>
      </c>
      <c r="D4393" t="s">
        <v>17</v>
      </c>
      <c r="E4393" t="s">
        <v>18</v>
      </c>
      <c r="F4393" t="s">
        <v>19</v>
      </c>
      <c r="G4393" t="s">
        <v>20</v>
      </c>
      <c r="J4393" t="s">
        <v>17</v>
      </c>
      <c r="K4393" t="str">
        <f>"10006103"</f>
        <v>10006103</v>
      </c>
      <c r="L4393" t="str">
        <f>"10006103"</f>
        <v>10006103</v>
      </c>
      <c r="M4393" t="s">
        <v>84</v>
      </c>
      <c r="N4393" s="1">
        <v>43463.834027777775</v>
      </c>
      <c r="O4393" t="s">
        <v>19</v>
      </c>
    </row>
    <row r="4394" spans="1:15" x14ac:dyDescent="0.25">
      <c r="A4394" t="s">
        <v>3708</v>
      </c>
      <c r="B4394" t="s">
        <v>15</v>
      </c>
      <c r="C4394" t="s">
        <v>37</v>
      </c>
      <c r="D4394" t="s">
        <v>17</v>
      </c>
      <c r="E4394" t="s">
        <v>18</v>
      </c>
      <c r="F4394" t="s">
        <v>19</v>
      </c>
      <c r="G4394" t="s">
        <v>20</v>
      </c>
      <c r="J4394" t="s">
        <v>17</v>
      </c>
      <c r="K4394" t="str">
        <f>"67200004"</f>
        <v>67200004</v>
      </c>
      <c r="L4394" t="str">
        <f>"67200004"</f>
        <v>67200004</v>
      </c>
      <c r="M4394" t="s">
        <v>75</v>
      </c>
      <c r="N4394" s="1">
        <v>42872.847222222219</v>
      </c>
      <c r="O4394" t="s">
        <v>19</v>
      </c>
    </row>
    <row r="4395" spans="1:15" x14ac:dyDescent="0.25">
      <c r="A4395" t="s">
        <v>3709</v>
      </c>
      <c r="B4395" t="s">
        <v>15</v>
      </c>
      <c r="C4395" t="s">
        <v>37</v>
      </c>
      <c r="D4395" t="s">
        <v>17</v>
      </c>
      <c r="E4395" t="s">
        <v>18</v>
      </c>
      <c r="F4395" t="s">
        <v>19</v>
      </c>
      <c r="G4395" t="s">
        <v>20</v>
      </c>
      <c r="J4395" t="s">
        <v>17</v>
      </c>
      <c r="K4395" t="str">
        <f>"10117809"</f>
        <v>10117809</v>
      </c>
      <c r="L4395" t="str">
        <f>"10117809"</f>
        <v>10117809</v>
      </c>
      <c r="M4395" t="s">
        <v>21</v>
      </c>
      <c r="N4395" s="1">
        <v>43175.706250000003</v>
      </c>
      <c r="O4395" t="s">
        <v>19</v>
      </c>
    </row>
    <row r="4396" spans="1:15" x14ac:dyDescent="0.25">
      <c r="A4396" t="s">
        <v>3710</v>
      </c>
      <c r="B4396" t="s">
        <v>15</v>
      </c>
      <c r="C4396" t="s">
        <v>37</v>
      </c>
      <c r="D4396" t="s">
        <v>17</v>
      </c>
      <c r="E4396" t="s">
        <v>18</v>
      </c>
      <c r="F4396" t="s">
        <v>19</v>
      </c>
      <c r="G4396" t="s">
        <v>20</v>
      </c>
      <c r="J4396" t="s">
        <v>17</v>
      </c>
      <c r="K4396" t="str">
        <f>"8669885003340"</f>
        <v>8669885003340</v>
      </c>
      <c r="L4396" t="str">
        <f>"66523340"</f>
        <v>66523340</v>
      </c>
      <c r="M4396" t="s">
        <v>75</v>
      </c>
      <c r="N4396" s="1">
        <v>42881.906944444447</v>
      </c>
      <c r="O4396" t="s">
        <v>19</v>
      </c>
    </row>
    <row r="4397" spans="1:15" x14ac:dyDescent="0.25">
      <c r="A4397" t="s">
        <v>3711</v>
      </c>
      <c r="B4397" t="s">
        <v>15</v>
      </c>
      <c r="C4397" t="s">
        <v>28</v>
      </c>
      <c r="D4397" t="s">
        <v>17</v>
      </c>
      <c r="E4397" t="s">
        <v>18</v>
      </c>
      <c r="F4397" t="s">
        <v>19</v>
      </c>
      <c r="G4397" t="s">
        <v>20</v>
      </c>
      <c r="J4397" t="s">
        <v>17</v>
      </c>
      <c r="K4397" t="str">
        <f>"22139004"</f>
        <v>22139004</v>
      </c>
      <c r="L4397" t="str">
        <f>"22139004"</f>
        <v>22139004</v>
      </c>
      <c r="M4397" t="s">
        <v>84</v>
      </c>
      <c r="N4397" s="1">
        <v>43404.744444444441</v>
      </c>
      <c r="O4397" t="s">
        <v>19</v>
      </c>
    </row>
    <row r="4398" spans="1:15" x14ac:dyDescent="0.25">
      <c r="A4398" t="s">
        <v>3712</v>
      </c>
      <c r="B4398" t="s">
        <v>15</v>
      </c>
      <c r="C4398" t="s">
        <v>37</v>
      </c>
      <c r="D4398" t="s">
        <v>17</v>
      </c>
      <c r="E4398" t="s">
        <v>18</v>
      </c>
      <c r="F4398" t="s">
        <v>19</v>
      </c>
      <c r="G4398" t="s">
        <v>20</v>
      </c>
      <c r="J4398" t="s">
        <v>17</v>
      </c>
      <c r="K4398" t="str">
        <f>"4710007730485"</f>
        <v>4710007730485</v>
      </c>
      <c r="L4398" t="str">
        <f>"65520485"</f>
        <v>65520485</v>
      </c>
      <c r="M4398" t="s">
        <v>75</v>
      </c>
      <c r="N4398" s="1">
        <v>43067.88958333333</v>
      </c>
      <c r="O4398" t="s">
        <v>19</v>
      </c>
    </row>
    <row r="4399" spans="1:15" x14ac:dyDescent="0.25">
      <c r="A4399" t="s">
        <v>3713</v>
      </c>
      <c r="B4399" t="s">
        <v>15</v>
      </c>
      <c r="C4399" t="s">
        <v>217</v>
      </c>
      <c r="D4399" t="s">
        <v>17</v>
      </c>
      <c r="E4399" t="s">
        <v>18</v>
      </c>
      <c r="F4399" t="s">
        <v>19</v>
      </c>
      <c r="G4399" t="s">
        <v>20</v>
      </c>
      <c r="J4399" t="s">
        <v>17</v>
      </c>
      <c r="K4399" t="str">
        <f>"10003020"</f>
        <v>10003020</v>
      </c>
      <c r="L4399" t="str">
        <f>"10003020"</f>
        <v>10003020</v>
      </c>
      <c r="M4399" t="s">
        <v>84</v>
      </c>
      <c r="N4399" s="1">
        <v>43546.607638888891</v>
      </c>
      <c r="O4399" t="s">
        <v>19</v>
      </c>
    </row>
    <row r="4400" spans="1:15" x14ac:dyDescent="0.25">
      <c r="A4400" t="s">
        <v>3714</v>
      </c>
      <c r="B4400" t="s">
        <v>15</v>
      </c>
      <c r="C4400" t="s">
        <v>37</v>
      </c>
      <c r="D4400" t="s">
        <v>17</v>
      </c>
      <c r="E4400" t="s">
        <v>18</v>
      </c>
      <c r="F4400" t="s">
        <v>19</v>
      </c>
      <c r="G4400" t="s">
        <v>20</v>
      </c>
      <c r="J4400" t="s">
        <v>17</v>
      </c>
      <c r="K4400" t="str">
        <f>"6925871690096"</f>
        <v>6925871690096</v>
      </c>
      <c r="L4400" t="str">
        <f>"22529009"</f>
        <v>22529009</v>
      </c>
      <c r="M4400" t="s">
        <v>21</v>
      </c>
      <c r="N4400" s="1">
        <v>43603.723611111112</v>
      </c>
      <c r="O4400" t="s">
        <v>19</v>
      </c>
    </row>
    <row r="4401" spans="1:15" x14ac:dyDescent="0.25">
      <c r="A4401" t="s">
        <v>3715</v>
      </c>
      <c r="B4401" t="s">
        <v>15</v>
      </c>
      <c r="C4401" t="s">
        <v>37</v>
      </c>
      <c r="D4401" t="s">
        <v>17</v>
      </c>
      <c r="E4401" t="s">
        <v>18</v>
      </c>
      <c r="F4401" t="s">
        <v>19</v>
      </c>
      <c r="G4401" t="s">
        <v>20</v>
      </c>
      <c r="J4401" t="s">
        <v>17</v>
      </c>
      <c r="K4401" t="str">
        <f>"6925871690119"</f>
        <v>6925871690119</v>
      </c>
      <c r="L4401" t="str">
        <f>"22529011"</f>
        <v>22529011</v>
      </c>
      <c r="M4401" t="s">
        <v>21</v>
      </c>
      <c r="N4401" s="1">
        <v>43603.724999999999</v>
      </c>
      <c r="O4401" t="s">
        <v>19</v>
      </c>
    </row>
    <row r="4402" spans="1:15" x14ac:dyDescent="0.25">
      <c r="A4402" t="s">
        <v>3716</v>
      </c>
      <c r="B4402" t="s">
        <v>15</v>
      </c>
      <c r="C4402" t="s">
        <v>37</v>
      </c>
      <c r="D4402" t="s">
        <v>17</v>
      </c>
      <c r="E4402" t="s">
        <v>18</v>
      </c>
      <c r="F4402" t="s">
        <v>19</v>
      </c>
      <c r="G4402" t="s">
        <v>20</v>
      </c>
      <c r="J4402" t="s">
        <v>17</v>
      </c>
      <c r="K4402" t="str">
        <f>"7858816083167"</f>
        <v>7858816083167</v>
      </c>
      <c r="L4402" t="str">
        <f>"87528316"</f>
        <v>87528316</v>
      </c>
      <c r="M4402" t="s">
        <v>21</v>
      </c>
      <c r="N4402" s="1">
        <v>44356.936805555553</v>
      </c>
      <c r="O4402" t="s">
        <v>19</v>
      </c>
    </row>
    <row r="4403" spans="1:15" x14ac:dyDescent="0.25">
      <c r="A4403" t="s">
        <v>3717</v>
      </c>
      <c r="B4403" t="s">
        <v>15</v>
      </c>
      <c r="C4403" t="s">
        <v>37</v>
      </c>
      <c r="D4403" t="s">
        <v>17</v>
      </c>
      <c r="E4403" t="s">
        <v>18</v>
      </c>
      <c r="F4403" t="s">
        <v>19</v>
      </c>
      <c r="G4403" t="s">
        <v>20</v>
      </c>
      <c r="J4403" t="s">
        <v>17</v>
      </c>
      <c r="K4403" t="str">
        <f>"7858816083174"</f>
        <v>7858816083174</v>
      </c>
      <c r="L4403" t="str">
        <f>"87528317"</f>
        <v>87528317</v>
      </c>
      <c r="M4403" t="s">
        <v>21</v>
      </c>
      <c r="N4403" s="1">
        <v>44371.671527777777</v>
      </c>
      <c r="O4403" t="s">
        <v>19</v>
      </c>
    </row>
    <row r="4404" spans="1:15" x14ac:dyDescent="0.25">
      <c r="A4404" t="s">
        <v>3718</v>
      </c>
      <c r="B4404" t="s">
        <v>15</v>
      </c>
      <c r="C4404" t="s">
        <v>37</v>
      </c>
      <c r="D4404" t="s">
        <v>17</v>
      </c>
      <c r="E4404" t="s">
        <v>18</v>
      </c>
      <c r="F4404" t="s">
        <v>19</v>
      </c>
      <c r="G4404" t="s">
        <v>20</v>
      </c>
      <c r="J4404" t="s">
        <v>17</v>
      </c>
      <c r="K4404" t="str">
        <f>"7858816086366"</f>
        <v>7858816086366</v>
      </c>
      <c r="L4404" t="str">
        <f>"87528636"</f>
        <v>87528636</v>
      </c>
      <c r="M4404" t="s">
        <v>21</v>
      </c>
      <c r="N4404" s="1">
        <v>44371.667361111111</v>
      </c>
      <c r="O4404" t="s">
        <v>19</v>
      </c>
    </row>
    <row r="4405" spans="1:15" x14ac:dyDescent="0.25">
      <c r="A4405" t="s">
        <v>3719</v>
      </c>
      <c r="B4405" t="s">
        <v>15</v>
      </c>
      <c r="C4405" t="s">
        <v>2074</v>
      </c>
      <c r="D4405" t="s">
        <v>17</v>
      </c>
      <c r="E4405" t="s">
        <v>18</v>
      </c>
      <c r="F4405" t="s">
        <v>19</v>
      </c>
      <c r="G4405" t="s">
        <v>20</v>
      </c>
      <c r="J4405" t="s">
        <v>17</v>
      </c>
      <c r="K4405" t="str">
        <f>"34190004"</f>
        <v>34190004</v>
      </c>
      <c r="L4405" t="str">
        <f>"34190004"</f>
        <v>34190004</v>
      </c>
      <c r="M4405" t="s">
        <v>75</v>
      </c>
      <c r="N4405" s="1">
        <v>42872.839583333334</v>
      </c>
      <c r="O4405" t="s">
        <v>19</v>
      </c>
    </row>
    <row r="4406" spans="1:15" x14ac:dyDescent="0.25">
      <c r="A4406" t="s">
        <v>3720</v>
      </c>
      <c r="B4406" t="s">
        <v>15</v>
      </c>
      <c r="C4406" t="s">
        <v>2074</v>
      </c>
      <c r="D4406" t="s">
        <v>17</v>
      </c>
      <c r="E4406" t="s">
        <v>18</v>
      </c>
      <c r="F4406" t="s">
        <v>19</v>
      </c>
      <c r="G4406" t="s">
        <v>20</v>
      </c>
      <c r="J4406" t="s">
        <v>17</v>
      </c>
      <c r="K4406" t="str">
        <f>"11203443"</f>
        <v>11203443</v>
      </c>
      <c r="L4406" t="str">
        <f>"11203443"</f>
        <v>11203443</v>
      </c>
      <c r="M4406" t="s">
        <v>75</v>
      </c>
      <c r="N4406" s="1">
        <v>42971.892361111109</v>
      </c>
      <c r="O4406" t="s">
        <v>19</v>
      </c>
    </row>
    <row r="4407" spans="1:15" x14ac:dyDescent="0.25">
      <c r="A4407" t="s">
        <v>3721</v>
      </c>
      <c r="B4407" t="s">
        <v>15</v>
      </c>
      <c r="C4407" t="s">
        <v>937</v>
      </c>
      <c r="D4407" t="s">
        <v>17</v>
      </c>
      <c r="E4407" t="s">
        <v>18</v>
      </c>
      <c r="F4407" t="s">
        <v>19</v>
      </c>
      <c r="G4407" t="s">
        <v>20</v>
      </c>
      <c r="J4407" t="s">
        <v>17</v>
      </c>
      <c r="K4407" t="str">
        <f>"42052251"</f>
        <v>42052251</v>
      </c>
      <c r="L4407" t="str">
        <f>"42052251"</f>
        <v>42052251</v>
      </c>
      <c r="M4407" t="s">
        <v>75</v>
      </c>
      <c r="N4407" s="1">
        <v>42872.839583333334</v>
      </c>
      <c r="O4407" t="s">
        <v>19</v>
      </c>
    </row>
    <row r="4408" spans="1:15" x14ac:dyDescent="0.25">
      <c r="A4408" t="s">
        <v>3722</v>
      </c>
      <c r="B4408" t="s">
        <v>15</v>
      </c>
      <c r="C4408" t="s">
        <v>2481</v>
      </c>
      <c r="D4408" t="s">
        <v>17</v>
      </c>
      <c r="E4408" t="s">
        <v>18</v>
      </c>
      <c r="F4408" t="s">
        <v>19</v>
      </c>
      <c r="G4408" t="s">
        <v>20</v>
      </c>
      <c r="J4408" t="s">
        <v>17</v>
      </c>
      <c r="K4408" t="str">
        <f>"86380005"</f>
        <v>86380005</v>
      </c>
      <c r="L4408" t="str">
        <f>"86380005"</f>
        <v>86380005</v>
      </c>
      <c r="M4408" t="s">
        <v>84</v>
      </c>
      <c r="N4408" s="1">
        <v>43260.799305555556</v>
      </c>
      <c r="O4408" t="s">
        <v>19</v>
      </c>
    </row>
    <row r="4409" spans="1:15" x14ac:dyDescent="0.25">
      <c r="A4409" t="s">
        <v>3723</v>
      </c>
      <c r="B4409" t="s">
        <v>15</v>
      </c>
      <c r="C4409" t="s">
        <v>2481</v>
      </c>
      <c r="D4409" t="s">
        <v>17</v>
      </c>
      <c r="E4409" t="s">
        <v>18</v>
      </c>
      <c r="F4409" t="s">
        <v>19</v>
      </c>
      <c r="G4409" t="s">
        <v>20</v>
      </c>
      <c r="J4409" t="s">
        <v>18</v>
      </c>
      <c r="K4409" t="str">
        <f>"7858816050688"</f>
        <v>7858816050688</v>
      </c>
      <c r="L4409" t="str">
        <f>"87385068"</f>
        <v>87385068</v>
      </c>
      <c r="M4409" t="s">
        <v>84</v>
      </c>
      <c r="N4409" s="1">
        <v>43369.918749999997</v>
      </c>
      <c r="O4409" t="s">
        <v>19</v>
      </c>
    </row>
    <row r="4410" spans="1:15" x14ac:dyDescent="0.25">
      <c r="A4410" t="s">
        <v>3724</v>
      </c>
      <c r="B4410" t="s">
        <v>15</v>
      </c>
      <c r="C4410" t="s">
        <v>2481</v>
      </c>
      <c r="D4410" t="s">
        <v>17</v>
      </c>
      <c r="E4410" t="s">
        <v>18</v>
      </c>
      <c r="F4410" t="s">
        <v>19</v>
      </c>
      <c r="G4410" t="s">
        <v>20</v>
      </c>
      <c r="J4410" t="s">
        <v>17</v>
      </c>
      <c r="K4410" t="str">
        <f>"7858816038211"</f>
        <v>7858816038211</v>
      </c>
      <c r="L4410" t="str">
        <f>"87213821"</f>
        <v>87213821</v>
      </c>
      <c r="M4410" t="s">
        <v>75</v>
      </c>
      <c r="N4410" s="1">
        <v>43146.845138888886</v>
      </c>
      <c r="O4410" t="s">
        <v>19</v>
      </c>
    </row>
    <row r="4411" spans="1:15" x14ac:dyDescent="0.25">
      <c r="A4411" t="s">
        <v>3725</v>
      </c>
      <c r="B4411" t="s">
        <v>15</v>
      </c>
      <c r="C4411" t="s">
        <v>2481</v>
      </c>
      <c r="D4411" t="s">
        <v>17</v>
      </c>
      <c r="E4411" t="s">
        <v>18</v>
      </c>
      <c r="F4411" t="s">
        <v>19</v>
      </c>
      <c r="G4411" t="s">
        <v>20</v>
      </c>
      <c r="J4411" t="s">
        <v>17</v>
      </c>
      <c r="K4411" t="str">
        <f>"10382002"</f>
        <v>10382002</v>
      </c>
      <c r="L4411" t="str">
        <f>"10382002"</f>
        <v>10382002</v>
      </c>
      <c r="M4411" t="s">
        <v>75</v>
      </c>
      <c r="N4411" s="1">
        <v>42941.734027777777</v>
      </c>
      <c r="O4411" t="s">
        <v>19</v>
      </c>
    </row>
    <row r="4412" spans="1:15" x14ac:dyDescent="0.25">
      <c r="A4412" t="s">
        <v>3726</v>
      </c>
      <c r="B4412" t="s">
        <v>15</v>
      </c>
      <c r="C4412" t="s">
        <v>2481</v>
      </c>
      <c r="D4412" t="s">
        <v>17</v>
      </c>
      <c r="E4412" t="s">
        <v>18</v>
      </c>
      <c r="F4412" t="s">
        <v>19</v>
      </c>
      <c r="G4412" t="s">
        <v>20</v>
      </c>
      <c r="J4412" t="s">
        <v>17</v>
      </c>
      <c r="K4412" t="str">
        <f>"10382492"</f>
        <v>10382492</v>
      </c>
      <c r="L4412" t="str">
        <f>"10382492"</f>
        <v>10382492</v>
      </c>
      <c r="M4412" t="s">
        <v>75</v>
      </c>
      <c r="N4412" s="1">
        <v>42924.690972222219</v>
      </c>
      <c r="O4412" t="s">
        <v>19</v>
      </c>
    </row>
    <row r="4413" spans="1:15" x14ac:dyDescent="0.25">
      <c r="A4413" t="s">
        <v>3727</v>
      </c>
      <c r="B4413" t="s">
        <v>15</v>
      </c>
      <c r="C4413" t="s">
        <v>2481</v>
      </c>
      <c r="D4413" t="s">
        <v>17</v>
      </c>
      <c r="E4413" t="s">
        <v>18</v>
      </c>
      <c r="F4413" t="s">
        <v>19</v>
      </c>
      <c r="G4413" t="s">
        <v>20</v>
      </c>
      <c r="J4413" t="s">
        <v>17</v>
      </c>
      <c r="K4413" t="str">
        <f>"8669885010157"</f>
        <v>8669885010157</v>
      </c>
      <c r="L4413" t="str">
        <f>"66381015"</f>
        <v>66381015</v>
      </c>
      <c r="M4413" t="s">
        <v>75</v>
      </c>
      <c r="N4413" s="1">
        <v>43096.893750000003</v>
      </c>
      <c r="O4413" t="s">
        <v>19</v>
      </c>
    </row>
    <row r="4414" spans="1:15" x14ac:dyDescent="0.25">
      <c r="A4414" t="s">
        <v>3728</v>
      </c>
      <c r="B4414" t="s">
        <v>15</v>
      </c>
      <c r="C4414" t="s">
        <v>37</v>
      </c>
      <c r="D4414" t="s">
        <v>17</v>
      </c>
      <c r="E4414" t="s">
        <v>18</v>
      </c>
      <c r="F4414" t="s">
        <v>19</v>
      </c>
      <c r="G4414" t="s">
        <v>20</v>
      </c>
      <c r="J4414" t="s">
        <v>17</v>
      </c>
      <c r="K4414" t="str">
        <f>"25520008"</f>
        <v>25520008</v>
      </c>
      <c r="L4414" t="str">
        <f>"25520008"</f>
        <v>25520008</v>
      </c>
      <c r="M4414" t="s">
        <v>21</v>
      </c>
      <c r="N4414" s="1">
        <v>42872.847222222219</v>
      </c>
      <c r="O4414" t="s">
        <v>19</v>
      </c>
    </row>
    <row r="4415" spans="1:15" x14ac:dyDescent="0.25">
      <c r="A4415" t="s">
        <v>3729</v>
      </c>
      <c r="B4415" t="s">
        <v>15</v>
      </c>
      <c r="C4415" t="s">
        <v>37</v>
      </c>
      <c r="D4415" t="s">
        <v>17</v>
      </c>
      <c r="E4415" t="s">
        <v>18</v>
      </c>
      <c r="F4415" t="s">
        <v>19</v>
      </c>
      <c r="G4415" t="s">
        <v>20</v>
      </c>
      <c r="J4415" t="s">
        <v>17</v>
      </c>
      <c r="K4415" t="str">
        <f>"6923450656181"</f>
        <v>6923450656181</v>
      </c>
      <c r="L4415" t="str">
        <f>"40523270"</f>
        <v>40523270</v>
      </c>
      <c r="M4415" t="s">
        <v>21</v>
      </c>
      <c r="N4415" s="1">
        <v>44286.746527777781</v>
      </c>
      <c r="O4415" t="s">
        <v>19</v>
      </c>
    </row>
    <row r="4416" spans="1:15" x14ac:dyDescent="0.25">
      <c r="A4416" t="s">
        <v>3730</v>
      </c>
      <c r="B4416" t="s">
        <v>15</v>
      </c>
      <c r="C4416" t="s">
        <v>37</v>
      </c>
      <c r="D4416" t="s">
        <v>17</v>
      </c>
      <c r="E4416" t="s">
        <v>18</v>
      </c>
      <c r="F4416" t="s">
        <v>19</v>
      </c>
      <c r="G4416" t="s">
        <v>20</v>
      </c>
      <c r="J4416" t="s">
        <v>17</v>
      </c>
      <c r="K4416" t="str">
        <f>"25520006"</f>
        <v>25520006</v>
      </c>
      <c r="L4416" t="str">
        <f>"25520006"</f>
        <v>25520006</v>
      </c>
      <c r="M4416" t="s">
        <v>21</v>
      </c>
      <c r="N4416" s="1">
        <v>42872.847222222219</v>
      </c>
      <c r="O4416" t="s">
        <v>19</v>
      </c>
    </row>
    <row r="4417" spans="1:15" x14ac:dyDescent="0.25">
      <c r="A4417" t="s">
        <v>3731</v>
      </c>
      <c r="B4417" t="s">
        <v>15</v>
      </c>
      <c r="C4417" t="s">
        <v>37</v>
      </c>
      <c r="D4417" t="s">
        <v>17</v>
      </c>
      <c r="E4417" t="s">
        <v>18</v>
      </c>
      <c r="F4417" t="s">
        <v>19</v>
      </c>
      <c r="G4417" t="s">
        <v>20</v>
      </c>
      <c r="J4417" t="s">
        <v>17</v>
      </c>
      <c r="K4417" t="str">
        <f>"10111451"</f>
        <v>10111451</v>
      </c>
      <c r="L4417" t="str">
        <f>"10111451"</f>
        <v>10111451</v>
      </c>
      <c r="M4417" t="s">
        <v>21</v>
      </c>
      <c r="N4417" s="1">
        <v>42872.847222222219</v>
      </c>
      <c r="O4417" t="s">
        <v>19</v>
      </c>
    </row>
    <row r="4418" spans="1:15" x14ac:dyDescent="0.25">
      <c r="A4418" t="s">
        <v>3732</v>
      </c>
      <c r="B4418" t="s">
        <v>15</v>
      </c>
      <c r="C4418" t="s">
        <v>37</v>
      </c>
      <c r="D4418" t="s">
        <v>17</v>
      </c>
      <c r="E4418" t="s">
        <v>18</v>
      </c>
      <c r="F4418" t="s">
        <v>19</v>
      </c>
      <c r="G4418" t="s">
        <v>20</v>
      </c>
      <c r="J4418" t="s">
        <v>17</v>
      </c>
      <c r="K4418" t="str">
        <f>"798302162006"</f>
        <v>798302162006</v>
      </c>
      <c r="L4418" t="str">
        <f>"92520375"</f>
        <v>92520375</v>
      </c>
      <c r="M4418" t="s">
        <v>21</v>
      </c>
      <c r="N4418" s="1">
        <v>42872.847222222219</v>
      </c>
      <c r="O4418" t="s">
        <v>19</v>
      </c>
    </row>
    <row r="4419" spans="1:15" x14ac:dyDescent="0.25">
      <c r="A4419" t="s">
        <v>3733</v>
      </c>
      <c r="B4419" t="s">
        <v>15</v>
      </c>
      <c r="C4419" t="s">
        <v>37</v>
      </c>
      <c r="D4419" t="s">
        <v>17</v>
      </c>
      <c r="E4419" t="s">
        <v>18</v>
      </c>
      <c r="F4419" t="s">
        <v>19</v>
      </c>
      <c r="G4419" t="s">
        <v>20</v>
      </c>
      <c r="J4419" t="s">
        <v>17</v>
      </c>
      <c r="K4419" t="str">
        <f>"10003265"</f>
        <v>10003265</v>
      </c>
      <c r="L4419" t="str">
        <f>"10003265"</f>
        <v>10003265</v>
      </c>
      <c r="M4419" t="s">
        <v>75</v>
      </c>
      <c r="N4419" s="1">
        <v>42950.622916666667</v>
      </c>
      <c r="O4419" t="s">
        <v>19</v>
      </c>
    </row>
    <row r="4420" spans="1:15" x14ac:dyDescent="0.25">
      <c r="A4420" t="s">
        <v>3734</v>
      </c>
      <c r="B4420" t="s">
        <v>15</v>
      </c>
      <c r="C4420" t="s">
        <v>2481</v>
      </c>
      <c r="D4420" t="s">
        <v>17</v>
      </c>
      <c r="E4420" t="s">
        <v>18</v>
      </c>
      <c r="F4420" t="s">
        <v>19</v>
      </c>
      <c r="G4420" t="s">
        <v>20</v>
      </c>
      <c r="J4420" t="s">
        <v>17</v>
      </c>
      <c r="K4420" t="str">
        <f>"10382220"</f>
        <v>10382220</v>
      </c>
      <c r="L4420" t="str">
        <f>"10382220"</f>
        <v>10382220</v>
      </c>
      <c r="M4420" t="s">
        <v>75</v>
      </c>
      <c r="N4420" s="1">
        <v>42924.665277777778</v>
      </c>
      <c r="O4420" t="s">
        <v>19</v>
      </c>
    </row>
    <row r="4421" spans="1:15" x14ac:dyDescent="0.25">
      <c r="A4421" t="s">
        <v>3735</v>
      </c>
      <c r="B4421" t="s">
        <v>15</v>
      </c>
      <c r="C4421" t="s">
        <v>37</v>
      </c>
      <c r="D4421" t="s">
        <v>17</v>
      </c>
      <c r="E4421" t="s">
        <v>18</v>
      </c>
      <c r="F4421" t="s">
        <v>19</v>
      </c>
      <c r="G4421" t="s">
        <v>20</v>
      </c>
      <c r="J4421" t="s">
        <v>17</v>
      </c>
      <c r="K4421" t="str">
        <f>"10111440"</f>
        <v>10111440</v>
      </c>
      <c r="L4421" t="str">
        <f>"10111440"</f>
        <v>10111440</v>
      </c>
      <c r="M4421" t="s">
        <v>21</v>
      </c>
      <c r="N4421" s="1">
        <v>44254.806250000001</v>
      </c>
      <c r="O4421" t="s">
        <v>19</v>
      </c>
    </row>
    <row r="4422" spans="1:15" x14ac:dyDescent="0.25">
      <c r="A4422" t="s">
        <v>3736</v>
      </c>
      <c r="B4422" t="s">
        <v>15</v>
      </c>
      <c r="C4422" t="s">
        <v>37</v>
      </c>
      <c r="D4422" t="s">
        <v>17</v>
      </c>
      <c r="E4422" t="s">
        <v>18</v>
      </c>
      <c r="F4422" t="s">
        <v>19</v>
      </c>
      <c r="G4422" t="s">
        <v>20</v>
      </c>
      <c r="J4422" t="s">
        <v>17</v>
      </c>
      <c r="K4422" t="str">
        <f>"4895185615066"</f>
        <v>4895185615066</v>
      </c>
      <c r="L4422" t="str">
        <f>"98523642"</f>
        <v>98523642</v>
      </c>
      <c r="M4422" t="s">
        <v>84</v>
      </c>
      <c r="N4422" s="1">
        <v>43280.623611111114</v>
      </c>
      <c r="O4422" t="s">
        <v>19</v>
      </c>
    </row>
    <row r="4423" spans="1:15" x14ac:dyDescent="0.25">
      <c r="A4423" t="s">
        <v>3737</v>
      </c>
      <c r="B4423" t="s">
        <v>15</v>
      </c>
      <c r="C4423" t="s">
        <v>37</v>
      </c>
      <c r="D4423" t="s">
        <v>17</v>
      </c>
      <c r="E4423" t="s">
        <v>18</v>
      </c>
      <c r="F4423" t="s">
        <v>19</v>
      </c>
      <c r="G4423" t="s">
        <v>20</v>
      </c>
      <c r="J4423" t="s">
        <v>17</v>
      </c>
      <c r="K4423" t="str">
        <f>"4895185622446"</f>
        <v>4895185622446</v>
      </c>
      <c r="L4423" t="str">
        <f>"98527442"</f>
        <v>98527442</v>
      </c>
      <c r="M4423" t="s">
        <v>84</v>
      </c>
      <c r="N4423" s="1">
        <v>43280.618055555555</v>
      </c>
      <c r="O4423" t="s">
        <v>19</v>
      </c>
    </row>
    <row r="4424" spans="1:15" x14ac:dyDescent="0.25">
      <c r="A4424" t="s">
        <v>3738</v>
      </c>
      <c r="B4424" t="s">
        <v>15</v>
      </c>
      <c r="C4424" t="s">
        <v>2481</v>
      </c>
      <c r="D4424" t="s">
        <v>17</v>
      </c>
      <c r="E4424" t="s">
        <v>18</v>
      </c>
      <c r="F4424" t="s">
        <v>19</v>
      </c>
      <c r="G4424" t="s">
        <v>20</v>
      </c>
      <c r="J4424" t="s">
        <v>17</v>
      </c>
      <c r="K4424" t="str">
        <f>"10380331"</f>
        <v>10380331</v>
      </c>
      <c r="L4424" t="str">
        <f>"10380331"</f>
        <v>10380331</v>
      </c>
      <c r="M4424" t="s">
        <v>75</v>
      </c>
      <c r="N4424" s="1">
        <v>42941.809027777781</v>
      </c>
      <c r="O4424" t="s">
        <v>19</v>
      </c>
    </row>
    <row r="4425" spans="1:15" x14ac:dyDescent="0.25">
      <c r="A4425" t="s">
        <v>3739</v>
      </c>
      <c r="B4425" t="s">
        <v>15</v>
      </c>
      <c r="C4425" t="s">
        <v>2481</v>
      </c>
      <c r="D4425" t="s">
        <v>17</v>
      </c>
      <c r="E4425" t="s">
        <v>18</v>
      </c>
      <c r="F4425" t="s">
        <v>19</v>
      </c>
      <c r="G4425" t="s">
        <v>20</v>
      </c>
      <c r="J4425" t="s">
        <v>17</v>
      </c>
      <c r="K4425" t="str">
        <f>"890968703149"</f>
        <v>890968703149</v>
      </c>
      <c r="L4425" t="str">
        <f>"763870314"</f>
        <v>763870314</v>
      </c>
      <c r="M4425" t="s">
        <v>84</v>
      </c>
      <c r="N4425" s="1">
        <v>43410.638194444444</v>
      </c>
      <c r="O4425" t="s">
        <v>19</v>
      </c>
    </row>
    <row r="4426" spans="1:15" x14ac:dyDescent="0.25">
      <c r="A4426" t="s">
        <v>3740</v>
      </c>
      <c r="B4426" t="s">
        <v>15</v>
      </c>
      <c r="C4426" t="s">
        <v>2481</v>
      </c>
      <c r="D4426" t="s">
        <v>17</v>
      </c>
      <c r="E4426" t="s">
        <v>18</v>
      </c>
      <c r="F4426" t="s">
        <v>19</v>
      </c>
      <c r="G4426" t="s">
        <v>20</v>
      </c>
      <c r="J4426" t="s">
        <v>17</v>
      </c>
      <c r="K4426" t="str">
        <f>"3011691"</f>
        <v>3011691</v>
      </c>
      <c r="L4426" t="str">
        <f>"30380201"</f>
        <v>30380201</v>
      </c>
      <c r="M4426" t="s">
        <v>84</v>
      </c>
      <c r="N4426" s="1">
        <v>43501.947222222225</v>
      </c>
      <c r="O4426" t="s">
        <v>19</v>
      </c>
    </row>
    <row r="4427" spans="1:15" x14ac:dyDescent="0.25">
      <c r="A4427" t="s">
        <v>3741</v>
      </c>
      <c r="B4427" t="s">
        <v>15</v>
      </c>
      <c r="C4427" t="s">
        <v>2481</v>
      </c>
      <c r="D4427" t="s">
        <v>17</v>
      </c>
      <c r="E4427" t="s">
        <v>18</v>
      </c>
      <c r="F4427" t="s">
        <v>19</v>
      </c>
      <c r="G4427" t="s">
        <v>20</v>
      </c>
      <c r="J4427" t="s">
        <v>17</v>
      </c>
      <c r="K4427" t="str">
        <f>"5626890047083"</f>
        <v>5626890047083</v>
      </c>
      <c r="L4427" t="str">
        <f>"28384708"</f>
        <v>28384708</v>
      </c>
      <c r="M4427" t="s">
        <v>84</v>
      </c>
      <c r="N4427" s="1">
        <v>43266.956250000003</v>
      </c>
      <c r="O4427" t="s">
        <v>19</v>
      </c>
    </row>
    <row r="4428" spans="1:15" x14ac:dyDescent="0.25">
      <c r="A4428" t="s">
        <v>3742</v>
      </c>
      <c r="B4428" t="s">
        <v>15</v>
      </c>
      <c r="C4428" t="s">
        <v>2481</v>
      </c>
      <c r="D4428" t="s">
        <v>17</v>
      </c>
      <c r="E4428" t="s">
        <v>18</v>
      </c>
      <c r="F4428" t="s">
        <v>19</v>
      </c>
      <c r="G4428" t="s">
        <v>20</v>
      </c>
      <c r="J4428" t="s">
        <v>17</v>
      </c>
      <c r="K4428" t="str">
        <f>"4710007727867"</f>
        <v>4710007727867</v>
      </c>
      <c r="L4428" t="str">
        <f>"65387867"</f>
        <v>65387867</v>
      </c>
      <c r="M4428" t="s">
        <v>75</v>
      </c>
      <c r="N4428" s="1">
        <v>43123.836805555555</v>
      </c>
      <c r="O4428" t="s">
        <v>19</v>
      </c>
    </row>
    <row r="4429" spans="1:15" x14ac:dyDescent="0.25">
      <c r="A4429" t="s">
        <v>3743</v>
      </c>
      <c r="B4429" t="s">
        <v>15</v>
      </c>
      <c r="C4429" t="s">
        <v>2481</v>
      </c>
      <c r="D4429" t="s">
        <v>17</v>
      </c>
      <c r="E4429" t="s">
        <v>18</v>
      </c>
      <c r="F4429" t="s">
        <v>19</v>
      </c>
      <c r="G4429" t="s">
        <v>20</v>
      </c>
      <c r="J4429" t="s">
        <v>17</v>
      </c>
      <c r="K4429" t="str">
        <f>"8669885020620"</f>
        <v>8669885020620</v>
      </c>
      <c r="L4429" t="str">
        <f>"66382062"</f>
        <v>66382062</v>
      </c>
      <c r="M4429" t="s">
        <v>75</v>
      </c>
      <c r="N4429" s="1">
        <v>43096.904166666667</v>
      </c>
      <c r="O4429" t="s">
        <v>19</v>
      </c>
    </row>
    <row r="4430" spans="1:15" x14ac:dyDescent="0.25">
      <c r="A4430" t="s">
        <v>3744</v>
      </c>
      <c r="B4430" t="s">
        <v>15</v>
      </c>
      <c r="C4430" t="s">
        <v>937</v>
      </c>
      <c r="D4430" t="s">
        <v>17</v>
      </c>
      <c r="E4430" t="s">
        <v>18</v>
      </c>
      <c r="F4430" t="s">
        <v>19</v>
      </c>
      <c r="G4430" t="s">
        <v>20</v>
      </c>
      <c r="J4430" t="s">
        <v>17</v>
      </c>
      <c r="K4430" t="str">
        <f>"7804625561044"</f>
        <v>7804625561044</v>
      </c>
      <c r="L4430" t="str">
        <f>"42445139"</f>
        <v>42445139</v>
      </c>
      <c r="M4430" t="s">
        <v>75</v>
      </c>
      <c r="N4430" s="1">
        <v>43011.875694444447</v>
      </c>
      <c r="O4430" t="s">
        <v>19</v>
      </c>
    </row>
    <row r="4431" spans="1:15" x14ac:dyDescent="0.25">
      <c r="A4431" t="s">
        <v>3745</v>
      </c>
      <c r="B4431" t="s">
        <v>15</v>
      </c>
      <c r="C4431" t="s">
        <v>37</v>
      </c>
      <c r="D4431" t="s">
        <v>17</v>
      </c>
      <c r="E4431" t="s">
        <v>18</v>
      </c>
      <c r="F4431" t="s">
        <v>19</v>
      </c>
      <c r="G4431" t="s">
        <v>20</v>
      </c>
      <c r="J4431" t="s">
        <v>17</v>
      </c>
      <c r="K4431" t="str">
        <f>"76520000"</f>
        <v>76520000</v>
      </c>
      <c r="L4431" t="str">
        <f>"76520000"</f>
        <v>76520000</v>
      </c>
      <c r="M4431" t="s">
        <v>21</v>
      </c>
      <c r="N4431" s="1">
        <v>42893.948611111111</v>
      </c>
      <c r="O4431" t="s">
        <v>19</v>
      </c>
    </row>
    <row r="4432" spans="1:15" x14ac:dyDescent="0.25">
      <c r="A4432" t="s">
        <v>3746</v>
      </c>
      <c r="B4432" t="s">
        <v>15</v>
      </c>
      <c r="C4432" t="s">
        <v>37</v>
      </c>
      <c r="D4432" t="s">
        <v>17</v>
      </c>
      <c r="E4432" t="s">
        <v>18</v>
      </c>
      <c r="F4432" t="s">
        <v>19</v>
      </c>
      <c r="G4432" t="s">
        <v>20</v>
      </c>
      <c r="J4432" t="s">
        <v>17</v>
      </c>
      <c r="K4432" t="str">
        <f>"10003973"</f>
        <v>10003973</v>
      </c>
      <c r="L4432" t="str">
        <f>"10003973"</f>
        <v>10003973</v>
      </c>
      <c r="M4432" t="s">
        <v>21</v>
      </c>
      <c r="N4432" s="1">
        <v>43648.631944444445</v>
      </c>
      <c r="O4432" t="s">
        <v>19</v>
      </c>
    </row>
    <row r="4433" spans="1:15" x14ac:dyDescent="0.25">
      <c r="A4433" t="s">
        <v>3747</v>
      </c>
      <c r="B4433" t="s">
        <v>15</v>
      </c>
      <c r="C4433" t="s">
        <v>35</v>
      </c>
      <c r="D4433" t="s">
        <v>17</v>
      </c>
      <c r="E4433" t="s">
        <v>18</v>
      </c>
      <c r="F4433" t="s">
        <v>19</v>
      </c>
      <c r="G4433" t="s">
        <v>20</v>
      </c>
      <c r="J4433" t="s">
        <v>17</v>
      </c>
      <c r="K4433" t="str">
        <f>"1578595075392"</f>
        <v>1578595075392</v>
      </c>
      <c r="L4433" t="str">
        <f>"40025392"</f>
        <v>40025392</v>
      </c>
      <c r="M4433" t="s">
        <v>21</v>
      </c>
      <c r="N4433" s="1">
        <v>44349.788194444445</v>
      </c>
      <c r="O4433" t="s">
        <v>19</v>
      </c>
    </row>
    <row r="4434" spans="1:15" x14ac:dyDescent="0.25">
      <c r="A4434" t="s">
        <v>3748</v>
      </c>
      <c r="B4434" t="s">
        <v>15</v>
      </c>
      <c r="C4434" t="s">
        <v>37</v>
      </c>
      <c r="D4434" t="s">
        <v>17</v>
      </c>
      <c r="E4434" t="s">
        <v>18</v>
      </c>
      <c r="F4434" t="s">
        <v>19</v>
      </c>
      <c r="G4434" t="s">
        <v>20</v>
      </c>
      <c r="J4434" t="s">
        <v>17</v>
      </c>
      <c r="K4434" t="str">
        <f>"1578595018012"</f>
        <v>1578595018012</v>
      </c>
      <c r="L4434" t="str">
        <f>"40528012"</f>
        <v>40528012</v>
      </c>
      <c r="M4434" t="s">
        <v>21</v>
      </c>
      <c r="N4434" s="1">
        <v>44435.664583333331</v>
      </c>
      <c r="O4434" t="s">
        <v>19</v>
      </c>
    </row>
    <row r="4435" spans="1:15" x14ac:dyDescent="0.25">
      <c r="A4435" t="s">
        <v>3749</v>
      </c>
      <c r="B4435" t="s">
        <v>15</v>
      </c>
      <c r="C4435" t="s">
        <v>37</v>
      </c>
      <c r="D4435" t="s">
        <v>17</v>
      </c>
      <c r="E4435" t="s">
        <v>18</v>
      </c>
      <c r="F4435" t="s">
        <v>19</v>
      </c>
      <c r="G4435" t="s">
        <v>20</v>
      </c>
      <c r="J4435" t="s">
        <v>17</v>
      </c>
      <c r="K4435" t="str">
        <f>"10002353"</f>
        <v>10002353</v>
      </c>
      <c r="L4435" t="str">
        <f>"10002353"</f>
        <v>10002353</v>
      </c>
      <c r="M4435" t="s">
        <v>75</v>
      </c>
      <c r="N4435" s="1">
        <v>42924.676388888889</v>
      </c>
      <c r="O4435" t="s">
        <v>19</v>
      </c>
    </row>
    <row r="4436" spans="1:15" x14ac:dyDescent="0.25">
      <c r="A4436" t="s">
        <v>3750</v>
      </c>
      <c r="B4436" t="s">
        <v>15</v>
      </c>
      <c r="C4436" t="s">
        <v>35</v>
      </c>
      <c r="D4436" t="s">
        <v>17</v>
      </c>
      <c r="E4436" t="s">
        <v>18</v>
      </c>
      <c r="F4436" t="s">
        <v>19</v>
      </c>
      <c r="G4436" t="s">
        <v>20</v>
      </c>
      <c r="J4436" t="s">
        <v>17</v>
      </c>
      <c r="K4436" t="str">
        <f>"7858816060403"</f>
        <v>7858816060403</v>
      </c>
      <c r="L4436" t="str">
        <f>"87026040"</f>
        <v>87026040</v>
      </c>
      <c r="M4436" t="s">
        <v>21</v>
      </c>
      <c r="N4436" s="1">
        <v>43173.811111111114</v>
      </c>
      <c r="O4436" t="s">
        <v>19</v>
      </c>
    </row>
    <row r="4437" spans="1:15" x14ac:dyDescent="0.25">
      <c r="A4437" t="s">
        <v>3751</v>
      </c>
      <c r="B4437" t="s">
        <v>15</v>
      </c>
      <c r="C4437" t="s">
        <v>35</v>
      </c>
      <c r="D4437" t="s">
        <v>17</v>
      </c>
      <c r="E4437" t="s">
        <v>18</v>
      </c>
      <c r="F4437" t="s">
        <v>19</v>
      </c>
      <c r="G4437" t="s">
        <v>20</v>
      </c>
      <c r="J4437" t="s">
        <v>17</v>
      </c>
      <c r="K4437" t="str">
        <f>"7858816060410"</f>
        <v>7858816060410</v>
      </c>
      <c r="L4437" t="str">
        <f>"87026041"</f>
        <v>87026041</v>
      </c>
      <c r="M4437" t="s">
        <v>21</v>
      </c>
      <c r="N4437" s="1">
        <v>43010.716666666667</v>
      </c>
      <c r="O4437" t="s">
        <v>19</v>
      </c>
    </row>
    <row r="4438" spans="1:15" x14ac:dyDescent="0.25">
      <c r="A4438" t="s">
        <v>3752</v>
      </c>
      <c r="B4438" t="s">
        <v>15</v>
      </c>
      <c r="C4438" t="s">
        <v>937</v>
      </c>
      <c r="D4438" t="s">
        <v>17</v>
      </c>
      <c r="E4438" t="s">
        <v>18</v>
      </c>
      <c r="F4438" t="s">
        <v>19</v>
      </c>
      <c r="G4438" t="s">
        <v>20</v>
      </c>
      <c r="J4438" t="s">
        <v>17</v>
      </c>
      <c r="K4438" t="str">
        <f>"7804634420806"</f>
        <v>7804634420806</v>
      </c>
      <c r="L4438" t="str">
        <f>"29ULX06000"</f>
        <v>29ULX06000</v>
      </c>
      <c r="M4438" t="s">
        <v>21</v>
      </c>
      <c r="N4438" s="1">
        <v>43805.728472222225</v>
      </c>
      <c r="O4438" t="s">
        <v>19</v>
      </c>
    </row>
    <row r="4439" spans="1:15" x14ac:dyDescent="0.25">
      <c r="A4439" t="s">
        <v>3753</v>
      </c>
      <c r="B4439" t="s">
        <v>15</v>
      </c>
      <c r="C4439" t="s">
        <v>35</v>
      </c>
      <c r="D4439" t="s">
        <v>17</v>
      </c>
      <c r="E4439" t="s">
        <v>18</v>
      </c>
      <c r="F4439" t="s">
        <v>19</v>
      </c>
      <c r="G4439" t="s">
        <v>20</v>
      </c>
      <c r="J4439" t="s">
        <v>17</v>
      </c>
      <c r="K4439" t="str">
        <f>"6689996100211"</f>
        <v>6689996100211</v>
      </c>
      <c r="L4439" t="str">
        <f>"400212125"</f>
        <v>400212125</v>
      </c>
      <c r="M4439" t="s">
        <v>21</v>
      </c>
      <c r="N4439" s="1">
        <v>44349.78402777778</v>
      </c>
      <c r="O4439" t="s">
        <v>19</v>
      </c>
    </row>
    <row r="4440" spans="1:15" x14ac:dyDescent="0.25">
      <c r="A4440" t="s">
        <v>3754</v>
      </c>
      <c r="B4440" t="s">
        <v>15</v>
      </c>
      <c r="C4440" t="s">
        <v>37</v>
      </c>
      <c r="D4440" t="s">
        <v>17</v>
      </c>
      <c r="E4440" t="s">
        <v>18</v>
      </c>
      <c r="F4440" t="s">
        <v>19</v>
      </c>
      <c r="G4440" t="s">
        <v>20</v>
      </c>
      <c r="J4440" t="s">
        <v>17</v>
      </c>
      <c r="K4440" t="str">
        <f>"7858816060298"</f>
        <v>7858816060298</v>
      </c>
      <c r="L4440" t="str">
        <f>"87026029"</f>
        <v>87026029</v>
      </c>
      <c r="M4440" t="s">
        <v>21</v>
      </c>
      <c r="N4440" s="1">
        <v>43609.789583333331</v>
      </c>
      <c r="O4440" t="s">
        <v>19</v>
      </c>
    </row>
    <row r="4441" spans="1:15" x14ac:dyDescent="0.25">
      <c r="A4441" t="s">
        <v>3755</v>
      </c>
      <c r="B4441" t="s">
        <v>15</v>
      </c>
      <c r="C4441" t="s">
        <v>2989</v>
      </c>
      <c r="D4441" t="s">
        <v>17</v>
      </c>
      <c r="E4441" t="s">
        <v>17</v>
      </c>
      <c r="F4441" t="s">
        <v>33</v>
      </c>
      <c r="G4441" t="s">
        <v>20</v>
      </c>
      <c r="J4441" t="s">
        <v>17</v>
      </c>
      <c r="K4441" t="str">
        <f>"1496274905157"</f>
        <v>1496274905157</v>
      </c>
      <c r="L4441" t="str">
        <f>"9025"</f>
        <v>9025</v>
      </c>
      <c r="M4441" t="s">
        <v>75</v>
      </c>
      <c r="N4441" s="1">
        <v>42886.996527777781</v>
      </c>
      <c r="O4441" t="s">
        <v>33</v>
      </c>
    </row>
    <row r="4442" spans="1:15" x14ac:dyDescent="0.25">
      <c r="A4442" t="s">
        <v>3756</v>
      </c>
      <c r="B4442" t="s">
        <v>1963</v>
      </c>
      <c r="C4442" t="s">
        <v>2989</v>
      </c>
      <c r="D4442" t="s">
        <v>18</v>
      </c>
      <c r="E4442" t="s">
        <v>17</v>
      </c>
      <c r="F4442" t="s">
        <v>33</v>
      </c>
      <c r="G4442" t="s">
        <v>20</v>
      </c>
      <c r="J4442" t="s">
        <v>17</v>
      </c>
      <c r="K4442" t="str">
        <f>"29025"</f>
        <v>29025</v>
      </c>
      <c r="L4442" t="str">
        <f>"29025"</f>
        <v>29025</v>
      </c>
      <c r="M4442" t="s">
        <v>75</v>
      </c>
      <c r="N4442" s="1">
        <v>42952.75</v>
      </c>
      <c r="O4442" t="s">
        <v>33</v>
      </c>
    </row>
    <row r="4443" spans="1:15" x14ac:dyDescent="0.25">
      <c r="A4443" t="s">
        <v>3756</v>
      </c>
      <c r="B4443" t="s">
        <v>1963</v>
      </c>
      <c r="C4443" t="s">
        <v>2989</v>
      </c>
      <c r="D4443" t="s">
        <v>17</v>
      </c>
      <c r="E4443" t="s">
        <v>17</v>
      </c>
      <c r="F4443" t="s">
        <v>33</v>
      </c>
      <c r="G4443" t="s">
        <v>20</v>
      </c>
      <c r="J4443" t="s">
        <v>17</v>
      </c>
      <c r="K4443" t="str">
        <f>"908060"</f>
        <v>908060</v>
      </c>
      <c r="L4443" t="str">
        <f>"908060"</f>
        <v>908060</v>
      </c>
      <c r="M4443" t="s">
        <v>21</v>
      </c>
      <c r="N4443" s="1">
        <v>43041.82916666667</v>
      </c>
      <c r="O4443" t="s">
        <v>33</v>
      </c>
    </row>
    <row r="4444" spans="1:15" x14ac:dyDescent="0.25">
      <c r="A4444" t="s">
        <v>3757</v>
      </c>
      <c r="B4444" t="s">
        <v>1963</v>
      </c>
      <c r="C4444" t="s">
        <v>2989</v>
      </c>
      <c r="D4444" t="s">
        <v>17</v>
      </c>
      <c r="E4444" t="s">
        <v>17</v>
      </c>
      <c r="F4444" t="s">
        <v>33</v>
      </c>
      <c r="G4444" t="s">
        <v>20</v>
      </c>
      <c r="J4444" t="s">
        <v>17</v>
      </c>
      <c r="K4444" t="str">
        <f>"908050"</f>
        <v>908050</v>
      </c>
      <c r="L4444" t="str">
        <f>"908050"</f>
        <v>908050</v>
      </c>
      <c r="M4444" t="s">
        <v>75</v>
      </c>
      <c r="N4444" s="1">
        <v>43041.827777777777</v>
      </c>
      <c r="O4444" t="s">
        <v>33</v>
      </c>
    </row>
    <row r="4445" spans="1:15" x14ac:dyDescent="0.25">
      <c r="A4445" t="s">
        <v>3758</v>
      </c>
      <c r="B4445" t="s">
        <v>15</v>
      </c>
      <c r="C4445" t="s">
        <v>37</v>
      </c>
      <c r="D4445" t="s">
        <v>18</v>
      </c>
      <c r="E4445" t="s">
        <v>18</v>
      </c>
      <c r="F4445" t="s">
        <v>33</v>
      </c>
      <c r="G4445" t="s">
        <v>20</v>
      </c>
      <c r="J4445" t="s">
        <v>17</v>
      </c>
      <c r="K4445" t="str">
        <f>"87520000"</f>
        <v>87520000</v>
      </c>
      <c r="L4445" t="str">
        <f>"87520000"</f>
        <v>87520000</v>
      </c>
      <c r="M4445" t="s">
        <v>21</v>
      </c>
      <c r="N4445" s="1">
        <v>42878.990277777775</v>
      </c>
      <c r="O4445" t="s">
        <v>33</v>
      </c>
    </row>
    <row r="4446" spans="1:15" x14ac:dyDescent="0.25">
      <c r="A4446" t="s">
        <v>3759</v>
      </c>
      <c r="B4446" t="s">
        <v>15</v>
      </c>
      <c r="C4446" t="s">
        <v>37</v>
      </c>
      <c r="D4446" t="s">
        <v>17</v>
      </c>
      <c r="E4446" t="s">
        <v>18</v>
      </c>
      <c r="F4446" t="s">
        <v>19</v>
      </c>
      <c r="G4446" t="s">
        <v>20</v>
      </c>
      <c r="J4446" t="s">
        <v>17</v>
      </c>
      <c r="K4446" t="str">
        <f>"87000301"</f>
        <v>87000301</v>
      </c>
      <c r="L4446" t="str">
        <f>"87000301"</f>
        <v>87000301</v>
      </c>
      <c r="M4446" t="s">
        <v>75</v>
      </c>
      <c r="N4446" s="1">
        <v>42872.847222222219</v>
      </c>
      <c r="O4446" t="s">
        <v>19</v>
      </c>
    </row>
    <row r="4447" spans="1:15" x14ac:dyDescent="0.25">
      <c r="A4447" t="s">
        <v>3760</v>
      </c>
      <c r="B4447" t="s">
        <v>15</v>
      </c>
      <c r="C4447" t="s">
        <v>27</v>
      </c>
      <c r="D4447" t="s">
        <v>17</v>
      </c>
      <c r="E4447" t="s">
        <v>18</v>
      </c>
      <c r="F4447" t="s">
        <v>19</v>
      </c>
      <c r="G4447" t="s">
        <v>20</v>
      </c>
      <c r="J4447" t="s">
        <v>17</v>
      </c>
      <c r="K4447" t="str">
        <f>"764714270"</f>
        <v>764714270</v>
      </c>
      <c r="L4447" t="str">
        <f>"764714270"</f>
        <v>764714270</v>
      </c>
      <c r="M4447" t="s">
        <v>75</v>
      </c>
      <c r="N4447" s="1">
        <v>42872.849305555559</v>
      </c>
      <c r="O4447" t="s">
        <v>19</v>
      </c>
    </row>
    <row r="4448" spans="1:15" x14ac:dyDescent="0.25">
      <c r="A4448" t="s">
        <v>3761</v>
      </c>
      <c r="B4448" t="s">
        <v>15</v>
      </c>
      <c r="C4448" t="s">
        <v>27</v>
      </c>
      <c r="D4448" t="s">
        <v>17</v>
      </c>
      <c r="E4448" t="s">
        <v>18</v>
      </c>
      <c r="F4448" t="s">
        <v>19</v>
      </c>
      <c r="G4448" t="s">
        <v>20</v>
      </c>
      <c r="J4448" t="s">
        <v>17</v>
      </c>
      <c r="K4448" t="str">
        <f>"17571445"</f>
        <v>17571445</v>
      </c>
      <c r="L4448" t="str">
        <f>"17571445"</f>
        <v>17571445</v>
      </c>
      <c r="M4448" t="s">
        <v>75</v>
      </c>
      <c r="N4448" s="1">
        <v>42872.839583333334</v>
      </c>
      <c r="O4448" t="s">
        <v>19</v>
      </c>
    </row>
    <row r="4449" spans="1:15" x14ac:dyDescent="0.25">
      <c r="A4449" t="s">
        <v>3762</v>
      </c>
      <c r="B4449" t="s">
        <v>15</v>
      </c>
      <c r="C4449" t="s">
        <v>27</v>
      </c>
      <c r="D4449" t="s">
        <v>17</v>
      </c>
      <c r="E4449" t="s">
        <v>18</v>
      </c>
      <c r="F4449" t="s">
        <v>19</v>
      </c>
      <c r="G4449" t="s">
        <v>20</v>
      </c>
      <c r="J4449" t="s">
        <v>17</v>
      </c>
      <c r="K4449" t="str">
        <f>"17480769"</f>
        <v>17480769</v>
      </c>
      <c r="L4449" t="str">
        <f>"17480769"</f>
        <v>17480769</v>
      </c>
      <c r="M4449" t="s">
        <v>75</v>
      </c>
      <c r="N4449" s="1">
        <v>42872.839583333334</v>
      </c>
      <c r="O4449" t="s">
        <v>19</v>
      </c>
    </row>
    <row r="4450" spans="1:15" x14ac:dyDescent="0.25">
      <c r="A4450" t="s">
        <v>3763</v>
      </c>
      <c r="B4450" t="s">
        <v>15</v>
      </c>
      <c r="C4450" t="s">
        <v>1607</v>
      </c>
      <c r="D4450" t="s">
        <v>17</v>
      </c>
      <c r="E4450" t="s">
        <v>18</v>
      </c>
      <c r="F4450" t="s">
        <v>19</v>
      </c>
      <c r="G4450" t="s">
        <v>20</v>
      </c>
      <c r="J4450" t="s">
        <v>17</v>
      </c>
      <c r="K4450" t="str">
        <f>"76560716"</f>
        <v>76560716</v>
      </c>
      <c r="L4450" t="str">
        <f>"76560716"</f>
        <v>76560716</v>
      </c>
      <c r="M4450" t="s">
        <v>75</v>
      </c>
      <c r="N4450" s="1">
        <v>42872.847222222219</v>
      </c>
      <c r="O4450" t="s">
        <v>19</v>
      </c>
    </row>
    <row r="4451" spans="1:15" x14ac:dyDescent="0.25">
      <c r="A4451" t="s">
        <v>3764</v>
      </c>
      <c r="B4451" t="s">
        <v>15</v>
      </c>
      <c r="C4451" t="s">
        <v>16</v>
      </c>
      <c r="D4451" t="s">
        <v>17</v>
      </c>
      <c r="E4451" t="s">
        <v>18</v>
      </c>
      <c r="F4451" t="s">
        <v>19</v>
      </c>
      <c r="G4451" t="s">
        <v>20</v>
      </c>
      <c r="J4451" t="s">
        <v>17</v>
      </c>
      <c r="K4451" t="str">
        <f>"767510231"</f>
        <v>767510231</v>
      </c>
      <c r="L4451" t="str">
        <f>"767510231"</f>
        <v>767510231</v>
      </c>
      <c r="M4451" t="s">
        <v>75</v>
      </c>
      <c r="N4451" s="1">
        <v>42872.849305555559</v>
      </c>
      <c r="O4451" t="s">
        <v>19</v>
      </c>
    </row>
    <row r="4452" spans="1:15" x14ac:dyDescent="0.25">
      <c r="A4452" t="s">
        <v>3765</v>
      </c>
      <c r="B4452" t="s">
        <v>15</v>
      </c>
      <c r="C4452" t="s">
        <v>16</v>
      </c>
      <c r="D4452" t="s">
        <v>17</v>
      </c>
      <c r="E4452" t="s">
        <v>18</v>
      </c>
      <c r="F4452" t="s">
        <v>19</v>
      </c>
      <c r="G4452" t="s">
        <v>20</v>
      </c>
      <c r="J4452" t="s">
        <v>17</v>
      </c>
      <c r="K4452" t="str">
        <f>"760405295"</f>
        <v>760405295</v>
      </c>
      <c r="L4452" t="str">
        <f>"760405295"</f>
        <v>760405295</v>
      </c>
      <c r="M4452" t="s">
        <v>75</v>
      </c>
      <c r="N4452" s="1">
        <v>43179.668749999997</v>
      </c>
      <c r="O4452" t="s">
        <v>19</v>
      </c>
    </row>
    <row r="4453" spans="1:15" x14ac:dyDescent="0.25">
      <c r="A4453" t="s">
        <v>3766</v>
      </c>
      <c r="B4453" t="s">
        <v>15</v>
      </c>
      <c r="C4453" t="s">
        <v>16</v>
      </c>
      <c r="D4453" t="s">
        <v>17</v>
      </c>
      <c r="E4453" t="s">
        <v>18</v>
      </c>
      <c r="F4453" t="s">
        <v>19</v>
      </c>
      <c r="G4453" t="s">
        <v>20</v>
      </c>
      <c r="J4453" t="s">
        <v>17</v>
      </c>
      <c r="K4453" t="str">
        <f>"760405248"</f>
        <v>760405248</v>
      </c>
      <c r="L4453" t="str">
        <f>"760405248"</f>
        <v>760405248</v>
      </c>
      <c r="M4453" t="s">
        <v>75</v>
      </c>
      <c r="N4453" s="1">
        <v>43113.62777777778</v>
      </c>
      <c r="O4453" t="s">
        <v>19</v>
      </c>
    </row>
    <row r="4454" spans="1:15" x14ac:dyDescent="0.25">
      <c r="A4454" t="s">
        <v>3767</v>
      </c>
      <c r="B4454" t="s">
        <v>15</v>
      </c>
      <c r="C4454" t="s">
        <v>16</v>
      </c>
      <c r="D4454" t="s">
        <v>17</v>
      </c>
      <c r="E4454" t="s">
        <v>18</v>
      </c>
      <c r="F4454" t="s">
        <v>19</v>
      </c>
      <c r="G4454" t="s">
        <v>20</v>
      </c>
      <c r="J4454" t="s">
        <v>17</v>
      </c>
      <c r="K4454" t="str">
        <f>"760405160"</f>
        <v>760405160</v>
      </c>
      <c r="L4454" t="str">
        <f>"760405160"</f>
        <v>760405160</v>
      </c>
      <c r="M4454" t="s">
        <v>75</v>
      </c>
      <c r="N4454" s="1">
        <v>43113.627083333333</v>
      </c>
      <c r="O4454" t="s">
        <v>19</v>
      </c>
    </row>
    <row r="4455" spans="1:15" x14ac:dyDescent="0.25">
      <c r="A4455" t="s">
        <v>3768</v>
      </c>
      <c r="B4455" t="s">
        <v>15</v>
      </c>
      <c r="C4455" t="s">
        <v>16</v>
      </c>
      <c r="D4455" t="s">
        <v>17</v>
      </c>
      <c r="E4455" t="s">
        <v>18</v>
      </c>
      <c r="F4455" t="s">
        <v>19</v>
      </c>
      <c r="G4455" t="s">
        <v>20</v>
      </c>
      <c r="J4455" t="s">
        <v>17</v>
      </c>
      <c r="K4455" t="str">
        <f>"76040715"</f>
        <v>76040715</v>
      </c>
      <c r="L4455" t="str">
        <f>"76040715"</f>
        <v>76040715</v>
      </c>
      <c r="M4455" t="s">
        <v>75</v>
      </c>
      <c r="N4455" s="1">
        <v>43113.618055555555</v>
      </c>
      <c r="O4455" t="s">
        <v>19</v>
      </c>
    </row>
    <row r="4456" spans="1:15" x14ac:dyDescent="0.25">
      <c r="A4456" t="s">
        <v>3769</v>
      </c>
      <c r="B4456" t="s">
        <v>15</v>
      </c>
      <c r="C4456" t="s">
        <v>16</v>
      </c>
      <c r="D4456" t="s">
        <v>17</v>
      </c>
      <c r="E4456" t="s">
        <v>18</v>
      </c>
      <c r="F4456" t="s">
        <v>19</v>
      </c>
      <c r="G4456" t="s">
        <v>20</v>
      </c>
      <c r="J4456" t="s">
        <v>17</v>
      </c>
      <c r="K4456" t="str">
        <f>"76040716"</f>
        <v>76040716</v>
      </c>
      <c r="L4456" t="str">
        <f>"76040716"</f>
        <v>76040716</v>
      </c>
      <c r="M4456" t="s">
        <v>75</v>
      </c>
      <c r="N4456" s="1">
        <v>43113.618750000001</v>
      </c>
      <c r="O4456" t="s">
        <v>19</v>
      </c>
    </row>
    <row r="4457" spans="1:15" x14ac:dyDescent="0.25">
      <c r="A4457" t="s">
        <v>3770</v>
      </c>
      <c r="B4457" t="s">
        <v>15</v>
      </c>
      <c r="C4457" t="s">
        <v>16</v>
      </c>
      <c r="D4457" t="s">
        <v>17</v>
      </c>
      <c r="E4457" t="s">
        <v>18</v>
      </c>
      <c r="F4457" t="s">
        <v>19</v>
      </c>
      <c r="G4457" t="s">
        <v>20</v>
      </c>
      <c r="J4457" t="s">
        <v>17</v>
      </c>
      <c r="K4457" t="str">
        <f>"760407253"</f>
        <v>760407253</v>
      </c>
      <c r="L4457" t="str">
        <f>"760407253"</f>
        <v>760407253</v>
      </c>
      <c r="M4457" t="s">
        <v>75</v>
      </c>
      <c r="N4457" s="1">
        <v>43113.619444444441</v>
      </c>
      <c r="O4457" t="s">
        <v>19</v>
      </c>
    </row>
    <row r="4458" spans="1:15" x14ac:dyDescent="0.25">
      <c r="A4458" t="s">
        <v>3771</v>
      </c>
      <c r="B4458" t="s">
        <v>15</v>
      </c>
      <c r="C4458" t="s">
        <v>16</v>
      </c>
      <c r="D4458" t="s">
        <v>17</v>
      </c>
      <c r="E4458" t="s">
        <v>18</v>
      </c>
      <c r="F4458" t="s">
        <v>19</v>
      </c>
      <c r="G4458" t="s">
        <v>20</v>
      </c>
      <c r="J4458" t="s">
        <v>17</v>
      </c>
      <c r="K4458" t="str">
        <f>"760409293"</f>
        <v>760409293</v>
      </c>
      <c r="L4458" t="str">
        <f>"760409293"</f>
        <v>760409293</v>
      </c>
      <c r="M4458" t="s">
        <v>75</v>
      </c>
      <c r="N4458" s="1">
        <v>43113.626388888886</v>
      </c>
      <c r="O4458" t="s">
        <v>19</v>
      </c>
    </row>
    <row r="4459" spans="1:15" x14ac:dyDescent="0.25">
      <c r="A4459" t="s">
        <v>3772</v>
      </c>
      <c r="B4459" t="s">
        <v>15</v>
      </c>
      <c r="C4459" t="s">
        <v>16</v>
      </c>
      <c r="D4459" t="s">
        <v>17</v>
      </c>
      <c r="E4459" t="s">
        <v>18</v>
      </c>
      <c r="F4459" t="s">
        <v>19</v>
      </c>
      <c r="G4459" t="s">
        <v>20</v>
      </c>
      <c r="J4459" t="s">
        <v>17</v>
      </c>
      <c r="K4459" t="str">
        <f>"760410297"</f>
        <v>760410297</v>
      </c>
      <c r="L4459" t="str">
        <f>"760410297"</f>
        <v>760410297</v>
      </c>
      <c r="M4459" t="s">
        <v>75</v>
      </c>
      <c r="N4459" s="1">
        <v>43113.628472222219</v>
      </c>
      <c r="O4459" t="s">
        <v>19</v>
      </c>
    </row>
    <row r="4460" spans="1:15" x14ac:dyDescent="0.25">
      <c r="A4460" t="s">
        <v>3773</v>
      </c>
      <c r="B4460" t="s">
        <v>15</v>
      </c>
      <c r="C4460" t="s">
        <v>16</v>
      </c>
      <c r="D4460" t="s">
        <v>17</v>
      </c>
      <c r="E4460" t="s">
        <v>18</v>
      </c>
      <c r="F4460" t="s">
        <v>19</v>
      </c>
      <c r="G4460" t="s">
        <v>20</v>
      </c>
      <c r="J4460" t="s">
        <v>17</v>
      </c>
      <c r="K4460" t="str">
        <f>"760410301"</f>
        <v>760410301</v>
      </c>
      <c r="L4460" t="str">
        <f>"760410301"</f>
        <v>760410301</v>
      </c>
      <c r="M4460" t="s">
        <v>75</v>
      </c>
      <c r="N4460" s="1">
        <v>43113.629166666666</v>
      </c>
      <c r="O4460" t="s">
        <v>19</v>
      </c>
    </row>
    <row r="4461" spans="1:15" x14ac:dyDescent="0.25">
      <c r="A4461" t="s">
        <v>3774</v>
      </c>
      <c r="B4461" t="s">
        <v>15</v>
      </c>
      <c r="C4461" t="s">
        <v>16</v>
      </c>
      <c r="D4461" t="s">
        <v>17</v>
      </c>
      <c r="E4461" t="s">
        <v>18</v>
      </c>
      <c r="F4461" t="s">
        <v>19</v>
      </c>
      <c r="G4461" t="s">
        <v>20</v>
      </c>
      <c r="J4461" t="s">
        <v>17</v>
      </c>
      <c r="K4461" t="str">
        <f>"76043166"</f>
        <v>76043166</v>
      </c>
      <c r="L4461" t="str">
        <f>"76043166"</f>
        <v>76043166</v>
      </c>
      <c r="M4461" t="s">
        <v>75</v>
      </c>
      <c r="N4461" s="1">
        <v>43113.62222222222</v>
      </c>
      <c r="O4461" t="s">
        <v>19</v>
      </c>
    </row>
    <row r="4462" spans="1:15" x14ac:dyDescent="0.25">
      <c r="A4462" t="s">
        <v>3775</v>
      </c>
      <c r="B4462" t="s">
        <v>15</v>
      </c>
      <c r="C4462" t="s">
        <v>16</v>
      </c>
      <c r="D4462" t="s">
        <v>17</v>
      </c>
      <c r="E4462" t="s">
        <v>18</v>
      </c>
      <c r="F4462" t="s">
        <v>19</v>
      </c>
      <c r="G4462" t="s">
        <v>20</v>
      </c>
      <c r="J4462" t="s">
        <v>17</v>
      </c>
      <c r="K4462" t="str">
        <f>"760414125"</f>
        <v>760414125</v>
      </c>
      <c r="L4462" t="str">
        <f>"760414125"</f>
        <v>760414125</v>
      </c>
      <c r="M4462" t="s">
        <v>75</v>
      </c>
      <c r="N4462" s="1">
        <v>43113.617361111108</v>
      </c>
      <c r="O4462" t="s">
        <v>19</v>
      </c>
    </row>
    <row r="4463" spans="1:15" x14ac:dyDescent="0.25">
      <c r="A4463" t="s">
        <v>3776</v>
      </c>
      <c r="B4463" t="s">
        <v>15</v>
      </c>
      <c r="C4463" t="s">
        <v>16</v>
      </c>
      <c r="D4463" t="s">
        <v>17</v>
      </c>
      <c r="E4463" t="s">
        <v>18</v>
      </c>
      <c r="F4463" t="s">
        <v>19</v>
      </c>
      <c r="G4463" t="s">
        <v>20</v>
      </c>
      <c r="J4463" t="s">
        <v>17</v>
      </c>
      <c r="K4463" t="str">
        <f>"1000001087900"</f>
        <v>1000001087900</v>
      </c>
      <c r="L4463" t="str">
        <f>"760414283"</f>
        <v>760414283</v>
      </c>
      <c r="M4463" t="s">
        <v>75</v>
      </c>
      <c r="N4463" s="1">
        <v>43113.630555555559</v>
      </c>
      <c r="O4463" t="s">
        <v>19</v>
      </c>
    </row>
    <row r="4464" spans="1:15" x14ac:dyDescent="0.25">
      <c r="A4464" t="s">
        <v>3777</v>
      </c>
      <c r="B4464" t="s">
        <v>15</v>
      </c>
      <c r="C4464" t="s">
        <v>16</v>
      </c>
      <c r="D4464" t="s">
        <v>17</v>
      </c>
      <c r="E4464" t="s">
        <v>18</v>
      </c>
      <c r="F4464" t="s">
        <v>19</v>
      </c>
      <c r="G4464" t="s">
        <v>20</v>
      </c>
      <c r="J4464" t="s">
        <v>17</v>
      </c>
      <c r="K4464" t="str">
        <f>"760414270"</f>
        <v>760414270</v>
      </c>
      <c r="L4464" t="str">
        <f>"760414270"</f>
        <v>760414270</v>
      </c>
      <c r="M4464" t="s">
        <v>75</v>
      </c>
      <c r="N4464" s="1">
        <v>43113.629861111112</v>
      </c>
      <c r="O4464" t="s">
        <v>19</v>
      </c>
    </row>
    <row r="4465" spans="1:15" x14ac:dyDescent="0.25">
      <c r="A4465" t="s">
        <v>3778</v>
      </c>
      <c r="B4465" t="s">
        <v>15</v>
      </c>
      <c r="C4465" t="s">
        <v>16</v>
      </c>
      <c r="D4465" t="s">
        <v>17</v>
      </c>
      <c r="E4465" t="s">
        <v>18</v>
      </c>
      <c r="F4465" t="s">
        <v>19</v>
      </c>
      <c r="G4465" t="s">
        <v>20</v>
      </c>
      <c r="J4465" t="s">
        <v>17</v>
      </c>
      <c r="K4465" t="str">
        <f>"760414137"</f>
        <v>760414137</v>
      </c>
      <c r="L4465" t="str">
        <f>"760414137"</f>
        <v>760414137</v>
      </c>
      <c r="M4465" t="s">
        <v>75</v>
      </c>
      <c r="N4465" s="1">
        <v>43113.631249999999</v>
      </c>
      <c r="O4465" t="s">
        <v>19</v>
      </c>
    </row>
    <row r="4466" spans="1:15" x14ac:dyDescent="0.25">
      <c r="A4466" t="s">
        <v>3779</v>
      </c>
      <c r="B4466" t="s">
        <v>15</v>
      </c>
      <c r="C4466" t="s">
        <v>16</v>
      </c>
      <c r="D4466" t="s">
        <v>17</v>
      </c>
      <c r="E4466" t="s">
        <v>18</v>
      </c>
      <c r="F4466" t="s">
        <v>19</v>
      </c>
      <c r="G4466" t="s">
        <v>20</v>
      </c>
      <c r="J4466" t="s">
        <v>17</v>
      </c>
      <c r="K4466" t="str">
        <f>"760414266"</f>
        <v>760414266</v>
      </c>
      <c r="L4466" t="str">
        <f>"760414266"</f>
        <v>760414266</v>
      </c>
      <c r="M4466" t="s">
        <v>75</v>
      </c>
      <c r="N4466" s="1">
        <v>43113.613888888889</v>
      </c>
      <c r="O4466" t="s">
        <v>19</v>
      </c>
    </row>
    <row r="4467" spans="1:15" x14ac:dyDescent="0.25">
      <c r="A4467" t="s">
        <v>3780</v>
      </c>
      <c r="B4467" t="s">
        <v>15</v>
      </c>
      <c r="C4467" t="s">
        <v>16</v>
      </c>
      <c r="D4467" t="s">
        <v>17</v>
      </c>
      <c r="E4467" t="s">
        <v>18</v>
      </c>
      <c r="F4467" t="s">
        <v>19</v>
      </c>
      <c r="G4467" t="s">
        <v>20</v>
      </c>
      <c r="J4467" t="s">
        <v>17</v>
      </c>
      <c r="K4467" t="str">
        <f>"1000001087993"</f>
        <v>1000001087993</v>
      </c>
      <c r="L4467" t="str">
        <f>"760414129"</f>
        <v>760414129</v>
      </c>
      <c r="M4467" t="s">
        <v>75</v>
      </c>
      <c r="N4467" s="1">
        <v>43113.612500000003</v>
      </c>
      <c r="O4467" t="s">
        <v>19</v>
      </c>
    </row>
    <row r="4468" spans="1:15" x14ac:dyDescent="0.25">
      <c r="A4468" t="s">
        <v>3781</v>
      </c>
      <c r="B4468" t="s">
        <v>15</v>
      </c>
      <c r="C4468" t="s">
        <v>16</v>
      </c>
      <c r="D4468" t="s">
        <v>17</v>
      </c>
      <c r="E4468" t="s">
        <v>18</v>
      </c>
      <c r="F4468" t="s">
        <v>19</v>
      </c>
      <c r="G4468" t="s">
        <v>20</v>
      </c>
      <c r="J4468" t="s">
        <v>17</v>
      </c>
      <c r="K4468" t="str">
        <f>"760414127"</f>
        <v>760414127</v>
      </c>
      <c r="L4468" t="str">
        <f>"760414127"</f>
        <v>760414127</v>
      </c>
      <c r="M4468" t="s">
        <v>75</v>
      </c>
      <c r="N4468" s="1">
        <v>43113.614583333336</v>
      </c>
      <c r="O4468" t="s">
        <v>19</v>
      </c>
    </row>
    <row r="4469" spans="1:15" x14ac:dyDescent="0.25">
      <c r="A4469" t="s">
        <v>3782</v>
      </c>
      <c r="B4469" t="s">
        <v>15</v>
      </c>
      <c r="C4469" t="s">
        <v>16</v>
      </c>
      <c r="D4469" t="s">
        <v>17</v>
      </c>
      <c r="E4469" t="s">
        <v>18</v>
      </c>
      <c r="F4469" t="s">
        <v>19</v>
      </c>
      <c r="G4469" t="s">
        <v>20</v>
      </c>
      <c r="J4469" t="s">
        <v>17</v>
      </c>
      <c r="K4469" t="str">
        <f>"34011454"</f>
        <v>34011454</v>
      </c>
      <c r="L4469" t="str">
        <f>"34011454"</f>
        <v>34011454</v>
      </c>
      <c r="M4469" t="s">
        <v>75</v>
      </c>
      <c r="N4469" s="1">
        <v>42872.839583333334</v>
      </c>
      <c r="O4469" t="s">
        <v>19</v>
      </c>
    </row>
    <row r="4470" spans="1:15" x14ac:dyDescent="0.25">
      <c r="A4470" t="s">
        <v>3783</v>
      </c>
      <c r="B4470" t="s">
        <v>15</v>
      </c>
      <c r="C4470" t="s">
        <v>27</v>
      </c>
      <c r="D4470" t="s">
        <v>17</v>
      </c>
      <c r="E4470" t="s">
        <v>18</v>
      </c>
      <c r="F4470" t="s">
        <v>19</v>
      </c>
      <c r="G4470" t="s">
        <v>20</v>
      </c>
      <c r="J4470" t="s">
        <v>17</v>
      </c>
      <c r="K4470" t="str">
        <f>"344810297"</f>
        <v>344810297</v>
      </c>
      <c r="L4470" t="str">
        <f>"344810297"</f>
        <v>344810297</v>
      </c>
      <c r="M4470" t="s">
        <v>75</v>
      </c>
      <c r="N4470" s="1">
        <v>43083.914583333331</v>
      </c>
      <c r="O4470" t="s">
        <v>19</v>
      </c>
    </row>
    <row r="4471" spans="1:15" x14ac:dyDescent="0.25">
      <c r="A4471" t="s">
        <v>3784</v>
      </c>
      <c r="B4471" t="s">
        <v>15</v>
      </c>
      <c r="C4471" t="s">
        <v>27</v>
      </c>
      <c r="D4471" t="s">
        <v>17</v>
      </c>
      <c r="E4471" t="s">
        <v>18</v>
      </c>
      <c r="F4471" t="s">
        <v>19</v>
      </c>
      <c r="G4471" t="s">
        <v>20</v>
      </c>
      <c r="J4471" t="s">
        <v>17</v>
      </c>
      <c r="K4471" t="str">
        <f>"17480105"</f>
        <v>17480105</v>
      </c>
      <c r="L4471" t="str">
        <f>"17480105"</f>
        <v>17480105</v>
      </c>
      <c r="M4471" t="s">
        <v>75</v>
      </c>
      <c r="N4471" s="1">
        <v>42872.839583333334</v>
      </c>
      <c r="O4471" t="s">
        <v>19</v>
      </c>
    </row>
    <row r="4472" spans="1:15" x14ac:dyDescent="0.25">
      <c r="A4472" t="s">
        <v>3784</v>
      </c>
      <c r="B4472" t="s">
        <v>15</v>
      </c>
      <c r="C4472" t="s">
        <v>27</v>
      </c>
      <c r="D4472" t="s">
        <v>17</v>
      </c>
      <c r="E4472" t="s">
        <v>18</v>
      </c>
      <c r="F4472" t="s">
        <v>19</v>
      </c>
      <c r="G4472" t="s">
        <v>20</v>
      </c>
      <c r="J4472" t="s">
        <v>17</v>
      </c>
      <c r="K4472" t="str">
        <f>"34481505"</f>
        <v>34481505</v>
      </c>
      <c r="L4472" t="str">
        <f>"34481505"</f>
        <v>34481505</v>
      </c>
      <c r="M4472" t="s">
        <v>75</v>
      </c>
      <c r="N4472" s="1">
        <v>42872.839583333334</v>
      </c>
      <c r="O4472" t="s">
        <v>19</v>
      </c>
    </row>
    <row r="4473" spans="1:15" x14ac:dyDescent="0.25">
      <c r="A4473" t="s">
        <v>3785</v>
      </c>
      <c r="B4473" t="s">
        <v>15</v>
      </c>
      <c r="C4473" t="s">
        <v>27</v>
      </c>
      <c r="D4473" t="s">
        <v>17</v>
      </c>
      <c r="E4473" t="s">
        <v>18</v>
      </c>
      <c r="F4473" t="s">
        <v>19</v>
      </c>
      <c r="G4473" t="s">
        <v>20</v>
      </c>
      <c r="J4473" t="s">
        <v>17</v>
      </c>
      <c r="K4473" t="str">
        <f>"17480111"</f>
        <v>17480111</v>
      </c>
      <c r="L4473" t="str">
        <f>"17480111"</f>
        <v>17480111</v>
      </c>
      <c r="M4473" t="s">
        <v>75</v>
      </c>
      <c r="N4473" s="1">
        <v>42872.839583333334</v>
      </c>
      <c r="O4473" t="s">
        <v>19</v>
      </c>
    </row>
    <row r="4474" spans="1:15" x14ac:dyDescent="0.25">
      <c r="A4474" t="s">
        <v>3785</v>
      </c>
      <c r="B4474" t="s">
        <v>15</v>
      </c>
      <c r="C4474" t="s">
        <v>27</v>
      </c>
      <c r="D4474" t="s">
        <v>17</v>
      </c>
      <c r="E4474" t="s">
        <v>18</v>
      </c>
      <c r="F4474" t="s">
        <v>19</v>
      </c>
      <c r="G4474" t="s">
        <v>20</v>
      </c>
      <c r="J4474" t="s">
        <v>17</v>
      </c>
      <c r="K4474" t="str">
        <f>"34480111"</f>
        <v>34480111</v>
      </c>
      <c r="L4474" t="str">
        <f>"34480111"</f>
        <v>34480111</v>
      </c>
      <c r="M4474" t="s">
        <v>75</v>
      </c>
      <c r="N4474" s="1">
        <v>42872.839583333334</v>
      </c>
      <c r="O4474" t="s">
        <v>19</v>
      </c>
    </row>
    <row r="4475" spans="1:15" x14ac:dyDescent="0.25">
      <c r="A4475" t="s">
        <v>3786</v>
      </c>
      <c r="B4475" t="s">
        <v>15</v>
      </c>
      <c r="C4475" t="s">
        <v>27</v>
      </c>
      <c r="D4475" t="s">
        <v>17</v>
      </c>
      <c r="E4475" t="s">
        <v>18</v>
      </c>
      <c r="F4475" t="s">
        <v>19</v>
      </c>
      <c r="G4475" t="s">
        <v>20</v>
      </c>
      <c r="J4475" t="s">
        <v>17</v>
      </c>
      <c r="K4475" t="str">
        <f>"17480112"</f>
        <v>17480112</v>
      </c>
      <c r="L4475" t="str">
        <f>"17480112"</f>
        <v>17480112</v>
      </c>
      <c r="M4475" t="s">
        <v>75</v>
      </c>
      <c r="N4475" s="1">
        <v>42872.839583333334</v>
      </c>
      <c r="O4475" t="s">
        <v>19</v>
      </c>
    </row>
    <row r="4476" spans="1:15" x14ac:dyDescent="0.25">
      <c r="A4476" t="s">
        <v>3786</v>
      </c>
      <c r="B4476" t="s">
        <v>15</v>
      </c>
      <c r="C4476" t="s">
        <v>27</v>
      </c>
      <c r="D4476" t="s">
        <v>17</v>
      </c>
      <c r="E4476" t="s">
        <v>18</v>
      </c>
      <c r="F4476" t="s">
        <v>19</v>
      </c>
      <c r="G4476" t="s">
        <v>20</v>
      </c>
      <c r="J4476" t="s">
        <v>17</v>
      </c>
      <c r="K4476" t="str">
        <f>"34480112"</f>
        <v>34480112</v>
      </c>
      <c r="L4476" t="str">
        <f>"34480112"</f>
        <v>34480112</v>
      </c>
      <c r="M4476" t="s">
        <v>75</v>
      </c>
      <c r="N4476" s="1">
        <v>42872.839583333334</v>
      </c>
      <c r="O4476" t="s">
        <v>19</v>
      </c>
    </row>
    <row r="4477" spans="1:15" x14ac:dyDescent="0.25">
      <c r="A4477" t="s">
        <v>3787</v>
      </c>
      <c r="B4477" t="s">
        <v>15</v>
      </c>
      <c r="C4477" t="s">
        <v>27</v>
      </c>
      <c r="D4477" t="s">
        <v>17</v>
      </c>
      <c r="E4477" t="s">
        <v>18</v>
      </c>
      <c r="F4477" t="s">
        <v>19</v>
      </c>
      <c r="G4477" t="s">
        <v>20</v>
      </c>
      <c r="J4477" t="s">
        <v>17</v>
      </c>
      <c r="K4477" t="str">
        <f>"174801288"</f>
        <v>174801288</v>
      </c>
      <c r="L4477" t="str">
        <f>"174801288"</f>
        <v>174801288</v>
      </c>
      <c r="M4477" t="s">
        <v>75</v>
      </c>
      <c r="N4477" s="1">
        <v>42872.849305555559</v>
      </c>
      <c r="O4477" t="s">
        <v>19</v>
      </c>
    </row>
    <row r="4478" spans="1:15" x14ac:dyDescent="0.25">
      <c r="A4478" t="s">
        <v>3788</v>
      </c>
      <c r="B4478" t="s">
        <v>15</v>
      </c>
      <c r="C4478" t="s">
        <v>27</v>
      </c>
      <c r="D4478" t="s">
        <v>17</v>
      </c>
      <c r="E4478" t="s">
        <v>18</v>
      </c>
      <c r="F4478" t="s">
        <v>19</v>
      </c>
      <c r="G4478" t="s">
        <v>20</v>
      </c>
      <c r="J4478" t="s">
        <v>17</v>
      </c>
      <c r="K4478" t="str">
        <f>"17200178"</f>
        <v>17200178</v>
      </c>
      <c r="L4478" t="str">
        <f>"17200178"</f>
        <v>17200178</v>
      </c>
      <c r="M4478" t="s">
        <v>75</v>
      </c>
      <c r="N4478" s="1">
        <v>42872.839583333334</v>
      </c>
      <c r="O4478" t="s">
        <v>19</v>
      </c>
    </row>
    <row r="4479" spans="1:15" x14ac:dyDescent="0.25">
      <c r="A4479" t="s">
        <v>3788</v>
      </c>
      <c r="B4479" t="s">
        <v>15</v>
      </c>
      <c r="C4479" t="s">
        <v>27</v>
      </c>
      <c r="D4479" t="s">
        <v>17</v>
      </c>
      <c r="E4479" t="s">
        <v>18</v>
      </c>
      <c r="F4479" t="s">
        <v>19</v>
      </c>
      <c r="G4479" t="s">
        <v>20</v>
      </c>
      <c r="J4479" t="s">
        <v>17</v>
      </c>
      <c r="K4479" t="str">
        <f>"17480178"</f>
        <v>17480178</v>
      </c>
      <c r="L4479" t="str">
        <f>"17480178"</f>
        <v>17480178</v>
      </c>
      <c r="M4479" t="s">
        <v>75</v>
      </c>
      <c r="N4479" s="1">
        <v>42872.839583333334</v>
      </c>
      <c r="O4479" t="s">
        <v>19</v>
      </c>
    </row>
    <row r="4480" spans="1:15" x14ac:dyDescent="0.25">
      <c r="A4480" t="s">
        <v>3789</v>
      </c>
      <c r="B4480" t="s">
        <v>15</v>
      </c>
      <c r="C4480" t="s">
        <v>27</v>
      </c>
      <c r="D4480" t="s">
        <v>17</v>
      </c>
      <c r="E4480" t="s">
        <v>18</v>
      </c>
      <c r="F4480" t="s">
        <v>19</v>
      </c>
      <c r="G4480" t="s">
        <v>20</v>
      </c>
      <c r="J4480" t="s">
        <v>17</v>
      </c>
      <c r="K4480" t="str">
        <f>"174801108"</f>
        <v>174801108</v>
      </c>
      <c r="L4480" t="str">
        <f>"174801108"</f>
        <v>174801108</v>
      </c>
      <c r="M4480" t="s">
        <v>75</v>
      </c>
      <c r="N4480" s="1">
        <v>42872.849305555559</v>
      </c>
      <c r="O4480" t="s">
        <v>19</v>
      </c>
    </row>
    <row r="4481" spans="1:15" x14ac:dyDescent="0.25">
      <c r="A4481" t="s">
        <v>3789</v>
      </c>
      <c r="B4481" t="s">
        <v>15</v>
      </c>
      <c r="C4481" t="s">
        <v>27</v>
      </c>
      <c r="D4481" t="s">
        <v>17</v>
      </c>
      <c r="E4481" t="s">
        <v>18</v>
      </c>
      <c r="F4481" t="s">
        <v>19</v>
      </c>
      <c r="G4481" t="s">
        <v>20</v>
      </c>
      <c r="J4481" t="s">
        <v>17</v>
      </c>
      <c r="K4481" t="str">
        <f>"344801108"</f>
        <v>344801108</v>
      </c>
      <c r="L4481" t="str">
        <f>"344801108"</f>
        <v>344801108</v>
      </c>
      <c r="M4481" t="s">
        <v>75</v>
      </c>
      <c r="N4481" s="1">
        <v>42872.849305555559</v>
      </c>
      <c r="O4481" t="s">
        <v>19</v>
      </c>
    </row>
    <row r="4482" spans="1:15" x14ac:dyDescent="0.25">
      <c r="A4482" t="s">
        <v>3790</v>
      </c>
      <c r="B4482" t="s">
        <v>15</v>
      </c>
      <c r="C4482" t="s">
        <v>27</v>
      </c>
      <c r="D4482" t="s">
        <v>17</v>
      </c>
      <c r="E4482" t="s">
        <v>18</v>
      </c>
      <c r="F4482" t="s">
        <v>19</v>
      </c>
      <c r="G4482" t="s">
        <v>20</v>
      </c>
      <c r="J4482" t="s">
        <v>17</v>
      </c>
      <c r="K4482" t="str">
        <f>"174801290"</f>
        <v>174801290</v>
      </c>
      <c r="L4482" t="str">
        <f>"174801290"</f>
        <v>174801290</v>
      </c>
      <c r="M4482" t="s">
        <v>75</v>
      </c>
      <c r="N4482" s="1">
        <v>42872.849305555559</v>
      </c>
      <c r="O4482" t="s">
        <v>19</v>
      </c>
    </row>
    <row r="4483" spans="1:15" x14ac:dyDescent="0.25">
      <c r="A4483" t="s">
        <v>3791</v>
      </c>
      <c r="B4483" t="s">
        <v>15</v>
      </c>
      <c r="C4483" t="s">
        <v>27</v>
      </c>
      <c r="D4483" t="s">
        <v>17</v>
      </c>
      <c r="E4483" t="s">
        <v>18</v>
      </c>
      <c r="F4483" t="s">
        <v>19</v>
      </c>
      <c r="G4483" t="s">
        <v>20</v>
      </c>
      <c r="J4483" t="s">
        <v>17</v>
      </c>
      <c r="K4483" t="str">
        <f>"174801131"</f>
        <v>174801131</v>
      </c>
      <c r="L4483" t="str">
        <f>"174801131"</f>
        <v>174801131</v>
      </c>
      <c r="M4483" t="s">
        <v>75</v>
      </c>
      <c r="N4483" s="1">
        <v>42872.849305555559</v>
      </c>
      <c r="O4483" t="s">
        <v>19</v>
      </c>
    </row>
    <row r="4484" spans="1:15" x14ac:dyDescent="0.25">
      <c r="A4484" t="s">
        <v>3792</v>
      </c>
      <c r="B4484" t="s">
        <v>15</v>
      </c>
      <c r="C4484" t="s">
        <v>27</v>
      </c>
      <c r="D4484" t="s">
        <v>17</v>
      </c>
      <c r="E4484" t="s">
        <v>18</v>
      </c>
      <c r="F4484" t="s">
        <v>19</v>
      </c>
      <c r="G4484" t="s">
        <v>20</v>
      </c>
      <c r="J4484" t="s">
        <v>17</v>
      </c>
      <c r="K4484" t="str">
        <f>"174801219"</f>
        <v>174801219</v>
      </c>
      <c r="L4484" t="str">
        <f>"174801219"</f>
        <v>174801219</v>
      </c>
      <c r="M4484" t="s">
        <v>75</v>
      </c>
      <c r="N4484" s="1">
        <v>42872.849305555559</v>
      </c>
      <c r="O4484" t="s">
        <v>19</v>
      </c>
    </row>
    <row r="4485" spans="1:15" x14ac:dyDescent="0.25">
      <c r="A4485" t="s">
        <v>3793</v>
      </c>
      <c r="B4485" t="s">
        <v>15</v>
      </c>
      <c r="C4485" t="s">
        <v>27</v>
      </c>
      <c r="D4485" t="s">
        <v>17</v>
      </c>
      <c r="E4485" t="s">
        <v>18</v>
      </c>
      <c r="F4485" t="s">
        <v>19</v>
      </c>
      <c r="G4485" t="s">
        <v>20</v>
      </c>
      <c r="J4485" t="s">
        <v>17</v>
      </c>
      <c r="K4485" t="str">
        <f>"174801117"</f>
        <v>174801117</v>
      </c>
      <c r="L4485" t="str">
        <f>"174801117"</f>
        <v>174801117</v>
      </c>
      <c r="M4485" t="s">
        <v>75</v>
      </c>
      <c r="N4485" s="1">
        <v>42872.849305555559</v>
      </c>
      <c r="O4485" t="s">
        <v>19</v>
      </c>
    </row>
    <row r="4486" spans="1:15" x14ac:dyDescent="0.25">
      <c r="A4486" t="s">
        <v>3794</v>
      </c>
      <c r="B4486" t="s">
        <v>15</v>
      </c>
      <c r="C4486" t="s">
        <v>27</v>
      </c>
      <c r="D4486" t="s">
        <v>17</v>
      </c>
      <c r="E4486" t="s">
        <v>18</v>
      </c>
      <c r="F4486" t="s">
        <v>19</v>
      </c>
      <c r="G4486" t="s">
        <v>20</v>
      </c>
      <c r="J4486" t="s">
        <v>17</v>
      </c>
      <c r="K4486" t="str">
        <f>"174801190"</f>
        <v>174801190</v>
      </c>
      <c r="L4486" t="str">
        <f>"174801190"</f>
        <v>174801190</v>
      </c>
      <c r="M4486" t="s">
        <v>75</v>
      </c>
      <c r="N4486" s="1">
        <v>42872.849305555559</v>
      </c>
      <c r="O4486" t="s">
        <v>19</v>
      </c>
    </row>
    <row r="4487" spans="1:15" x14ac:dyDescent="0.25">
      <c r="A4487" t="s">
        <v>3795</v>
      </c>
      <c r="B4487" t="s">
        <v>15</v>
      </c>
      <c r="C4487" t="s">
        <v>27</v>
      </c>
      <c r="D4487" t="s">
        <v>17</v>
      </c>
      <c r="E4487" t="s">
        <v>18</v>
      </c>
      <c r="F4487" t="s">
        <v>19</v>
      </c>
      <c r="G4487" t="s">
        <v>20</v>
      </c>
      <c r="J4487" t="s">
        <v>17</v>
      </c>
      <c r="K4487" t="str">
        <f>"174801211"</f>
        <v>174801211</v>
      </c>
      <c r="L4487" t="str">
        <f>"174801211"</f>
        <v>174801211</v>
      </c>
      <c r="M4487" t="s">
        <v>75</v>
      </c>
      <c r="N4487" s="1">
        <v>42872.849305555559</v>
      </c>
      <c r="O4487" t="s">
        <v>19</v>
      </c>
    </row>
    <row r="4488" spans="1:15" x14ac:dyDescent="0.25">
      <c r="A4488" t="s">
        <v>3796</v>
      </c>
      <c r="B4488" t="s">
        <v>15</v>
      </c>
      <c r="C4488" t="s">
        <v>27</v>
      </c>
      <c r="D4488" t="s">
        <v>17</v>
      </c>
      <c r="E4488" t="s">
        <v>18</v>
      </c>
      <c r="F4488" t="s">
        <v>19</v>
      </c>
      <c r="G4488" t="s">
        <v>20</v>
      </c>
      <c r="J4488" t="s">
        <v>17</v>
      </c>
      <c r="K4488" t="str">
        <f>"174801129"</f>
        <v>174801129</v>
      </c>
      <c r="L4488" t="str">
        <f>"174801129"</f>
        <v>174801129</v>
      </c>
      <c r="M4488" t="s">
        <v>75</v>
      </c>
      <c r="N4488" s="1">
        <v>42872.849305555559</v>
      </c>
      <c r="O4488" t="s">
        <v>19</v>
      </c>
    </row>
    <row r="4489" spans="1:15" x14ac:dyDescent="0.25">
      <c r="A4489" t="s">
        <v>3797</v>
      </c>
      <c r="B4489" t="s">
        <v>15</v>
      </c>
      <c r="C4489" t="s">
        <v>27</v>
      </c>
      <c r="D4489" t="s">
        <v>17</v>
      </c>
      <c r="E4489" t="s">
        <v>18</v>
      </c>
      <c r="F4489" t="s">
        <v>19</v>
      </c>
      <c r="G4489" t="s">
        <v>20</v>
      </c>
      <c r="J4489" t="s">
        <v>17</v>
      </c>
      <c r="K4489" t="str">
        <f>"174801185"</f>
        <v>174801185</v>
      </c>
      <c r="L4489" t="str">
        <f>"174801185"</f>
        <v>174801185</v>
      </c>
      <c r="M4489" t="s">
        <v>75</v>
      </c>
      <c r="N4489" s="1">
        <v>42872.849305555559</v>
      </c>
      <c r="O4489" t="s">
        <v>19</v>
      </c>
    </row>
    <row r="4490" spans="1:15" x14ac:dyDescent="0.25">
      <c r="A4490" t="s">
        <v>3798</v>
      </c>
      <c r="B4490" t="s">
        <v>15</v>
      </c>
      <c r="C4490" t="s">
        <v>27</v>
      </c>
      <c r="D4490" t="s">
        <v>17</v>
      </c>
      <c r="E4490" t="s">
        <v>18</v>
      </c>
      <c r="F4490" t="s">
        <v>19</v>
      </c>
      <c r="G4490" t="s">
        <v>20</v>
      </c>
      <c r="J4490" t="s">
        <v>17</v>
      </c>
      <c r="K4490" t="str">
        <f>"174801209"</f>
        <v>174801209</v>
      </c>
      <c r="L4490" t="str">
        <f>"174801209"</f>
        <v>174801209</v>
      </c>
      <c r="M4490" t="s">
        <v>75</v>
      </c>
      <c r="N4490" s="1">
        <v>42872.849305555559</v>
      </c>
      <c r="O4490" t="s">
        <v>19</v>
      </c>
    </row>
    <row r="4491" spans="1:15" x14ac:dyDescent="0.25">
      <c r="A4491" t="s">
        <v>3799</v>
      </c>
      <c r="B4491" t="s">
        <v>15</v>
      </c>
      <c r="C4491" t="s">
        <v>27</v>
      </c>
      <c r="D4491" t="s">
        <v>17</v>
      </c>
      <c r="E4491" t="s">
        <v>18</v>
      </c>
      <c r="F4491" t="s">
        <v>19</v>
      </c>
      <c r="G4491" t="s">
        <v>20</v>
      </c>
      <c r="J4491" t="s">
        <v>17</v>
      </c>
      <c r="K4491" t="str">
        <f>"174801135"</f>
        <v>174801135</v>
      </c>
      <c r="L4491" t="str">
        <f>"174801135"</f>
        <v>174801135</v>
      </c>
      <c r="M4491" t="s">
        <v>75</v>
      </c>
      <c r="N4491" s="1">
        <v>42872.849305555559</v>
      </c>
      <c r="O4491" t="s">
        <v>19</v>
      </c>
    </row>
    <row r="4492" spans="1:15" x14ac:dyDescent="0.25">
      <c r="A4492" t="s">
        <v>3800</v>
      </c>
      <c r="B4492" t="s">
        <v>15</v>
      </c>
      <c r="C4492" t="s">
        <v>27</v>
      </c>
      <c r="D4492" t="s">
        <v>17</v>
      </c>
      <c r="E4492" t="s">
        <v>18</v>
      </c>
      <c r="F4492" t="s">
        <v>19</v>
      </c>
      <c r="G4492" t="s">
        <v>20</v>
      </c>
      <c r="J4492" t="s">
        <v>17</v>
      </c>
      <c r="K4492" t="str">
        <f>"174801241"</f>
        <v>174801241</v>
      </c>
      <c r="L4492" t="str">
        <f>"174801241"</f>
        <v>174801241</v>
      </c>
      <c r="M4492" t="s">
        <v>75</v>
      </c>
      <c r="N4492" s="1">
        <v>42872.849305555559</v>
      </c>
      <c r="O4492" t="s">
        <v>19</v>
      </c>
    </row>
    <row r="4493" spans="1:15" x14ac:dyDescent="0.25">
      <c r="A4493" t="s">
        <v>3801</v>
      </c>
      <c r="B4493" t="s">
        <v>15</v>
      </c>
      <c r="C4493" t="s">
        <v>27</v>
      </c>
      <c r="D4493" t="s">
        <v>17</v>
      </c>
      <c r="E4493" t="s">
        <v>18</v>
      </c>
      <c r="F4493" t="s">
        <v>19</v>
      </c>
      <c r="G4493" t="s">
        <v>20</v>
      </c>
      <c r="J4493" t="s">
        <v>17</v>
      </c>
      <c r="K4493" t="str">
        <f>"174801240"</f>
        <v>174801240</v>
      </c>
      <c r="L4493" t="str">
        <f>"174801240"</f>
        <v>174801240</v>
      </c>
      <c r="M4493" t="s">
        <v>75</v>
      </c>
      <c r="N4493" s="1">
        <v>42872.849305555559</v>
      </c>
      <c r="O4493" t="s">
        <v>19</v>
      </c>
    </row>
    <row r="4494" spans="1:15" x14ac:dyDescent="0.25">
      <c r="A4494" t="s">
        <v>3802</v>
      </c>
      <c r="B4494" t="s">
        <v>15</v>
      </c>
      <c r="C4494" t="s">
        <v>27</v>
      </c>
      <c r="D4494" t="s">
        <v>17</v>
      </c>
      <c r="E4494" t="s">
        <v>18</v>
      </c>
      <c r="F4494" t="s">
        <v>19</v>
      </c>
      <c r="G4494" t="s">
        <v>20</v>
      </c>
      <c r="J4494" t="s">
        <v>17</v>
      </c>
      <c r="K4494" t="str">
        <f>"174801236"</f>
        <v>174801236</v>
      </c>
      <c r="L4494" t="str">
        <f>"174801236"</f>
        <v>174801236</v>
      </c>
      <c r="M4494" t="s">
        <v>75</v>
      </c>
      <c r="N4494" s="1">
        <v>42872.849305555559</v>
      </c>
      <c r="O4494" t="s">
        <v>19</v>
      </c>
    </row>
    <row r="4495" spans="1:15" x14ac:dyDescent="0.25">
      <c r="A4495" t="s">
        <v>3803</v>
      </c>
      <c r="B4495" t="s">
        <v>15</v>
      </c>
      <c r="C4495" t="s">
        <v>27</v>
      </c>
      <c r="D4495" t="s">
        <v>17</v>
      </c>
      <c r="E4495" t="s">
        <v>18</v>
      </c>
      <c r="F4495" t="s">
        <v>19</v>
      </c>
      <c r="G4495" t="s">
        <v>20</v>
      </c>
      <c r="J4495" t="s">
        <v>17</v>
      </c>
      <c r="K4495" t="str">
        <f>"174801198"</f>
        <v>174801198</v>
      </c>
      <c r="L4495" t="str">
        <f>"174801198"</f>
        <v>174801198</v>
      </c>
      <c r="M4495" t="s">
        <v>75</v>
      </c>
      <c r="N4495" s="1">
        <v>42872.849305555559</v>
      </c>
      <c r="O4495" t="s">
        <v>19</v>
      </c>
    </row>
    <row r="4496" spans="1:15" x14ac:dyDescent="0.25">
      <c r="A4496" t="s">
        <v>3803</v>
      </c>
      <c r="B4496" t="s">
        <v>15</v>
      </c>
      <c r="C4496" t="s">
        <v>27</v>
      </c>
      <c r="D4496" t="s">
        <v>17</v>
      </c>
      <c r="E4496" t="s">
        <v>18</v>
      </c>
      <c r="F4496" t="s">
        <v>19</v>
      </c>
      <c r="G4496" t="s">
        <v>20</v>
      </c>
      <c r="J4496" t="s">
        <v>17</v>
      </c>
      <c r="K4496" t="str">
        <f>"174810192"</f>
        <v>174810192</v>
      </c>
      <c r="L4496" t="str">
        <f>"174810192"</f>
        <v>174810192</v>
      </c>
      <c r="M4496" t="s">
        <v>21</v>
      </c>
      <c r="N4496" s="1">
        <v>42872.849305555559</v>
      </c>
      <c r="O4496" t="s">
        <v>33</v>
      </c>
    </row>
    <row r="4497" spans="1:15" x14ac:dyDescent="0.25">
      <c r="A4497" t="s">
        <v>3804</v>
      </c>
      <c r="B4497" t="s">
        <v>15</v>
      </c>
      <c r="C4497" t="s">
        <v>27</v>
      </c>
      <c r="D4497" t="s">
        <v>17</v>
      </c>
      <c r="E4497" t="s">
        <v>18</v>
      </c>
      <c r="F4497" t="s">
        <v>19</v>
      </c>
      <c r="G4497" t="s">
        <v>20</v>
      </c>
      <c r="J4497" t="s">
        <v>17</v>
      </c>
      <c r="K4497" t="str">
        <f>"17480192"</f>
        <v>17480192</v>
      </c>
      <c r="L4497" t="str">
        <f>"17480192"</f>
        <v>17480192</v>
      </c>
      <c r="M4497" t="s">
        <v>75</v>
      </c>
      <c r="N4497" s="1">
        <v>42872.839583333334</v>
      </c>
      <c r="O4497" t="s">
        <v>19</v>
      </c>
    </row>
    <row r="4498" spans="1:15" x14ac:dyDescent="0.25">
      <c r="A4498" t="s">
        <v>3805</v>
      </c>
      <c r="B4498" t="s">
        <v>15</v>
      </c>
      <c r="C4498" t="s">
        <v>27</v>
      </c>
      <c r="D4498" t="s">
        <v>17</v>
      </c>
      <c r="E4498" t="s">
        <v>18</v>
      </c>
      <c r="F4498" t="s">
        <v>19</v>
      </c>
      <c r="G4498" t="s">
        <v>20</v>
      </c>
      <c r="J4498" t="s">
        <v>17</v>
      </c>
      <c r="K4498" t="str">
        <f>"174801212"</f>
        <v>174801212</v>
      </c>
      <c r="L4498" t="str">
        <f>"174801212"</f>
        <v>174801212</v>
      </c>
      <c r="M4498" t="s">
        <v>75</v>
      </c>
      <c r="N4498" s="1">
        <v>42872.849305555559</v>
      </c>
      <c r="O4498" t="s">
        <v>19</v>
      </c>
    </row>
    <row r="4499" spans="1:15" x14ac:dyDescent="0.25">
      <c r="A4499" t="s">
        <v>3806</v>
      </c>
      <c r="B4499" t="s">
        <v>15</v>
      </c>
      <c r="C4499" t="s">
        <v>27</v>
      </c>
      <c r="D4499" t="s">
        <v>17</v>
      </c>
      <c r="E4499" t="s">
        <v>18</v>
      </c>
      <c r="F4499" t="s">
        <v>19</v>
      </c>
      <c r="G4499" t="s">
        <v>20</v>
      </c>
      <c r="J4499" t="s">
        <v>17</v>
      </c>
      <c r="K4499" t="str">
        <f>"174801171"</f>
        <v>174801171</v>
      </c>
      <c r="L4499" t="str">
        <f>"174801171"</f>
        <v>174801171</v>
      </c>
      <c r="M4499" t="s">
        <v>75</v>
      </c>
      <c r="N4499" s="1">
        <v>42872.849305555559</v>
      </c>
      <c r="O4499" t="s">
        <v>19</v>
      </c>
    </row>
    <row r="4500" spans="1:15" x14ac:dyDescent="0.25">
      <c r="A4500" t="s">
        <v>3807</v>
      </c>
      <c r="B4500" t="s">
        <v>15</v>
      </c>
      <c r="C4500" t="s">
        <v>27</v>
      </c>
      <c r="D4500" t="s">
        <v>17</v>
      </c>
      <c r="E4500" t="s">
        <v>18</v>
      </c>
      <c r="F4500" t="s">
        <v>19</v>
      </c>
      <c r="G4500" t="s">
        <v>20</v>
      </c>
      <c r="J4500" t="s">
        <v>17</v>
      </c>
      <c r="K4500" t="str">
        <f>"174801262"</f>
        <v>174801262</v>
      </c>
      <c r="L4500" t="str">
        <f>"174801262"</f>
        <v>174801262</v>
      </c>
      <c r="M4500" t="s">
        <v>75</v>
      </c>
      <c r="N4500" s="1">
        <v>42872.849305555559</v>
      </c>
      <c r="O4500" t="s">
        <v>19</v>
      </c>
    </row>
    <row r="4501" spans="1:15" x14ac:dyDescent="0.25">
      <c r="A4501" t="s">
        <v>3808</v>
      </c>
      <c r="B4501" t="s">
        <v>15</v>
      </c>
      <c r="C4501" t="s">
        <v>27</v>
      </c>
      <c r="D4501" t="s">
        <v>17</v>
      </c>
      <c r="E4501" t="s">
        <v>18</v>
      </c>
      <c r="F4501" t="s">
        <v>19</v>
      </c>
      <c r="G4501" t="s">
        <v>20</v>
      </c>
      <c r="J4501" t="s">
        <v>17</v>
      </c>
      <c r="K4501" t="str">
        <f>"174801244"</f>
        <v>174801244</v>
      </c>
      <c r="L4501" t="str">
        <f>"174801244"</f>
        <v>174801244</v>
      </c>
      <c r="M4501" t="s">
        <v>75</v>
      </c>
      <c r="N4501" s="1">
        <v>42872.849305555559</v>
      </c>
      <c r="O4501" t="s">
        <v>19</v>
      </c>
    </row>
    <row r="4502" spans="1:15" x14ac:dyDescent="0.25">
      <c r="A4502" t="s">
        <v>3808</v>
      </c>
      <c r="B4502" t="s">
        <v>15</v>
      </c>
      <c r="C4502" t="s">
        <v>27</v>
      </c>
      <c r="D4502" t="s">
        <v>17</v>
      </c>
      <c r="E4502" t="s">
        <v>18</v>
      </c>
      <c r="F4502" t="s">
        <v>19</v>
      </c>
      <c r="G4502" t="s">
        <v>20</v>
      </c>
      <c r="J4502" t="s">
        <v>17</v>
      </c>
      <c r="K4502" t="str">
        <f>"914801244"</f>
        <v>914801244</v>
      </c>
      <c r="L4502" t="str">
        <f>"914801244"</f>
        <v>914801244</v>
      </c>
      <c r="M4502" t="s">
        <v>75</v>
      </c>
      <c r="N4502" s="1">
        <v>42872.849305555559</v>
      </c>
      <c r="O4502" t="s">
        <v>19</v>
      </c>
    </row>
    <row r="4503" spans="1:15" x14ac:dyDescent="0.25">
      <c r="A4503" t="s">
        <v>3809</v>
      </c>
      <c r="B4503" t="s">
        <v>15</v>
      </c>
      <c r="C4503" t="s">
        <v>27</v>
      </c>
      <c r="D4503" t="s">
        <v>17</v>
      </c>
      <c r="E4503" t="s">
        <v>18</v>
      </c>
      <c r="F4503" t="s">
        <v>19</v>
      </c>
      <c r="G4503" t="s">
        <v>20</v>
      </c>
      <c r="J4503" t="s">
        <v>17</v>
      </c>
      <c r="K4503" t="str">
        <f>"174801237"</f>
        <v>174801237</v>
      </c>
      <c r="L4503" t="str">
        <f>"174801237"</f>
        <v>174801237</v>
      </c>
      <c r="M4503" t="s">
        <v>75</v>
      </c>
      <c r="N4503" s="1">
        <v>42872.849305555559</v>
      </c>
      <c r="O4503" t="s">
        <v>19</v>
      </c>
    </row>
    <row r="4504" spans="1:15" x14ac:dyDescent="0.25">
      <c r="A4504" t="s">
        <v>3810</v>
      </c>
      <c r="B4504" t="s">
        <v>15</v>
      </c>
      <c r="C4504" t="s">
        <v>27</v>
      </c>
      <c r="D4504" t="s">
        <v>17</v>
      </c>
      <c r="E4504" t="s">
        <v>18</v>
      </c>
      <c r="F4504" t="s">
        <v>19</v>
      </c>
      <c r="G4504" t="s">
        <v>20</v>
      </c>
      <c r="J4504" t="s">
        <v>17</v>
      </c>
      <c r="K4504" t="str">
        <f>"344823140"</f>
        <v>344823140</v>
      </c>
      <c r="L4504" t="str">
        <f>"344823140"</f>
        <v>344823140</v>
      </c>
      <c r="M4504" t="s">
        <v>75</v>
      </c>
      <c r="N4504" s="1">
        <v>42872.849305555559</v>
      </c>
      <c r="O4504" t="s">
        <v>19</v>
      </c>
    </row>
    <row r="4505" spans="1:15" x14ac:dyDescent="0.25">
      <c r="A4505" t="s">
        <v>3811</v>
      </c>
      <c r="B4505" t="s">
        <v>15</v>
      </c>
      <c r="C4505" t="s">
        <v>27</v>
      </c>
      <c r="D4505" t="s">
        <v>17</v>
      </c>
      <c r="E4505" t="s">
        <v>18</v>
      </c>
      <c r="F4505" t="s">
        <v>19</v>
      </c>
      <c r="G4505" t="s">
        <v>20</v>
      </c>
      <c r="J4505" t="s">
        <v>17</v>
      </c>
      <c r="K4505" t="str">
        <f>"174823218"</f>
        <v>174823218</v>
      </c>
      <c r="L4505" t="str">
        <f>"174823218"</f>
        <v>174823218</v>
      </c>
      <c r="M4505" t="s">
        <v>75</v>
      </c>
      <c r="N4505" s="1">
        <v>42872.849305555559</v>
      </c>
      <c r="O4505" t="s">
        <v>19</v>
      </c>
    </row>
    <row r="4506" spans="1:15" x14ac:dyDescent="0.25">
      <c r="A4506" t="s">
        <v>3812</v>
      </c>
      <c r="B4506" t="s">
        <v>15</v>
      </c>
      <c r="C4506" t="s">
        <v>27</v>
      </c>
      <c r="D4506" t="s">
        <v>17</v>
      </c>
      <c r="E4506" t="s">
        <v>18</v>
      </c>
      <c r="F4506" t="s">
        <v>19</v>
      </c>
      <c r="G4506" t="s">
        <v>20</v>
      </c>
      <c r="J4506" t="s">
        <v>17</v>
      </c>
      <c r="K4506" t="str">
        <f>"174823188"</f>
        <v>174823188</v>
      </c>
      <c r="L4506" t="str">
        <f>"174823188"</f>
        <v>174823188</v>
      </c>
      <c r="M4506" t="s">
        <v>75</v>
      </c>
      <c r="N4506" s="1">
        <v>42872.849305555559</v>
      </c>
      <c r="O4506" t="s">
        <v>19</v>
      </c>
    </row>
    <row r="4507" spans="1:15" x14ac:dyDescent="0.25">
      <c r="A4507" t="s">
        <v>3813</v>
      </c>
      <c r="B4507" t="s">
        <v>15</v>
      </c>
      <c r="C4507" t="s">
        <v>27</v>
      </c>
      <c r="D4507" t="s">
        <v>17</v>
      </c>
      <c r="E4507" t="s">
        <v>18</v>
      </c>
      <c r="F4507" t="s">
        <v>19</v>
      </c>
      <c r="G4507" t="s">
        <v>20</v>
      </c>
      <c r="J4507" t="s">
        <v>17</v>
      </c>
      <c r="K4507" t="str">
        <f>"110760104"</f>
        <v>110760104</v>
      </c>
      <c r="L4507" t="str">
        <f>"110760104"</f>
        <v>110760104</v>
      </c>
      <c r="M4507" t="s">
        <v>75</v>
      </c>
      <c r="N4507" s="1">
        <v>42872.847222222219</v>
      </c>
      <c r="O4507" t="s">
        <v>19</v>
      </c>
    </row>
    <row r="4508" spans="1:15" x14ac:dyDescent="0.25">
      <c r="A4508" t="s">
        <v>3814</v>
      </c>
      <c r="B4508" t="s">
        <v>15</v>
      </c>
      <c r="C4508" t="s">
        <v>27</v>
      </c>
      <c r="D4508" t="s">
        <v>17</v>
      </c>
      <c r="E4508" t="s">
        <v>18</v>
      </c>
      <c r="F4508" t="s">
        <v>19</v>
      </c>
      <c r="G4508" t="s">
        <v>20</v>
      </c>
      <c r="J4508" t="s">
        <v>17</v>
      </c>
      <c r="K4508" t="str">
        <f>"764721160"</f>
        <v>764721160</v>
      </c>
      <c r="L4508" t="str">
        <f>"764721160"</f>
        <v>764721160</v>
      </c>
      <c r="M4508" t="s">
        <v>75</v>
      </c>
      <c r="N4508" s="1">
        <v>42872.849305555559</v>
      </c>
      <c r="O4508" t="s">
        <v>19</v>
      </c>
    </row>
    <row r="4509" spans="1:15" x14ac:dyDescent="0.25">
      <c r="A4509" t="s">
        <v>3815</v>
      </c>
      <c r="B4509" t="s">
        <v>15</v>
      </c>
      <c r="C4509" t="s">
        <v>27</v>
      </c>
      <c r="D4509" t="s">
        <v>17</v>
      </c>
      <c r="E4509" t="s">
        <v>18</v>
      </c>
      <c r="F4509" t="s">
        <v>19</v>
      </c>
      <c r="G4509" t="s">
        <v>20</v>
      </c>
      <c r="J4509" t="s">
        <v>17</v>
      </c>
      <c r="K4509" t="str">
        <f>"174805260"</f>
        <v>174805260</v>
      </c>
      <c r="L4509" t="str">
        <f>"174805260"</f>
        <v>174805260</v>
      </c>
      <c r="M4509" t="s">
        <v>75</v>
      </c>
      <c r="N4509" s="1">
        <v>42872.849305555559</v>
      </c>
      <c r="O4509" t="s">
        <v>19</v>
      </c>
    </row>
    <row r="4510" spans="1:15" x14ac:dyDescent="0.25">
      <c r="A4510" t="s">
        <v>3816</v>
      </c>
      <c r="B4510" t="s">
        <v>15</v>
      </c>
      <c r="C4510" t="s">
        <v>27</v>
      </c>
      <c r="D4510" t="s">
        <v>17</v>
      </c>
      <c r="E4510" t="s">
        <v>18</v>
      </c>
      <c r="F4510" t="s">
        <v>19</v>
      </c>
      <c r="G4510" t="s">
        <v>20</v>
      </c>
      <c r="J4510" t="s">
        <v>17</v>
      </c>
      <c r="K4510" t="str">
        <f>"17470568"</f>
        <v>17470568</v>
      </c>
      <c r="L4510" t="str">
        <f>"17470568"</f>
        <v>17470568</v>
      </c>
      <c r="M4510" t="s">
        <v>75</v>
      </c>
      <c r="N4510" s="1">
        <v>42872.839583333334</v>
      </c>
      <c r="O4510" t="s">
        <v>19</v>
      </c>
    </row>
    <row r="4511" spans="1:15" x14ac:dyDescent="0.25">
      <c r="A4511" t="s">
        <v>3816</v>
      </c>
      <c r="B4511" t="s">
        <v>15</v>
      </c>
      <c r="C4511" t="s">
        <v>27</v>
      </c>
      <c r="D4511" t="s">
        <v>17</v>
      </c>
      <c r="E4511" t="s">
        <v>18</v>
      </c>
      <c r="F4511" t="s">
        <v>19</v>
      </c>
      <c r="G4511" t="s">
        <v>20</v>
      </c>
      <c r="J4511" t="s">
        <v>17</v>
      </c>
      <c r="K4511" t="str">
        <f>"17480568"</f>
        <v>17480568</v>
      </c>
      <c r="L4511" t="str">
        <f>"17480568"</f>
        <v>17480568</v>
      </c>
      <c r="M4511" t="s">
        <v>75</v>
      </c>
      <c r="N4511" s="1">
        <v>42872.839583333334</v>
      </c>
      <c r="O4511" t="s">
        <v>19</v>
      </c>
    </row>
    <row r="4512" spans="1:15" x14ac:dyDescent="0.25">
      <c r="A4512" t="s">
        <v>3816</v>
      </c>
      <c r="B4512" t="s">
        <v>15</v>
      </c>
      <c r="C4512" t="s">
        <v>27</v>
      </c>
      <c r="D4512" t="s">
        <v>17</v>
      </c>
      <c r="E4512" t="s">
        <v>18</v>
      </c>
      <c r="F4512" t="s">
        <v>19</v>
      </c>
      <c r="G4512" t="s">
        <v>20</v>
      </c>
      <c r="J4512" t="s">
        <v>17</v>
      </c>
      <c r="K4512" t="str">
        <f>"34480568"</f>
        <v>34480568</v>
      </c>
      <c r="L4512" t="str">
        <f>"34480568"</f>
        <v>34480568</v>
      </c>
      <c r="M4512" t="s">
        <v>75</v>
      </c>
      <c r="N4512" s="1">
        <v>42872.839583333334</v>
      </c>
      <c r="O4512" t="s">
        <v>19</v>
      </c>
    </row>
    <row r="4513" spans="1:15" x14ac:dyDescent="0.25">
      <c r="A4513" t="s">
        <v>3816</v>
      </c>
      <c r="B4513" t="s">
        <v>15</v>
      </c>
      <c r="C4513" t="s">
        <v>27</v>
      </c>
      <c r="D4513" t="s">
        <v>17</v>
      </c>
      <c r="E4513" t="s">
        <v>18</v>
      </c>
      <c r="F4513" t="s">
        <v>19</v>
      </c>
      <c r="G4513" t="s">
        <v>20</v>
      </c>
      <c r="J4513" t="s">
        <v>17</v>
      </c>
      <c r="K4513" t="str">
        <f>"17480768"</f>
        <v>17480768</v>
      </c>
      <c r="L4513" t="str">
        <f>"17480768"</f>
        <v>17480768</v>
      </c>
      <c r="M4513" t="s">
        <v>75</v>
      </c>
      <c r="N4513" s="1">
        <v>42872.839583333334</v>
      </c>
      <c r="O4513" t="s">
        <v>19</v>
      </c>
    </row>
    <row r="4514" spans="1:15" x14ac:dyDescent="0.25">
      <c r="A4514" t="s">
        <v>3816</v>
      </c>
      <c r="B4514" t="s">
        <v>15</v>
      </c>
      <c r="C4514" t="s">
        <v>27</v>
      </c>
      <c r="D4514" t="s">
        <v>17</v>
      </c>
      <c r="E4514" t="s">
        <v>18</v>
      </c>
      <c r="F4514" t="s">
        <v>19</v>
      </c>
      <c r="G4514" t="s">
        <v>20</v>
      </c>
      <c r="J4514" t="s">
        <v>17</v>
      </c>
      <c r="K4514" t="str">
        <f>"76470568"</f>
        <v>76470568</v>
      </c>
      <c r="L4514" t="str">
        <f>"76470568"</f>
        <v>76470568</v>
      </c>
      <c r="M4514" t="s">
        <v>75</v>
      </c>
      <c r="N4514" s="1">
        <v>42872.847222222219</v>
      </c>
      <c r="O4514" t="s">
        <v>19</v>
      </c>
    </row>
    <row r="4515" spans="1:15" x14ac:dyDescent="0.25">
      <c r="A4515" t="s">
        <v>3816</v>
      </c>
      <c r="B4515" t="s">
        <v>15</v>
      </c>
      <c r="C4515" t="s">
        <v>27</v>
      </c>
      <c r="D4515" t="s">
        <v>17</v>
      </c>
      <c r="E4515" t="s">
        <v>18</v>
      </c>
      <c r="F4515" t="s">
        <v>19</v>
      </c>
      <c r="G4515" t="s">
        <v>20</v>
      </c>
      <c r="J4515" t="s">
        <v>17</v>
      </c>
      <c r="K4515" t="str">
        <f>"76480568"</f>
        <v>76480568</v>
      </c>
      <c r="L4515" t="str">
        <f>"76480568"</f>
        <v>76480568</v>
      </c>
      <c r="M4515" t="s">
        <v>75</v>
      </c>
      <c r="N4515" s="1">
        <v>42872.847222222219</v>
      </c>
      <c r="O4515" t="s">
        <v>19</v>
      </c>
    </row>
    <row r="4516" spans="1:15" x14ac:dyDescent="0.25">
      <c r="A4516" t="s">
        <v>3817</v>
      </c>
      <c r="B4516" t="s">
        <v>15</v>
      </c>
      <c r="C4516" t="s">
        <v>27</v>
      </c>
      <c r="D4516" t="s">
        <v>17</v>
      </c>
      <c r="E4516" t="s">
        <v>18</v>
      </c>
      <c r="F4516" t="s">
        <v>19</v>
      </c>
      <c r="G4516" t="s">
        <v>20</v>
      </c>
      <c r="J4516" t="s">
        <v>17</v>
      </c>
      <c r="K4516" t="str">
        <f>"17480569"</f>
        <v>17480569</v>
      </c>
      <c r="L4516" t="str">
        <f>"17480569"</f>
        <v>17480569</v>
      </c>
      <c r="M4516" t="s">
        <v>75</v>
      </c>
      <c r="N4516" s="1">
        <v>42872.839583333334</v>
      </c>
      <c r="O4516" t="s">
        <v>19</v>
      </c>
    </row>
    <row r="4517" spans="1:15" x14ac:dyDescent="0.25">
      <c r="A4517" t="s">
        <v>3817</v>
      </c>
      <c r="B4517" t="s">
        <v>15</v>
      </c>
      <c r="C4517" t="s">
        <v>27</v>
      </c>
      <c r="D4517" t="s">
        <v>17</v>
      </c>
      <c r="E4517" t="s">
        <v>18</v>
      </c>
      <c r="F4517" t="s">
        <v>19</v>
      </c>
      <c r="G4517" t="s">
        <v>20</v>
      </c>
      <c r="J4517" t="s">
        <v>17</v>
      </c>
      <c r="K4517" t="str">
        <f>"17580569"</f>
        <v>17580569</v>
      </c>
      <c r="L4517" t="str">
        <f>"17580569"</f>
        <v>17580569</v>
      </c>
      <c r="M4517" t="s">
        <v>75</v>
      </c>
      <c r="N4517" s="1">
        <v>42872.839583333334</v>
      </c>
      <c r="O4517" t="s">
        <v>19</v>
      </c>
    </row>
    <row r="4518" spans="1:15" x14ac:dyDescent="0.25">
      <c r="A4518" t="s">
        <v>3817</v>
      </c>
      <c r="B4518" t="s">
        <v>15</v>
      </c>
      <c r="C4518" t="s">
        <v>27</v>
      </c>
      <c r="D4518" t="s">
        <v>17</v>
      </c>
      <c r="E4518" t="s">
        <v>18</v>
      </c>
      <c r="F4518" t="s">
        <v>19</v>
      </c>
      <c r="G4518" t="s">
        <v>20</v>
      </c>
      <c r="J4518" t="s">
        <v>17</v>
      </c>
      <c r="K4518" t="str">
        <f>"34480569"</f>
        <v>34480569</v>
      </c>
      <c r="L4518" t="str">
        <f>"34480569"</f>
        <v>34480569</v>
      </c>
      <c r="M4518" t="s">
        <v>75</v>
      </c>
      <c r="N4518" s="1">
        <v>42872.839583333334</v>
      </c>
      <c r="O4518" t="s">
        <v>19</v>
      </c>
    </row>
    <row r="4519" spans="1:15" x14ac:dyDescent="0.25">
      <c r="A4519" t="s">
        <v>3817</v>
      </c>
      <c r="B4519" t="s">
        <v>15</v>
      </c>
      <c r="C4519" t="s">
        <v>27</v>
      </c>
      <c r="D4519" t="s">
        <v>17</v>
      </c>
      <c r="E4519" t="s">
        <v>18</v>
      </c>
      <c r="F4519" t="s">
        <v>19</v>
      </c>
      <c r="G4519" t="s">
        <v>20</v>
      </c>
      <c r="J4519" t="s">
        <v>17</v>
      </c>
      <c r="K4519" t="str">
        <f>"76260569"</f>
        <v>76260569</v>
      </c>
      <c r="L4519" t="str">
        <f>"76260569"</f>
        <v>76260569</v>
      </c>
      <c r="M4519" t="s">
        <v>75</v>
      </c>
      <c r="N4519" s="1">
        <v>42872.847222222219</v>
      </c>
      <c r="O4519" t="s">
        <v>19</v>
      </c>
    </row>
    <row r="4520" spans="1:15" x14ac:dyDescent="0.25">
      <c r="A4520" t="s">
        <v>3817</v>
      </c>
      <c r="B4520" t="s">
        <v>15</v>
      </c>
      <c r="C4520" t="s">
        <v>27</v>
      </c>
      <c r="D4520" t="s">
        <v>17</v>
      </c>
      <c r="E4520" t="s">
        <v>18</v>
      </c>
      <c r="F4520" t="s">
        <v>19</v>
      </c>
      <c r="G4520" t="s">
        <v>20</v>
      </c>
      <c r="J4520" t="s">
        <v>17</v>
      </c>
      <c r="K4520" t="str">
        <f>"76470569"</f>
        <v>76470569</v>
      </c>
      <c r="L4520" t="str">
        <f>"76470569"</f>
        <v>76470569</v>
      </c>
      <c r="M4520" t="s">
        <v>75</v>
      </c>
      <c r="N4520" s="1">
        <v>42872.847222222219</v>
      </c>
      <c r="O4520" t="s">
        <v>19</v>
      </c>
    </row>
    <row r="4521" spans="1:15" x14ac:dyDescent="0.25">
      <c r="A4521" t="s">
        <v>3817</v>
      </c>
      <c r="B4521" t="s">
        <v>15</v>
      </c>
      <c r="C4521" t="s">
        <v>27</v>
      </c>
      <c r="D4521" t="s">
        <v>17</v>
      </c>
      <c r="E4521" t="s">
        <v>18</v>
      </c>
      <c r="F4521" t="s">
        <v>19</v>
      </c>
      <c r="G4521" t="s">
        <v>20</v>
      </c>
      <c r="J4521" t="s">
        <v>17</v>
      </c>
      <c r="K4521" t="str">
        <f>"76480569"</f>
        <v>76480569</v>
      </c>
      <c r="L4521" t="str">
        <f>"76480569"</f>
        <v>76480569</v>
      </c>
      <c r="M4521" t="s">
        <v>75</v>
      </c>
      <c r="N4521" s="1">
        <v>42872.847222222219</v>
      </c>
      <c r="O4521" t="s">
        <v>19</v>
      </c>
    </row>
    <row r="4522" spans="1:15" x14ac:dyDescent="0.25">
      <c r="A4522" t="s">
        <v>3817</v>
      </c>
      <c r="B4522" t="s">
        <v>15</v>
      </c>
      <c r="C4522" t="s">
        <v>27</v>
      </c>
      <c r="D4522" t="s">
        <v>17</v>
      </c>
      <c r="E4522" t="s">
        <v>18</v>
      </c>
      <c r="F4522" t="s">
        <v>19</v>
      </c>
      <c r="G4522" t="s">
        <v>20</v>
      </c>
      <c r="J4522" t="s">
        <v>17</v>
      </c>
      <c r="K4522" t="str">
        <f>"76580569"</f>
        <v>76580569</v>
      </c>
      <c r="L4522" t="str">
        <f>"76580569"</f>
        <v>76580569</v>
      </c>
      <c r="M4522" t="s">
        <v>75</v>
      </c>
      <c r="N4522" s="1">
        <v>42872.847222222219</v>
      </c>
      <c r="O4522" t="s">
        <v>19</v>
      </c>
    </row>
    <row r="4523" spans="1:15" x14ac:dyDescent="0.25">
      <c r="A4523" t="s">
        <v>3818</v>
      </c>
      <c r="B4523" t="s">
        <v>15</v>
      </c>
      <c r="C4523" t="s">
        <v>27</v>
      </c>
      <c r="D4523" t="s">
        <v>17</v>
      </c>
      <c r="E4523" t="s">
        <v>18</v>
      </c>
      <c r="F4523" t="s">
        <v>19</v>
      </c>
      <c r="G4523" t="s">
        <v>20</v>
      </c>
      <c r="J4523" t="s">
        <v>17</v>
      </c>
      <c r="K4523" t="str">
        <f>"110330610"</f>
        <v>110330610</v>
      </c>
      <c r="L4523" t="str">
        <f>"110330610"</f>
        <v>110330610</v>
      </c>
      <c r="M4523" t="s">
        <v>75</v>
      </c>
      <c r="N4523" s="1">
        <v>42872.847222222219</v>
      </c>
      <c r="O4523" t="s">
        <v>19</v>
      </c>
    </row>
    <row r="4524" spans="1:15" x14ac:dyDescent="0.25">
      <c r="A4524" t="s">
        <v>3819</v>
      </c>
      <c r="B4524" t="s">
        <v>15</v>
      </c>
      <c r="C4524" t="s">
        <v>27</v>
      </c>
      <c r="D4524" t="s">
        <v>17</v>
      </c>
      <c r="E4524" t="s">
        <v>18</v>
      </c>
      <c r="F4524" t="s">
        <v>19</v>
      </c>
      <c r="G4524" t="s">
        <v>20</v>
      </c>
      <c r="J4524" t="s">
        <v>17</v>
      </c>
      <c r="K4524" t="str">
        <f>"17480570"</f>
        <v>17480570</v>
      </c>
      <c r="L4524" t="str">
        <f>"17480570"</f>
        <v>17480570</v>
      </c>
      <c r="M4524" t="s">
        <v>75</v>
      </c>
      <c r="N4524" s="1">
        <v>42872.839583333334</v>
      </c>
      <c r="O4524" t="s">
        <v>19</v>
      </c>
    </row>
    <row r="4525" spans="1:15" x14ac:dyDescent="0.25">
      <c r="A4525" t="s">
        <v>3820</v>
      </c>
      <c r="B4525" t="s">
        <v>15</v>
      </c>
      <c r="C4525" t="s">
        <v>27</v>
      </c>
      <c r="D4525" t="s">
        <v>17</v>
      </c>
      <c r="E4525" t="s">
        <v>18</v>
      </c>
      <c r="F4525" t="s">
        <v>19</v>
      </c>
      <c r="G4525" t="s">
        <v>20</v>
      </c>
      <c r="J4525" t="s">
        <v>17</v>
      </c>
      <c r="K4525" t="str">
        <f>"174805216"</f>
        <v>174805216</v>
      </c>
      <c r="L4525" t="str">
        <f>"174805216"</f>
        <v>174805216</v>
      </c>
      <c r="M4525" t="s">
        <v>75</v>
      </c>
      <c r="N4525" s="1">
        <v>42872.849305555559</v>
      </c>
      <c r="O4525" t="s">
        <v>19</v>
      </c>
    </row>
    <row r="4526" spans="1:15" x14ac:dyDescent="0.25">
      <c r="A4526" t="s">
        <v>3821</v>
      </c>
      <c r="B4526" t="s">
        <v>15</v>
      </c>
      <c r="C4526" t="s">
        <v>27</v>
      </c>
      <c r="D4526" t="s">
        <v>17</v>
      </c>
      <c r="E4526" t="s">
        <v>18</v>
      </c>
      <c r="F4526" t="s">
        <v>19</v>
      </c>
      <c r="G4526" t="s">
        <v>20</v>
      </c>
      <c r="J4526" t="s">
        <v>17</v>
      </c>
      <c r="K4526" t="str">
        <f>"174705196"</f>
        <v>174705196</v>
      </c>
      <c r="L4526" t="str">
        <f>"174705196"</f>
        <v>174705196</v>
      </c>
      <c r="M4526" t="s">
        <v>75</v>
      </c>
      <c r="N4526" s="1">
        <v>42872.849305555559</v>
      </c>
      <c r="O4526" t="s">
        <v>19</v>
      </c>
    </row>
    <row r="4527" spans="1:15" x14ac:dyDescent="0.25">
      <c r="A4527" t="s">
        <v>3821</v>
      </c>
      <c r="B4527" t="s">
        <v>15</v>
      </c>
      <c r="C4527" t="s">
        <v>27</v>
      </c>
      <c r="D4527" t="s">
        <v>17</v>
      </c>
      <c r="E4527" t="s">
        <v>18</v>
      </c>
      <c r="F4527" t="s">
        <v>19</v>
      </c>
      <c r="G4527" t="s">
        <v>20</v>
      </c>
      <c r="J4527" t="s">
        <v>17</v>
      </c>
      <c r="K4527" t="str">
        <f>"174805196"</f>
        <v>174805196</v>
      </c>
      <c r="L4527" t="str">
        <f>"174805196"</f>
        <v>174805196</v>
      </c>
      <c r="M4527" t="s">
        <v>75</v>
      </c>
      <c r="N4527" s="1">
        <v>42872.849305555559</v>
      </c>
      <c r="O4527" t="s">
        <v>19</v>
      </c>
    </row>
    <row r="4528" spans="1:15" x14ac:dyDescent="0.25">
      <c r="A4528" t="s">
        <v>3821</v>
      </c>
      <c r="B4528" t="s">
        <v>15</v>
      </c>
      <c r="C4528" t="s">
        <v>27</v>
      </c>
      <c r="D4528" t="s">
        <v>17</v>
      </c>
      <c r="E4528" t="s">
        <v>18</v>
      </c>
      <c r="F4528" t="s">
        <v>19</v>
      </c>
      <c r="G4528" t="s">
        <v>20</v>
      </c>
      <c r="J4528" t="s">
        <v>17</v>
      </c>
      <c r="K4528" t="str">
        <f>"764805196"</f>
        <v>764805196</v>
      </c>
      <c r="L4528" t="str">
        <f>"764805196"</f>
        <v>764805196</v>
      </c>
      <c r="M4528" t="s">
        <v>75</v>
      </c>
      <c r="N4528" s="1">
        <v>42872.849305555559</v>
      </c>
      <c r="O4528" t="s">
        <v>19</v>
      </c>
    </row>
    <row r="4529" spans="1:15" x14ac:dyDescent="0.25">
      <c r="A4529" t="s">
        <v>3822</v>
      </c>
      <c r="B4529" t="s">
        <v>15</v>
      </c>
      <c r="C4529" t="s">
        <v>27</v>
      </c>
      <c r="D4529" t="s">
        <v>17</v>
      </c>
      <c r="E4529" t="s">
        <v>18</v>
      </c>
      <c r="F4529" t="s">
        <v>19</v>
      </c>
      <c r="G4529" t="s">
        <v>20</v>
      </c>
      <c r="J4529" t="s">
        <v>17</v>
      </c>
      <c r="K4529" t="str">
        <f>"76510532"</f>
        <v>76510532</v>
      </c>
      <c r="L4529" t="str">
        <f>"76510532"</f>
        <v>76510532</v>
      </c>
      <c r="M4529" t="s">
        <v>75</v>
      </c>
      <c r="N4529" s="1">
        <v>43196.716666666667</v>
      </c>
      <c r="O4529" t="s">
        <v>19</v>
      </c>
    </row>
    <row r="4530" spans="1:15" x14ac:dyDescent="0.25">
      <c r="A4530" t="s">
        <v>3822</v>
      </c>
      <c r="B4530" t="s">
        <v>15</v>
      </c>
      <c r="C4530" t="s">
        <v>27</v>
      </c>
      <c r="D4530" t="s">
        <v>17</v>
      </c>
      <c r="E4530" t="s">
        <v>18</v>
      </c>
      <c r="F4530" t="s">
        <v>19</v>
      </c>
      <c r="G4530" t="s">
        <v>20</v>
      </c>
      <c r="J4530" t="s">
        <v>17</v>
      </c>
      <c r="K4530" t="str">
        <f>"76480532"</f>
        <v>76480532</v>
      </c>
      <c r="L4530" t="str">
        <f>"76480532"</f>
        <v>76480532</v>
      </c>
      <c r="M4530" t="s">
        <v>75</v>
      </c>
      <c r="N4530" s="1">
        <v>43236.861111111109</v>
      </c>
      <c r="O4530" t="s">
        <v>19</v>
      </c>
    </row>
    <row r="4531" spans="1:15" x14ac:dyDescent="0.25">
      <c r="A4531" t="s">
        <v>3822</v>
      </c>
      <c r="B4531" t="s">
        <v>15</v>
      </c>
      <c r="C4531" t="s">
        <v>27</v>
      </c>
      <c r="D4531" t="s">
        <v>17</v>
      </c>
      <c r="E4531" t="s">
        <v>18</v>
      </c>
      <c r="F4531" t="s">
        <v>19</v>
      </c>
      <c r="G4531" t="s">
        <v>20</v>
      </c>
      <c r="J4531" t="s">
        <v>17</v>
      </c>
      <c r="K4531" t="str">
        <f>"76640532"</f>
        <v>76640532</v>
      </c>
      <c r="L4531" t="str">
        <f>"76640532"</f>
        <v>76640532</v>
      </c>
      <c r="M4531" t="s">
        <v>75</v>
      </c>
      <c r="N4531" s="1">
        <v>43244.980555555558</v>
      </c>
      <c r="O4531" t="s">
        <v>19</v>
      </c>
    </row>
    <row r="4532" spans="1:15" x14ac:dyDescent="0.25">
      <c r="A4532" t="s">
        <v>3823</v>
      </c>
      <c r="B4532" t="s">
        <v>15</v>
      </c>
      <c r="C4532" t="s">
        <v>27</v>
      </c>
      <c r="D4532" t="s">
        <v>17</v>
      </c>
      <c r="E4532" t="s">
        <v>18</v>
      </c>
      <c r="F4532" t="s">
        <v>19</v>
      </c>
      <c r="G4532" t="s">
        <v>20</v>
      </c>
      <c r="J4532" t="s">
        <v>17</v>
      </c>
      <c r="K4532" t="str">
        <f>"764805321"</f>
        <v>764805321</v>
      </c>
      <c r="L4532" t="str">
        <f>"764805321"</f>
        <v>764805321</v>
      </c>
      <c r="M4532" t="s">
        <v>75</v>
      </c>
      <c r="N4532" s="1">
        <v>43218.890972222223</v>
      </c>
      <c r="O4532" t="s">
        <v>19</v>
      </c>
    </row>
    <row r="4533" spans="1:15" x14ac:dyDescent="0.25">
      <c r="A4533" t="s">
        <v>3823</v>
      </c>
      <c r="B4533" t="s">
        <v>15</v>
      </c>
      <c r="C4533" t="s">
        <v>27</v>
      </c>
      <c r="D4533" t="s">
        <v>17</v>
      </c>
      <c r="E4533" t="s">
        <v>18</v>
      </c>
      <c r="F4533" t="s">
        <v>19</v>
      </c>
      <c r="G4533" t="s">
        <v>20</v>
      </c>
      <c r="J4533" t="s">
        <v>17</v>
      </c>
      <c r="K4533" t="str">
        <f>"05321"</f>
        <v>05321</v>
      </c>
      <c r="L4533" t="str">
        <f>"1530835069057"</f>
        <v>1530835069057</v>
      </c>
      <c r="M4533" t="s">
        <v>84</v>
      </c>
      <c r="N4533" s="1">
        <v>43286.997916666667</v>
      </c>
      <c r="O4533" t="s">
        <v>19</v>
      </c>
    </row>
    <row r="4534" spans="1:15" x14ac:dyDescent="0.25">
      <c r="A4534" t="s">
        <v>3824</v>
      </c>
      <c r="B4534" t="s">
        <v>15</v>
      </c>
      <c r="C4534" t="s">
        <v>27</v>
      </c>
      <c r="D4534" t="s">
        <v>17</v>
      </c>
      <c r="E4534" t="s">
        <v>18</v>
      </c>
      <c r="F4534" t="s">
        <v>19</v>
      </c>
      <c r="G4534" t="s">
        <v>20</v>
      </c>
      <c r="J4534" t="s">
        <v>17</v>
      </c>
      <c r="K4534" t="str">
        <f>"17480533"</f>
        <v>17480533</v>
      </c>
      <c r="L4534" t="str">
        <f>"17480533"</f>
        <v>17480533</v>
      </c>
      <c r="M4534" t="s">
        <v>75</v>
      </c>
      <c r="N4534" s="1">
        <v>43175.786111111112</v>
      </c>
      <c r="O4534" t="s">
        <v>19</v>
      </c>
    </row>
    <row r="4535" spans="1:15" x14ac:dyDescent="0.25">
      <c r="A4535" t="s">
        <v>3824</v>
      </c>
      <c r="B4535" t="s">
        <v>15</v>
      </c>
      <c r="C4535" t="s">
        <v>27</v>
      </c>
      <c r="D4535" t="s">
        <v>17</v>
      </c>
      <c r="E4535" t="s">
        <v>18</v>
      </c>
      <c r="F4535" t="s">
        <v>19</v>
      </c>
      <c r="G4535" t="s">
        <v>20</v>
      </c>
      <c r="J4535" t="s">
        <v>17</v>
      </c>
      <c r="K4535" t="str">
        <f>"76510533"</f>
        <v>76510533</v>
      </c>
      <c r="L4535" t="str">
        <f>"76510533"</f>
        <v>76510533</v>
      </c>
      <c r="M4535" t="s">
        <v>75</v>
      </c>
      <c r="N4535" s="1">
        <v>43218.893055555556</v>
      </c>
      <c r="O4535" t="s">
        <v>19</v>
      </c>
    </row>
    <row r="4536" spans="1:15" x14ac:dyDescent="0.25">
      <c r="A4536" t="s">
        <v>3824</v>
      </c>
      <c r="B4536" t="s">
        <v>15</v>
      </c>
      <c r="C4536" t="s">
        <v>27</v>
      </c>
      <c r="D4536" t="s">
        <v>17</v>
      </c>
      <c r="E4536" t="s">
        <v>18</v>
      </c>
      <c r="F4536" t="s">
        <v>19</v>
      </c>
      <c r="G4536" t="s">
        <v>20</v>
      </c>
      <c r="J4536" t="s">
        <v>17</v>
      </c>
      <c r="K4536" t="str">
        <f>"76480533"</f>
        <v>76480533</v>
      </c>
      <c r="L4536" t="str">
        <f>"76480533"</f>
        <v>76480533</v>
      </c>
      <c r="M4536" t="s">
        <v>75</v>
      </c>
      <c r="N4536" s="1">
        <v>43236.893055555556</v>
      </c>
      <c r="O4536" t="s">
        <v>19</v>
      </c>
    </row>
    <row r="4537" spans="1:15" x14ac:dyDescent="0.25">
      <c r="A4537" t="s">
        <v>3824</v>
      </c>
      <c r="B4537" t="s">
        <v>15</v>
      </c>
      <c r="C4537" t="s">
        <v>27</v>
      </c>
      <c r="D4537" t="s">
        <v>17</v>
      </c>
      <c r="E4537" t="s">
        <v>18</v>
      </c>
      <c r="F4537" t="s">
        <v>19</v>
      </c>
      <c r="G4537" t="s">
        <v>20</v>
      </c>
      <c r="J4537" t="s">
        <v>17</v>
      </c>
      <c r="K4537" t="str">
        <f>"76770533"</f>
        <v>76770533</v>
      </c>
      <c r="L4537" t="str">
        <f>"76770533"</f>
        <v>76770533</v>
      </c>
      <c r="M4537" t="s">
        <v>75</v>
      </c>
      <c r="N4537" s="1">
        <v>43236.928472222222</v>
      </c>
      <c r="O4537" t="s">
        <v>19</v>
      </c>
    </row>
    <row r="4538" spans="1:15" x14ac:dyDescent="0.25">
      <c r="A4538" t="s">
        <v>3824</v>
      </c>
      <c r="B4538" t="s">
        <v>15</v>
      </c>
      <c r="C4538" t="s">
        <v>27</v>
      </c>
      <c r="D4538" t="s">
        <v>17</v>
      </c>
      <c r="E4538" t="s">
        <v>18</v>
      </c>
      <c r="F4538" t="s">
        <v>19</v>
      </c>
      <c r="G4538" t="s">
        <v>20</v>
      </c>
      <c r="J4538" t="s">
        <v>17</v>
      </c>
      <c r="K4538" t="str">
        <f>"76590533"</f>
        <v>76590533</v>
      </c>
      <c r="L4538" t="str">
        <f>"76590533"</f>
        <v>76590533</v>
      </c>
      <c r="M4538" t="s">
        <v>84</v>
      </c>
      <c r="N4538" s="1">
        <v>43251.728472222225</v>
      </c>
      <c r="O4538" t="s">
        <v>19</v>
      </c>
    </row>
    <row r="4539" spans="1:15" x14ac:dyDescent="0.25">
      <c r="A4539" t="s">
        <v>3825</v>
      </c>
      <c r="B4539" t="s">
        <v>15</v>
      </c>
      <c r="C4539" t="s">
        <v>27</v>
      </c>
      <c r="D4539" t="s">
        <v>17</v>
      </c>
      <c r="E4539" t="s">
        <v>18</v>
      </c>
      <c r="F4539" t="s">
        <v>19</v>
      </c>
      <c r="G4539" t="s">
        <v>20</v>
      </c>
      <c r="J4539" t="s">
        <v>17</v>
      </c>
      <c r="K4539" t="str">
        <f>"684805309"</f>
        <v>684805309</v>
      </c>
      <c r="L4539" t="str">
        <f>"684805309"</f>
        <v>684805309</v>
      </c>
      <c r="M4539" t="s">
        <v>84</v>
      </c>
      <c r="N4539" s="1">
        <v>43545.787499999999</v>
      </c>
      <c r="O4539" t="s">
        <v>19</v>
      </c>
    </row>
    <row r="4540" spans="1:15" x14ac:dyDescent="0.25">
      <c r="A4540" t="s">
        <v>3825</v>
      </c>
      <c r="B4540" t="s">
        <v>15</v>
      </c>
      <c r="C4540" t="s">
        <v>27</v>
      </c>
      <c r="D4540" t="s">
        <v>17</v>
      </c>
      <c r="E4540" t="s">
        <v>18</v>
      </c>
      <c r="F4540" t="s">
        <v>19</v>
      </c>
      <c r="G4540" t="s">
        <v>20</v>
      </c>
      <c r="J4540" t="s">
        <v>17</v>
      </c>
      <c r="K4540" t="str">
        <f>"1000001099675"</f>
        <v>1000001099675</v>
      </c>
      <c r="L4540" t="str">
        <f>"764805309"</f>
        <v>764805309</v>
      </c>
      <c r="M4540" t="s">
        <v>21</v>
      </c>
      <c r="N4540" s="1">
        <v>43720.709027777775</v>
      </c>
      <c r="O4540" t="s">
        <v>19</v>
      </c>
    </row>
    <row r="4541" spans="1:15" x14ac:dyDescent="0.25">
      <c r="A4541" t="s">
        <v>3826</v>
      </c>
      <c r="B4541" t="s">
        <v>15</v>
      </c>
      <c r="C4541" t="s">
        <v>27</v>
      </c>
      <c r="D4541" t="s">
        <v>17</v>
      </c>
      <c r="E4541" t="s">
        <v>18</v>
      </c>
      <c r="F4541" t="s">
        <v>19</v>
      </c>
      <c r="G4541" t="s">
        <v>20</v>
      </c>
      <c r="J4541" t="s">
        <v>17</v>
      </c>
      <c r="K4541" t="str">
        <f>"1000001099231"</f>
        <v>1000001099231</v>
      </c>
      <c r="L4541" t="str">
        <f>"764805307"</f>
        <v>764805307</v>
      </c>
      <c r="M4541" t="s">
        <v>21</v>
      </c>
      <c r="N4541" s="1">
        <v>43419.908333333333</v>
      </c>
      <c r="O4541" t="s">
        <v>19</v>
      </c>
    </row>
    <row r="4542" spans="1:15" x14ac:dyDescent="0.25">
      <c r="A4542" t="s">
        <v>3826</v>
      </c>
      <c r="B4542" t="s">
        <v>15</v>
      </c>
      <c r="C4542" t="s">
        <v>27</v>
      </c>
      <c r="D4542" t="s">
        <v>17</v>
      </c>
      <c r="E4542" t="s">
        <v>18</v>
      </c>
      <c r="F4542" t="s">
        <v>19</v>
      </c>
      <c r="G4542" t="s">
        <v>20</v>
      </c>
      <c r="J4542" t="s">
        <v>17</v>
      </c>
      <c r="K4542" t="str">
        <f>"797905307"</f>
        <v>797905307</v>
      </c>
      <c r="L4542" t="str">
        <f>"797905307"</f>
        <v>797905307</v>
      </c>
      <c r="M4542" t="s">
        <v>21</v>
      </c>
      <c r="N4542" s="1">
        <v>43420.638194444444</v>
      </c>
      <c r="O4542" t="s">
        <v>19</v>
      </c>
    </row>
    <row r="4543" spans="1:15" x14ac:dyDescent="0.25">
      <c r="A4543" t="s">
        <v>3826</v>
      </c>
      <c r="B4543" t="s">
        <v>15</v>
      </c>
      <c r="C4543" t="s">
        <v>27</v>
      </c>
      <c r="D4543" t="s">
        <v>17</v>
      </c>
      <c r="E4543" t="s">
        <v>18</v>
      </c>
      <c r="F4543" t="s">
        <v>19</v>
      </c>
      <c r="G4543" t="s">
        <v>20</v>
      </c>
      <c r="J4543" t="s">
        <v>17</v>
      </c>
      <c r="K4543" t="str">
        <f>"768905307"</f>
        <v>768905307</v>
      </c>
      <c r="L4543" t="str">
        <f>"768905307"</f>
        <v>768905307</v>
      </c>
      <c r="M4543" t="s">
        <v>84</v>
      </c>
      <c r="N4543" s="1">
        <v>43528.662499999999</v>
      </c>
      <c r="O4543" t="s">
        <v>19</v>
      </c>
    </row>
    <row r="4544" spans="1:15" x14ac:dyDescent="0.25">
      <c r="A4544" t="s">
        <v>3826</v>
      </c>
      <c r="B4544" t="s">
        <v>15</v>
      </c>
      <c r="C4544" t="s">
        <v>27</v>
      </c>
      <c r="D4544" t="s">
        <v>17</v>
      </c>
      <c r="E4544" t="s">
        <v>18</v>
      </c>
      <c r="F4544" t="s">
        <v>19</v>
      </c>
      <c r="G4544" t="s">
        <v>20</v>
      </c>
      <c r="J4544" t="s">
        <v>17</v>
      </c>
      <c r="K4544" t="str">
        <f>"674805307"</f>
        <v>674805307</v>
      </c>
      <c r="L4544" t="str">
        <f>"674805307"</f>
        <v>674805307</v>
      </c>
      <c r="M4544" t="s">
        <v>84</v>
      </c>
      <c r="N4544" s="1">
        <v>43546.953472222223</v>
      </c>
      <c r="O4544" t="s">
        <v>19</v>
      </c>
    </row>
    <row r="4545" spans="1:15" x14ac:dyDescent="0.25">
      <c r="A4545" t="s">
        <v>3826</v>
      </c>
      <c r="B4545" t="s">
        <v>15</v>
      </c>
      <c r="C4545" t="s">
        <v>27</v>
      </c>
      <c r="D4545" t="s">
        <v>17</v>
      </c>
      <c r="E4545" t="s">
        <v>18</v>
      </c>
      <c r="F4545" t="s">
        <v>19</v>
      </c>
      <c r="G4545" t="s">
        <v>20</v>
      </c>
      <c r="J4545" t="s">
        <v>17</v>
      </c>
      <c r="K4545" t="str">
        <f>"409905307"</f>
        <v>409905307</v>
      </c>
      <c r="L4545" t="str">
        <f>"409905307"</f>
        <v>409905307</v>
      </c>
      <c r="M4545" t="s">
        <v>84</v>
      </c>
      <c r="N4545" s="1">
        <v>43549.599999999999</v>
      </c>
      <c r="O4545" t="s">
        <v>19</v>
      </c>
    </row>
    <row r="4546" spans="1:15" x14ac:dyDescent="0.25">
      <c r="A4546" t="s">
        <v>3826</v>
      </c>
      <c r="B4546" t="s">
        <v>15</v>
      </c>
      <c r="C4546" t="s">
        <v>27</v>
      </c>
      <c r="D4546" t="s">
        <v>17</v>
      </c>
      <c r="E4546" t="s">
        <v>18</v>
      </c>
      <c r="F4546" t="s">
        <v>19</v>
      </c>
      <c r="G4546" t="s">
        <v>20</v>
      </c>
      <c r="J4546" t="s">
        <v>17</v>
      </c>
      <c r="K4546" t="str">
        <f>"765105307"</f>
        <v>765105307</v>
      </c>
      <c r="L4546" t="str">
        <f>"765105307"</f>
        <v>765105307</v>
      </c>
      <c r="M4546" t="s">
        <v>21</v>
      </c>
      <c r="N4546" s="1">
        <v>43890.62777777778</v>
      </c>
      <c r="O4546" t="s">
        <v>19</v>
      </c>
    </row>
    <row r="4547" spans="1:15" x14ac:dyDescent="0.25">
      <c r="A4547" t="s">
        <v>3826</v>
      </c>
      <c r="B4547" t="s">
        <v>15</v>
      </c>
      <c r="C4547" t="s">
        <v>27</v>
      </c>
      <c r="D4547" t="s">
        <v>17</v>
      </c>
      <c r="E4547" t="s">
        <v>18</v>
      </c>
      <c r="F4547" t="s">
        <v>19</v>
      </c>
      <c r="G4547" t="s">
        <v>20</v>
      </c>
      <c r="J4547" t="s">
        <v>17</v>
      </c>
      <c r="K4547" t="str">
        <f>"766205307"</f>
        <v>766205307</v>
      </c>
      <c r="L4547" t="str">
        <f>"766205307"</f>
        <v>766205307</v>
      </c>
      <c r="M4547" t="s">
        <v>21</v>
      </c>
      <c r="N4547" s="1">
        <v>44251.854166666664</v>
      </c>
      <c r="O4547" t="s">
        <v>19</v>
      </c>
    </row>
    <row r="4548" spans="1:15" x14ac:dyDescent="0.25">
      <c r="A4548" t="s">
        <v>3827</v>
      </c>
      <c r="B4548" t="s">
        <v>15</v>
      </c>
      <c r="C4548" t="s">
        <v>27</v>
      </c>
      <c r="D4548" t="s">
        <v>17</v>
      </c>
      <c r="E4548" t="s">
        <v>18</v>
      </c>
      <c r="F4548" t="s">
        <v>19</v>
      </c>
      <c r="G4548" t="s">
        <v>20</v>
      </c>
      <c r="J4548" t="s">
        <v>17</v>
      </c>
      <c r="K4548" t="str">
        <f>"1000001099774"</f>
        <v>1000001099774</v>
      </c>
      <c r="L4548" t="str">
        <f>"765105308"</f>
        <v>765105308</v>
      </c>
      <c r="M4548" t="s">
        <v>84</v>
      </c>
      <c r="N4548" s="1">
        <v>43451.660416666666</v>
      </c>
      <c r="O4548" t="s">
        <v>19</v>
      </c>
    </row>
    <row r="4549" spans="1:15" x14ac:dyDescent="0.25">
      <c r="A4549" t="s">
        <v>3828</v>
      </c>
      <c r="B4549" t="s">
        <v>15</v>
      </c>
      <c r="C4549" t="s">
        <v>27</v>
      </c>
      <c r="D4549" t="s">
        <v>17</v>
      </c>
      <c r="E4549" t="s">
        <v>18</v>
      </c>
      <c r="F4549" t="s">
        <v>19</v>
      </c>
      <c r="G4549" t="s">
        <v>20</v>
      </c>
      <c r="J4549" t="s">
        <v>17</v>
      </c>
      <c r="K4549" t="str">
        <f>"765105322"</f>
        <v>765105322</v>
      </c>
      <c r="L4549" t="str">
        <f>"765105322"</f>
        <v>765105322</v>
      </c>
      <c r="M4549" t="s">
        <v>21</v>
      </c>
      <c r="N4549" s="1">
        <v>43890.627083333333</v>
      </c>
      <c r="O4549" t="s">
        <v>19</v>
      </c>
    </row>
    <row r="4550" spans="1:15" x14ac:dyDescent="0.25">
      <c r="A4550" t="s">
        <v>3829</v>
      </c>
      <c r="B4550" t="s">
        <v>15</v>
      </c>
      <c r="C4550" t="s">
        <v>27</v>
      </c>
      <c r="D4550" t="s">
        <v>17</v>
      </c>
      <c r="E4550" t="s">
        <v>18</v>
      </c>
      <c r="F4550" t="s">
        <v>19</v>
      </c>
      <c r="G4550" t="s">
        <v>20</v>
      </c>
      <c r="J4550" t="s">
        <v>17</v>
      </c>
      <c r="K4550" t="str">
        <f>"174804223"</f>
        <v>174804223</v>
      </c>
      <c r="L4550" t="str">
        <f>"174804223"</f>
        <v>174804223</v>
      </c>
      <c r="M4550" t="s">
        <v>75</v>
      </c>
      <c r="N4550" s="1">
        <v>42872.849305555559</v>
      </c>
      <c r="O4550" t="s">
        <v>19</v>
      </c>
    </row>
    <row r="4551" spans="1:15" x14ac:dyDescent="0.25">
      <c r="A4551" t="s">
        <v>3829</v>
      </c>
      <c r="B4551" t="s">
        <v>15</v>
      </c>
      <c r="C4551" t="s">
        <v>27</v>
      </c>
      <c r="D4551" t="s">
        <v>17</v>
      </c>
      <c r="E4551" t="s">
        <v>18</v>
      </c>
      <c r="F4551" t="s">
        <v>19</v>
      </c>
      <c r="G4551" t="s">
        <v>20</v>
      </c>
      <c r="J4551" t="s">
        <v>17</v>
      </c>
      <c r="K4551" t="str">
        <f>"174805210"</f>
        <v>174805210</v>
      </c>
      <c r="L4551" t="str">
        <f>"174805210"</f>
        <v>174805210</v>
      </c>
      <c r="M4551" t="s">
        <v>75</v>
      </c>
      <c r="N4551" s="1">
        <v>42872.849305555559</v>
      </c>
      <c r="O4551" t="s">
        <v>19</v>
      </c>
    </row>
    <row r="4552" spans="1:15" x14ac:dyDescent="0.25">
      <c r="A4552" t="s">
        <v>3829</v>
      </c>
      <c r="B4552" t="s">
        <v>15</v>
      </c>
      <c r="C4552" t="s">
        <v>27</v>
      </c>
      <c r="D4552" t="s">
        <v>17</v>
      </c>
      <c r="E4552" t="s">
        <v>18</v>
      </c>
      <c r="F4552" t="s">
        <v>19</v>
      </c>
      <c r="G4552" t="s">
        <v>20</v>
      </c>
      <c r="J4552" t="s">
        <v>17</v>
      </c>
      <c r="K4552" t="str">
        <f>"174805223"</f>
        <v>174805223</v>
      </c>
      <c r="L4552" t="str">
        <f>"174805223"</f>
        <v>174805223</v>
      </c>
      <c r="M4552" t="s">
        <v>75</v>
      </c>
      <c r="N4552" s="1">
        <v>42872.849305555559</v>
      </c>
      <c r="O4552" t="s">
        <v>19</v>
      </c>
    </row>
    <row r="4553" spans="1:15" x14ac:dyDescent="0.25">
      <c r="A4553" t="s">
        <v>3830</v>
      </c>
      <c r="B4553" t="s">
        <v>15</v>
      </c>
      <c r="C4553" t="s">
        <v>27</v>
      </c>
      <c r="D4553" t="s">
        <v>17</v>
      </c>
      <c r="E4553" t="s">
        <v>18</v>
      </c>
      <c r="F4553" t="s">
        <v>19</v>
      </c>
      <c r="G4553" t="s">
        <v>20</v>
      </c>
      <c r="J4553" t="s">
        <v>17</v>
      </c>
      <c r="K4553" t="str">
        <f>"174805294"</f>
        <v>174805294</v>
      </c>
      <c r="L4553" t="str">
        <f>"174805294"</f>
        <v>174805294</v>
      </c>
      <c r="M4553" t="s">
        <v>75</v>
      </c>
      <c r="N4553" s="1">
        <v>42930.945138888892</v>
      </c>
      <c r="O4553" t="s">
        <v>19</v>
      </c>
    </row>
    <row r="4554" spans="1:15" x14ac:dyDescent="0.25">
      <c r="A4554" t="s">
        <v>3831</v>
      </c>
      <c r="B4554" t="s">
        <v>15</v>
      </c>
      <c r="C4554" t="s">
        <v>27</v>
      </c>
      <c r="D4554" t="s">
        <v>17</v>
      </c>
      <c r="E4554" t="s">
        <v>18</v>
      </c>
      <c r="F4554" t="s">
        <v>19</v>
      </c>
      <c r="G4554" t="s">
        <v>20</v>
      </c>
      <c r="J4554" t="s">
        <v>17</v>
      </c>
      <c r="K4554" t="str">
        <f>"174805295"</f>
        <v>174805295</v>
      </c>
      <c r="L4554" t="str">
        <f>"174805295"</f>
        <v>174805295</v>
      </c>
      <c r="M4554" t="s">
        <v>75</v>
      </c>
      <c r="N4554" s="1">
        <v>42872.849305555559</v>
      </c>
      <c r="O4554" t="s">
        <v>19</v>
      </c>
    </row>
    <row r="4555" spans="1:15" x14ac:dyDescent="0.25">
      <c r="A4555" t="s">
        <v>3831</v>
      </c>
      <c r="B4555" t="s">
        <v>15</v>
      </c>
      <c r="C4555" t="s">
        <v>27</v>
      </c>
      <c r="D4555" t="s">
        <v>17</v>
      </c>
      <c r="E4555" t="s">
        <v>18</v>
      </c>
      <c r="F4555" t="s">
        <v>19</v>
      </c>
      <c r="G4555" t="s">
        <v>20</v>
      </c>
      <c r="J4555" t="s">
        <v>17</v>
      </c>
      <c r="K4555" t="str">
        <f>"767705295"</f>
        <v>767705295</v>
      </c>
      <c r="L4555" t="str">
        <f>"767705295"</f>
        <v>767705295</v>
      </c>
      <c r="M4555" t="s">
        <v>75</v>
      </c>
      <c r="N4555" s="1">
        <v>42872.849305555559</v>
      </c>
      <c r="O4555" t="s">
        <v>19</v>
      </c>
    </row>
    <row r="4556" spans="1:15" x14ac:dyDescent="0.25">
      <c r="A4556" t="s">
        <v>3831</v>
      </c>
      <c r="B4556" t="s">
        <v>15</v>
      </c>
      <c r="C4556" t="s">
        <v>27</v>
      </c>
      <c r="D4556" t="s">
        <v>17</v>
      </c>
      <c r="E4556" t="s">
        <v>18</v>
      </c>
      <c r="F4556" t="s">
        <v>19</v>
      </c>
      <c r="G4556" t="s">
        <v>20</v>
      </c>
      <c r="J4556" t="s">
        <v>17</v>
      </c>
      <c r="K4556" t="str">
        <f>"764805295"</f>
        <v>764805295</v>
      </c>
      <c r="L4556" t="str">
        <f>"764805295"</f>
        <v>764805295</v>
      </c>
      <c r="M4556" t="s">
        <v>75</v>
      </c>
      <c r="N4556" s="1">
        <v>42933.701388888891</v>
      </c>
      <c r="O4556" t="s">
        <v>19</v>
      </c>
    </row>
    <row r="4557" spans="1:15" x14ac:dyDescent="0.25">
      <c r="A4557" t="s">
        <v>3831</v>
      </c>
      <c r="B4557" t="s">
        <v>15</v>
      </c>
      <c r="C4557" t="s">
        <v>27</v>
      </c>
      <c r="D4557" t="s">
        <v>17</v>
      </c>
      <c r="E4557" t="s">
        <v>18</v>
      </c>
      <c r="F4557" t="s">
        <v>19</v>
      </c>
      <c r="G4557" t="s">
        <v>20</v>
      </c>
      <c r="J4557" t="s">
        <v>17</v>
      </c>
      <c r="K4557" t="str">
        <f>"684805295"</f>
        <v>684805295</v>
      </c>
      <c r="L4557" t="str">
        <f>"684805295"</f>
        <v>684805295</v>
      </c>
      <c r="M4557" t="s">
        <v>75</v>
      </c>
      <c r="N4557" s="1">
        <v>43007.681250000001</v>
      </c>
      <c r="O4557" t="s">
        <v>19</v>
      </c>
    </row>
    <row r="4558" spans="1:15" x14ac:dyDescent="0.25">
      <c r="A4558" t="s">
        <v>3831</v>
      </c>
      <c r="B4558" t="s">
        <v>15</v>
      </c>
      <c r="C4558" t="s">
        <v>27</v>
      </c>
      <c r="D4558" t="s">
        <v>17</v>
      </c>
      <c r="E4558" t="s">
        <v>18</v>
      </c>
      <c r="F4558" t="s">
        <v>19</v>
      </c>
      <c r="G4558" t="s">
        <v>20</v>
      </c>
      <c r="J4558" t="s">
        <v>17</v>
      </c>
      <c r="K4558" t="str">
        <f>"765105295"</f>
        <v>765105295</v>
      </c>
      <c r="L4558" t="str">
        <f>"765105295"</f>
        <v>765105295</v>
      </c>
      <c r="M4558" t="s">
        <v>75</v>
      </c>
      <c r="N4558" s="1">
        <v>43132.961111111108</v>
      </c>
      <c r="O4558" t="s">
        <v>19</v>
      </c>
    </row>
    <row r="4559" spans="1:15" x14ac:dyDescent="0.25">
      <c r="A4559" t="s">
        <v>3831</v>
      </c>
      <c r="B4559" t="s">
        <v>15</v>
      </c>
      <c r="C4559" t="s">
        <v>27</v>
      </c>
      <c r="D4559" t="s">
        <v>17</v>
      </c>
      <c r="E4559" t="s">
        <v>18</v>
      </c>
      <c r="F4559" t="s">
        <v>19</v>
      </c>
      <c r="G4559" t="s">
        <v>20</v>
      </c>
      <c r="J4559" t="s">
        <v>17</v>
      </c>
      <c r="K4559" t="str">
        <f>"935105295"</f>
        <v>935105295</v>
      </c>
      <c r="L4559" t="str">
        <f>"935105295"</f>
        <v>935105295</v>
      </c>
      <c r="M4559" t="s">
        <v>84</v>
      </c>
      <c r="N4559" s="1">
        <v>43267.791666666664</v>
      </c>
      <c r="O4559" t="s">
        <v>19</v>
      </c>
    </row>
    <row r="4560" spans="1:15" x14ac:dyDescent="0.25">
      <c r="A4560" t="s">
        <v>3832</v>
      </c>
      <c r="B4560" t="s">
        <v>15</v>
      </c>
      <c r="C4560" t="s">
        <v>27</v>
      </c>
      <c r="D4560" t="s">
        <v>17</v>
      </c>
      <c r="E4560" t="s">
        <v>18</v>
      </c>
      <c r="F4560" t="s">
        <v>19</v>
      </c>
      <c r="G4560" t="s">
        <v>20</v>
      </c>
      <c r="J4560" t="s">
        <v>17</v>
      </c>
      <c r="K4560" t="str">
        <f>"766205333"</f>
        <v>766205333</v>
      </c>
      <c r="L4560" t="str">
        <f>"766205333"</f>
        <v>766205333</v>
      </c>
      <c r="M4560" t="s">
        <v>21</v>
      </c>
      <c r="N4560" s="1">
        <v>44251.850694444445</v>
      </c>
      <c r="O4560" t="s">
        <v>19</v>
      </c>
    </row>
    <row r="4561" spans="1:15" x14ac:dyDescent="0.25">
      <c r="A4561" t="s">
        <v>3833</v>
      </c>
      <c r="B4561" t="s">
        <v>15</v>
      </c>
      <c r="C4561" t="s">
        <v>27</v>
      </c>
      <c r="D4561" t="s">
        <v>17</v>
      </c>
      <c r="E4561" t="s">
        <v>18</v>
      </c>
      <c r="F4561" t="s">
        <v>19</v>
      </c>
      <c r="G4561" t="s">
        <v>20</v>
      </c>
      <c r="J4561" t="s">
        <v>17</v>
      </c>
      <c r="K4561" t="str">
        <f>"174805296"</f>
        <v>174805296</v>
      </c>
      <c r="L4561" t="str">
        <f>"174805296"</f>
        <v>174805296</v>
      </c>
      <c r="M4561" t="s">
        <v>75</v>
      </c>
      <c r="N4561" s="1">
        <v>42956.870833333334</v>
      </c>
      <c r="O4561" t="s">
        <v>19</v>
      </c>
    </row>
    <row r="4562" spans="1:15" x14ac:dyDescent="0.25">
      <c r="A4562" t="s">
        <v>3833</v>
      </c>
      <c r="B4562" t="s">
        <v>15</v>
      </c>
      <c r="C4562" t="s">
        <v>27</v>
      </c>
      <c r="D4562" t="s">
        <v>17</v>
      </c>
      <c r="E4562" t="s">
        <v>18</v>
      </c>
      <c r="F4562" t="s">
        <v>19</v>
      </c>
      <c r="G4562" t="s">
        <v>20</v>
      </c>
      <c r="J4562" t="s">
        <v>17</v>
      </c>
      <c r="K4562" t="str">
        <f>"334805296"</f>
        <v>334805296</v>
      </c>
      <c r="L4562" t="str">
        <f>"334805296"</f>
        <v>334805296</v>
      </c>
      <c r="M4562" t="s">
        <v>75</v>
      </c>
      <c r="N4562" s="1">
        <v>43046.664583333331</v>
      </c>
      <c r="O4562" t="s">
        <v>19</v>
      </c>
    </row>
    <row r="4563" spans="1:15" x14ac:dyDescent="0.25">
      <c r="A4563" t="s">
        <v>3833</v>
      </c>
      <c r="B4563" t="s">
        <v>15</v>
      </c>
      <c r="C4563" t="s">
        <v>27</v>
      </c>
      <c r="D4563" t="s">
        <v>17</v>
      </c>
      <c r="E4563" t="s">
        <v>18</v>
      </c>
      <c r="F4563" t="s">
        <v>19</v>
      </c>
      <c r="G4563" t="s">
        <v>20</v>
      </c>
      <c r="J4563" t="s">
        <v>17</v>
      </c>
      <c r="K4563" t="str">
        <f>"765105296"</f>
        <v>765105296</v>
      </c>
      <c r="L4563" t="str">
        <f>"765105296"</f>
        <v>765105296</v>
      </c>
      <c r="M4563" t="s">
        <v>75</v>
      </c>
      <c r="N4563" s="1">
        <v>43132.960416666669</v>
      </c>
      <c r="O4563" t="s">
        <v>19</v>
      </c>
    </row>
    <row r="4564" spans="1:15" x14ac:dyDescent="0.25">
      <c r="A4564" t="s">
        <v>3833</v>
      </c>
      <c r="B4564" t="s">
        <v>15</v>
      </c>
      <c r="C4564" t="s">
        <v>27</v>
      </c>
      <c r="D4564" t="s">
        <v>17</v>
      </c>
      <c r="E4564" t="s">
        <v>18</v>
      </c>
      <c r="F4564" t="s">
        <v>19</v>
      </c>
      <c r="G4564" t="s">
        <v>20</v>
      </c>
      <c r="J4564" t="s">
        <v>17</v>
      </c>
      <c r="K4564" t="str">
        <f>"764805296"</f>
        <v>764805296</v>
      </c>
      <c r="L4564" t="str">
        <f>"764805296"</f>
        <v>764805296</v>
      </c>
      <c r="M4564" t="s">
        <v>84</v>
      </c>
      <c r="N4564" s="1">
        <v>43251.714583333334</v>
      </c>
      <c r="O4564" t="s">
        <v>19</v>
      </c>
    </row>
    <row r="4565" spans="1:15" x14ac:dyDescent="0.25">
      <c r="A4565" t="s">
        <v>3834</v>
      </c>
      <c r="B4565" t="s">
        <v>15</v>
      </c>
      <c r="C4565" t="s">
        <v>27</v>
      </c>
      <c r="D4565" t="s">
        <v>17</v>
      </c>
      <c r="E4565" t="s">
        <v>18</v>
      </c>
      <c r="F4565" t="s">
        <v>19</v>
      </c>
      <c r="G4565" t="s">
        <v>20</v>
      </c>
      <c r="J4565" t="s">
        <v>17</v>
      </c>
      <c r="K4565" t="str">
        <f>"765105297"</f>
        <v>765105297</v>
      </c>
      <c r="L4565" t="str">
        <f>"765105297"</f>
        <v>765105297</v>
      </c>
      <c r="M4565" t="s">
        <v>75</v>
      </c>
      <c r="N4565" s="1">
        <v>43174.84375</v>
      </c>
      <c r="O4565" t="s">
        <v>19</v>
      </c>
    </row>
    <row r="4566" spans="1:15" x14ac:dyDescent="0.25">
      <c r="A4566" t="s">
        <v>3834</v>
      </c>
      <c r="B4566" t="s">
        <v>15</v>
      </c>
      <c r="C4566" t="s">
        <v>27</v>
      </c>
      <c r="D4566" t="s">
        <v>17</v>
      </c>
      <c r="E4566" t="s">
        <v>18</v>
      </c>
      <c r="F4566" t="s">
        <v>19</v>
      </c>
      <c r="G4566" t="s">
        <v>20</v>
      </c>
      <c r="J4566" t="s">
        <v>17</v>
      </c>
      <c r="K4566" t="str">
        <f>"174805297"</f>
        <v>174805297</v>
      </c>
      <c r="L4566" t="str">
        <f>"174805297"</f>
        <v>174805297</v>
      </c>
      <c r="M4566" t="s">
        <v>75</v>
      </c>
      <c r="N4566" s="1">
        <v>43220.624305555553</v>
      </c>
      <c r="O4566" t="s">
        <v>19</v>
      </c>
    </row>
    <row r="4567" spans="1:15" x14ac:dyDescent="0.25">
      <c r="A4567" t="s">
        <v>3835</v>
      </c>
      <c r="B4567" t="s">
        <v>15</v>
      </c>
      <c r="C4567" t="s">
        <v>27</v>
      </c>
      <c r="D4567" t="s">
        <v>17</v>
      </c>
      <c r="E4567" t="s">
        <v>18</v>
      </c>
      <c r="F4567" t="s">
        <v>19</v>
      </c>
      <c r="G4567" t="s">
        <v>20</v>
      </c>
      <c r="J4567" t="s">
        <v>17</v>
      </c>
      <c r="K4567" t="str">
        <f>"765105300"</f>
        <v>765105300</v>
      </c>
      <c r="L4567" t="str">
        <f>"765105300"</f>
        <v>765105300</v>
      </c>
      <c r="M4567" t="s">
        <v>75</v>
      </c>
      <c r="N4567" s="1">
        <v>43231.838194444441</v>
      </c>
      <c r="O4567" t="s">
        <v>19</v>
      </c>
    </row>
    <row r="4568" spans="1:15" x14ac:dyDescent="0.25">
      <c r="A4568" t="s">
        <v>3835</v>
      </c>
      <c r="B4568" t="s">
        <v>15</v>
      </c>
      <c r="C4568" t="s">
        <v>27</v>
      </c>
      <c r="D4568" t="s">
        <v>17</v>
      </c>
      <c r="E4568" t="s">
        <v>18</v>
      </c>
      <c r="F4568" t="s">
        <v>19</v>
      </c>
      <c r="G4568" t="s">
        <v>20</v>
      </c>
      <c r="J4568" t="s">
        <v>17</v>
      </c>
      <c r="K4568" t="str">
        <f>"764805300"</f>
        <v>764805300</v>
      </c>
      <c r="L4568" t="str">
        <f>"764805300"</f>
        <v>764805300</v>
      </c>
      <c r="M4568" t="s">
        <v>84</v>
      </c>
      <c r="N4568" s="1">
        <v>43332.584722222222</v>
      </c>
      <c r="O4568" t="s">
        <v>19</v>
      </c>
    </row>
    <row r="4569" spans="1:15" x14ac:dyDescent="0.25">
      <c r="A4569" t="s">
        <v>3835</v>
      </c>
      <c r="B4569" t="s">
        <v>15</v>
      </c>
      <c r="C4569" t="s">
        <v>27</v>
      </c>
      <c r="D4569" t="s">
        <v>17</v>
      </c>
      <c r="E4569" t="s">
        <v>18</v>
      </c>
      <c r="F4569" t="s">
        <v>19</v>
      </c>
      <c r="G4569" t="s">
        <v>20</v>
      </c>
      <c r="J4569" t="s">
        <v>17</v>
      </c>
      <c r="K4569" t="str">
        <f>"684805300"</f>
        <v>684805300</v>
      </c>
      <c r="L4569" t="str">
        <f>"684805300"</f>
        <v>684805300</v>
      </c>
      <c r="M4569" t="s">
        <v>84</v>
      </c>
      <c r="N4569" s="1">
        <v>43545.775000000001</v>
      </c>
      <c r="O4569" t="s">
        <v>19</v>
      </c>
    </row>
    <row r="4570" spans="1:15" x14ac:dyDescent="0.25">
      <c r="A4570" t="s">
        <v>3836</v>
      </c>
      <c r="B4570" t="s">
        <v>15</v>
      </c>
      <c r="C4570" t="s">
        <v>27</v>
      </c>
      <c r="D4570" t="s">
        <v>17</v>
      </c>
      <c r="E4570" t="s">
        <v>18</v>
      </c>
      <c r="F4570" t="s">
        <v>19</v>
      </c>
      <c r="G4570" t="s">
        <v>20</v>
      </c>
      <c r="J4570" t="s">
        <v>17</v>
      </c>
      <c r="K4570" t="str">
        <f>"765105303"</f>
        <v>765105303</v>
      </c>
      <c r="L4570" t="str">
        <f>"765105303"</f>
        <v>765105303</v>
      </c>
      <c r="M4570" t="s">
        <v>75</v>
      </c>
      <c r="N4570" s="1">
        <v>43231.837500000001</v>
      </c>
      <c r="O4570" t="s">
        <v>19</v>
      </c>
    </row>
    <row r="4571" spans="1:15" x14ac:dyDescent="0.25">
      <c r="A4571" t="s">
        <v>3836</v>
      </c>
      <c r="B4571" t="s">
        <v>15</v>
      </c>
      <c r="C4571" t="s">
        <v>27</v>
      </c>
      <c r="D4571" t="s">
        <v>17</v>
      </c>
      <c r="E4571" t="s">
        <v>18</v>
      </c>
      <c r="F4571" t="s">
        <v>19</v>
      </c>
      <c r="G4571" t="s">
        <v>20</v>
      </c>
      <c r="J4571" t="s">
        <v>17</v>
      </c>
      <c r="K4571" t="str">
        <f>"1000001095011"</f>
        <v>1000001095011</v>
      </c>
      <c r="L4571" t="str">
        <f>"764805303"</f>
        <v>764805303</v>
      </c>
      <c r="M4571" t="s">
        <v>84</v>
      </c>
      <c r="N4571" s="1">
        <v>43237.645138888889</v>
      </c>
      <c r="O4571" t="s">
        <v>19</v>
      </c>
    </row>
    <row r="4572" spans="1:15" x14ac:dyDescent="0.25">
      <c r="A4572" t="s">
        <v>3836</v>
      </c>
      <c r="B4572" t="s">
        <v>15</v>
      </c>
      <c r="C4572" t="s">
        <v>27</v>
      </c>
      <c r="D4572" t="s">
        <v>17</v>
      </c>
      <c r="E4572" t="s">
        <v>18</v>
      </c>
      <c r="F4572" t="s">
        <v>19</v>
      </c>
      <c r="G4572" t="s">
        <v>20</v>
      </c>
      <c r="J4572" t="s">
        <v>17</v>
      </c>
      <c r="K4572" t="str">
        <f>"763905303"</f>
        <v>763905303</v>
      </c>
      <c r="L4572" t="str">
        <f>"763905303"</f>
        <v>763905303</v>
      </c>
      <c r="M4572" t="s">
        <v>84</v>
      </c>
      <c r="N4572" s="1">
        <v>43251.739583333336</v>
      </c>
      <c r="O4572" t="s">
        <v>19</v>
      </c>
    </row>
    <row r="4573" spans="1:15" x14ac:dyDescent="0.25">
      <c r="A4573" t="s">
        <v>3836</v>
      </c>
      <c r="B4573" t="s">
        <v>15</v>
      </c>
      <c r="C4573" t="s">
        <v>27</v>
      </c>
      <c r="D4573" t="s">
        <v>17</v>
      </c>
      <c r="E4573" t="s">
        <v>18</v>
      </c>
      <c r="F4573" t="s">
        <v>19</v>
      </c>
      <c r="G4573" t="s">
        <v>20</v>
      </c>
      <c r="J4573" t="s">
        <v>17</v>
      </c>
      <c r="K4573" t="str">
        <f>"766105303"</f>
        <v>766105303</v>
      </c>
      <c r="L4573" t="str">
        <f>"766105303"</f>
        <v>766105303</v>
      </c>
      <c r="M4573" t="s">
        <v>84</v>
      </c>
      <c r="N4573" s="1">
        <v>43272.79583333333</v>
      </c>
      <c r="O4573" t="s">
        <v>19</v>
      </c>
    </row>
    <row r="4574" spans="1:15" x14ac:dyDescent="0.25">
      <c r="A4574" t="s">
        <v>3836</v>
      </c>
      <c r="B4574" t="s">
        <v>15</v>
      </c>
      <c r="C4574" t="s">
        <v>27</v>
      </c>
      <c r="D4574" t="s">
        <v>17</v>
      </c>
      <c r="E4574" t="s">
        <v>18</v>
      </c>
      <c r="F4574" t="s">
        <v>19</v>
      </c>
      <c r="G4574" t="s">
        <v>20</v>
      </c>
      <c r="J4574" t="s">
        <v>17</v>
      </c>
      <c r="K4574" t="str">
        <f>"766205303"</f>
        <v>766205303</v>
      </c>
      <c r="L4574" t="str">
        <f>"766205303"</f>
        <v>766205303</v>
      </c>
      <c r="M4574" t="s">
        <v>84</v>
      </c>
      <c r="N4574" s="1">
        <v>43272.799305555556</v>
      </c>
      <c r="O4574" t="s">
        <v>19</v>
      </c>
    </row>
    <row r="4575" spans="1:15" x14ac:dyDescent="0.25">
      <c r="A4575" t="s">
        <v>3836</v>
      </c>
      <c r="B4575" t="s">
        <v>15</v>
      </c>
      <c r="C4575" t="s">
        <v>27</v>
      </c>
      <c r="D4575" t="s">
        <v>17</v>
      </c>
      <c r="E4575" t="s">
        <v>18</v>
      </c>
      <c r="F4575" t="s">
        <v>19</v>
      </c>
      <c r="G4575" t="s">
        <v>20</v>
      </c>
      <c r="J4575" t="s">
        <v>17</v>
      </c>
      <c r="K4575" t="str">
        <f>"345105303"</f>
        <v>345105303</v>
      </c>
      <c r="L4575" t="str">
        <f>"345105303"</f>
        <v>345105303</v>
      </c>
      <c r="M4575" t="s">
        <v>84</v>
      </c>
      <c r="N4575" s="1">
        <v>43285.643055555556</v>
      </c>
      <c r="O4575" t="s">
        <v>19</v>
      </c>
    </row>
    <row r="4576" spans="1:15" x14ac:dyDescent="0.25">
      <c r="A4576" t="s">
        <v>3836</v>
      </c>
      <c r="B4576" t="s">
        <v>15</v>
      </c>
      <c r="C4576" t="s">
        <v>27</v>
      </c>
      <c r="D4576" t="s">
        <v>17</v>
      </c>
      <c r="E4576" t="s">
        <v>18</v>
      </c>
      <c r="F4576" t="s">
        <v>19</v>
      </c>
      <c r="G4576" t="s">
        <v>20</v>
      </c>
      <c r="J4576" t="s">
        <v>17</v>
      </c>
      <c r="K4576" t="str">
        <f>"344805303"</f>
        <v>344805303</v>
      </c>
      <c r="L4576" t="str">
        <f>"344805303"</f>
        <v>344805303</v>
      </c>
      <c r="M4576" t="s">
        <v>84</v>
      </c>
      <c r="N4576" s="1">
        <v>43306.720833333333</v>
      </c>
      <c r="O4576" t="s">
        <v>19</v>
      </c>
    </row>
    <row r="4577" spans="1:15" x14ac:dyDescent="0.25">
      <c r="A4577" t="s">
        <v>3836</v>
      </c>
      <c r="B4577" t="s">
        <v>15</v>
      </c>
      <c r="C4577" t="s">
        <v>27</v>
      </c>
      <c r="D4577" t="s">
        <v>17</v>
      </c>
      <c r="E4577" t="s">
        <v>18</v>
      </c>
      <c r="F4577" t="s">
        <v>19</v>
      </c>
      <c r="G4577" t="s">
        <v>20</v>
      </c>
      <c r="J4577" t="s">
        <v>17</v>
      </c>
      <c r="K4577" t="str">
        <f>"764705303"</f>
        <v>764705303</v>
      </c>
      <c r="L4577" t="str">
        <f>"764705303"</f>
        <v>764705303</v>
      </c>
      <c r="M4577" t="s">
        <v>84</v>
      </c>
      <c r="N4577" s="1">
        <v>43306.915277777778</v>
      </c>
      <c r="O4577" t="s">
        <v>19</v>
      </c>
    </row>
    <row r="4578" spans="1:15" x14ac:dyDescent="0.25">
      <c r="A4578" t="s">
        <v>3836</v>
      </c>
      <c r="B4578" t="s">
        <v>15</v>
      </c>
      <c r="C4578" t="s">
        <v>27</v>
      </c>
      <c r="D4578" t="s">
        <v>17</v>
      </c>
      <c r="E4578" t="s">
        <v>18</v>
      </c>
      <c r="F4578" t="s">
        <v>19</v>
      </c>
      <c r="G4578" t="s">
        <v>20</v>
      </c>
      <c r="J4578" t="s">
        <v>17</v>
      </c>
      <c r="K4578" t="str">
        <f>"769905303"</f>
        <v>769905303</v>
      </c>
      <c r="L4578" t="str">
        <f>"769905303"</f>
        <v>769905303</v>
      </c>
      <c r="M4578" t="s">
        <v>84</v>
      </c>
      <c r="N4578" s="1">
        <v>43306.916666666664</v>
      </c>
      <c r="O4578" t="s">
        <v>19</v>
      </c>
    </row>
    <row r="4579" spans="1:15" x14ac:dyDescent="0.25">
      <c r="A4579" t="s">
        <v>3836</v>
      </c>
      <c r="B4579" t="s">
        <v>15</v>
      </c>
      <c r="C4579" t="s">
        <v>27</v>
      </c>
      <c r="D4579" t="s">
        <v>17</v>
      </c>
      <c r="E4579" t="s">
        <v>18</v>
      </c>
      <c r="F4579" t="s">
        <v>19</v>
      </c>
      <c r="G4579" t="s">
        <v>20</v>
      </c>
      <c r="J4579" t="s">
        <v>17</v>
      </c>
      <c r="K4579" t="str">
        <f>"415105303"</f>
        <v>415105303</v>
      </c>
      <c r="L4579" t="str">
        <f>"415105303"</f>
        <v>415105303</v>
      </c>
      <c r="M4579" t="s">
        <v>84</v>
      </c>
      <c r="N4579" s="1">
        <v>43328.586805555555</v>
      </c>
      <c r="O4579" t="s">
        <v>19</v>
      </c>
    </row>
    <row r="4580" spans="1:15" x14ac:dyDescent="0.25">
      <c r="A4580" t="s">
        <v>3836</v>
      </c>
      <c r="B4580" t="s">
        <v>15</v>
      </c>
      <c r="C4580" t="s">
        <v>27</v>
      </c>
      <c r="D4580" t="s">
        <v>17</v>
      </c>
      <c r="E4580" t="s">
        <v>18</v>
      </c>
      <c r="F4580" t="s">
        <v>19</v>
      </c>
      <c r="G4580" t="s">
        <v>20</v>
      </c>
      <c r="J4580" t="s">
        <v>17</v>
      </c>
      <c r="K4580" t="str">
        <f>"695105303"</f>
        <v>695105303</v>
      </c>
      <c r="L4580" t="str">
        <f>"695105303"</f>
        <v>695105303</v>
      </c>
      <c r="M4580" t="s">
        <v>84</v>
      </c>
      <c r="N4580" s="1">
        <v>43328.84097222222</v>
      </c>
      <c r="O4580" t="s">
        <v>19</v>
      </c>
    </row>
    <row r="4581" spans="1:15" x14ac:dyDescent="0.25">
      <c r="A4581" t="s">
        <v>3836</v>
      </c>
      <c r="B4581" t="s">
        <v>15</v>
      </c>
      <c r="C4581" t="s">
        <v>27</v>
      </c>
      <c r="D4581" t="s">
        <v>17</v>
      </c>
      <c r="E4581" t="s">
        <v>18</v>
      </c>
      <c r="F4581" t="s">
        <v>19</v>
      </c>
      <c r="G4581" t="s">
        <v>20</v>
      </c>
      <c r="J4581" t="s">
        <v>17</v>
      </c>
      <c r="K4581" t="str">
        <f>"767705303"</f>
        <v>767705303</v>
      </c>
      <c r="L4581" t="str">
        <f>"767705303"</f>
        <v>767705303</v>
      </c>
      <c r="M4581" t="s">
        <v>84</v>
      </c>
      <c r="N4581" s="1">
        <v>43332.584027777775</v>
      </c>
      <c r="O4581" t="s">
        <v>19</v>
      </c>
    </row>
    <row r="4582" spans="1:15" x14ac:dyDescent="0.25">
      <c r="A4582" t="s">
        <v>3836</v>
      </c>
      <c r="B4582" t="s">
        <v>15</v>
      </c>
      <c r="C4582" t="s">
        <v>27</v>
      </c>
      <c r="D4582" t="s">
        <v>17</v>
      </c>
      <c r="E4582" t="s">
        <v>18</v>
      </c>
      <c r="F4582" t="s">
        <v>19</v>
      </c>
      <c r="G4582" t="s">
        <v>20</v>
      </c>
      <c r="J4582" t="s">
        <v>17</v>
      </c>
      <c r="K4582" t="str">
        <f>"765905303"</f>
        <v>765905303</v>
      </c>
      <c r="L4582" t="str">
        <f>"765905303"</f>
        <v>765905303</v>
      </c>
      <c r="M4582" t="s">
        <v>84</v>
      </c>
      <c r="N4582" s="1">
        <v>43335.709027777775</v>
      </c>
      <c r="O4582" t="s">
        <v>19</v>
      </c>
    </row>
    <row r="4583" spans="1:15" x14ac:dyDescent="0.25">
      <c r="A4583" t="s">
        <v>3836</v>
      </c>
      <c r="B4583" t="s">
        <v>15</v>
      </c>
      <c r="C4583" t="s">
        <v>27</v>
      </c>
      <c r="D4583" t="s">
        <v>17</v>
      </c>
      <c r="E4583" t="s">
        <v>18</v>
      </c>
      <c r="F4583" t="s">
        <v>19</v>
      </c>
      <c r="G4583" t="s">
        <v>20</v>
      </c>
      <c r="J4583" t="s">
        <v>17</v>
      </c>
      <c r="K4583" t="str">
        <f>"349905303"</f>
        <v>349905303</v>
      </c>
      <c r="L4583" t="str">
        <f>"349905303"</f>
        <v>349905303</v>
      </c>
      <c r="M4583" t="s">
        <v>84</v>
      </c>
      <c r="N4583" s="1">
        <v>43370.875</v>
      </c>
      <c r="O4583" t="s">
        <v>19</v>
      </c>
    </row>
    <row r="4584" spans="1:15" x14ac:dyDescent="0.25">
      <c r="A4584" t="s">
        <v>3836</v>
      </c>
      <c r="B4584" t="s">
        <v>15</v>
      </c>
      <c r="C4584" t="s">
        <v>27</v>
      </c>
      <c r="D4584" t="s">
        <v>17</v>
      </c>
      <c r="E4584" t="s">
        <v>18</v>
      </c>
      <c r="F4584" t="s">
        <v>19</v>
      </c>
      <c r="G4584" t="s">
        <v>20</v>
      </c>
      <c r="J4584" t="s">
        <v>17</v>
      </c>
      <c r="K4584" t="str">
        <f>"685105303"</f>
        <v>685105303</v>
      </c>
      <c r="L4584" t="str">
        <f>"685105303"</f>
        <v>685105303</v>
      </c>
      <c r="M4584" t="s">
        <v>84</v>
      </c>
      <c r="N4584" s="1">
        <v>43420.640277777777</v>
      </c>
      <c r="O4584" t="s">
        <v>19</v>
      </c>
    </row>
    <row r="4585" spans="1:15" x14ac:dyDescent="0.25">
      <c r="A4585" t="s">
        <v>3836</v>
      </c>
      <c r="B4585" t="s">
        <v>15</v>
      </c>
      <c r="C4585" t="s">
        <v>27</v>
      </c>
      <c r="D4585" t="s">
        <v>17</v>
      </c>
      <c r="E4585" t="s">
        <v>18</v>
      </c>
      <c r="F4585" t="s">
        <v>19</v>
      </c>
      <c r="G4585" t="s">
        <v>20</v>
      </c>
      <c r="J4585" t="s">
        <v>17</v>
      </c>
      <c r="K4585" t="str">
        <f>"2018110300116"</f>
        <v>2018110300116</v>
      </c>
      <c r="L4585" t="str">
        <f>"184805303"</f>
        <v>184805303</v>
      </c>
      <c r="M4585" t="s">
        <v>84</v>
      </c>
      <c r="N4585" s="1">
        <v>43454.64166666667</v>
      </c>
      <c r="O4585" t="s">
        <v>19</v>
      </c>
    </row>
    <row r="4586" spans="1:15" x14ac:dyDescent="0.25">
      <c r="A4586" t="s">
        <v>3836</v>
      </c>
      <c r="B4586" t="s">
        <v>15</v>
      </c>
      <c r="C4586" t="s">
        <v>27</v>
      </c>
      <c r="D4586" t="s">
        <v>17</v>
      </c>
      <c r="E4586" t="s">
        <v>18</v>
      </c>
      <c r="F4586" t="s">
        <v>19</v>
      </c>
      <c r="G4586" t="s">
        <v>20</v>
      </c>
      <c r="J4586" t="s">
        <v>17</v>
      </c>
      <c r="K4586" t="str">
        <f>"2018110200102"</f>
        <v>2018110200102</v>
      </c>
      <c r="L4586" t="str">
        <f>"185105303"</f>
        <v>185105303</v>
      </c>
      <c r="M4586" t="s">
        <v>84</v>
      </c>
      <c r="N4586" s="1">
        <v>43454.642361111109</v>
      </c>
      <c r="O4586" t="s">
        <v>19</v>
      </c>
    </row>
    <row r="4587" spans="1:15" x14ac:dyDescent="0.25">
      <c r="A4587" t="s">
        <v>3836</v>
      </c>
      <c r="B4587" t="s">
        <v>15</v>
      </c>
      <c r="C4587" t="s">
        <v>27</v>
      </c>
      <c r="D4587" t="s">
        <v>17</v>
      </c>
      <c r="E4587" t="s">
        <v>18</v>
      </c>
      <c r="F4587" t="s">
        <v>19</v>
      </c>
      <c r="G4587" t="s">
        <v>20</v>
      </c>
      <c r="J4587" t="s">
        <v>17</v>
      </c>
      <c r="K4587" t="str">
        <f>"185905303"</f>
        <v>185905303</v>
      </c>
      <c r="L4587" t="str">
        <f>"185905303"</f>
        <v>185905303</v>
      </c>
      <c r="M4587" t="s">
        <v>84</v>
      </c>
      <c r="N4587" s="1">
        <v>43454.643750000003</v>
      </c>
      <c r="O4587" t="s">
        <v>19</v>
      </c>
    </row>
    <row r="4588" spans="1:15" x14ac:dyDescent="0.25">
      <c r="A4588" t="s">
        <v>3836</v>
      </c>
      <c r="B4588" t="s">
        <v>15</v>
      </c>
      <c r="C4588" t="s">
        <v>27</v>
      </c>
      <c r="D4588" t="s">
        <v>17</v>
      </c>
      <c r="E4588" t="s">
        <v>18</v>
      </c>
      <c r="F4588" t="s">
        <v>19</v>
      </c>
      <c r="G4588" t="s">
        <v>20</v>
      </c>
      <c r="J4588" t="s">
        <v>17</v>
      </c>
      <c r="K4588" t="str">
        <f>"675105303"</f>
        <v>675105303</v>
      </c>
      <c r="L4588" t="str">
        <f>"675105303"</f>
        <v>675105303</v>
      </c>
      <c r="M4588" t="s">
        <v>84</v>
      </c>
      <c r="N4588" s="1">
        <v>43502.655555555553</v>
      </c>
      <c r="O4588" t="s">
        <v>19</v>
      </c>
    </row>
    <row r="4589" spans="1:15" x14ac:dyDescent="0.25">
      <c r="A4589" t="s">
        <v>3836</v>
      </c>
      <c r="B4589" t="s">
        <v>15</v>
      </c>
      <c r="C4589" t="s">
        <v>27</v>
      </c>
      <c r="D4589" t="s">
        <v>17</v>
      </c>
      <c r="E4589" t="s">
        <v>18</v>
      </c>
      <c r="F4589" t="s">
        <v>19</v>
      </c>
      <c r="G4589" t="s">
        <v>20</v>
      </c>
      <c r="J4589" t="s">
        <v>17</v>
      </c>
      <c r="K4589" t="str">
        <f>"674805303"</f>
        <v>674805303</v>
      </c>
      <c r="L4589" t="str">
        <f>"674805303"</f>
        <v>674805303</v>
      </c>
      <c r="M4589" t="s">
        <v>84</v>
      </c>
      <c r="N4589" s="1">
        <v>43502.65625</v>
      </c>
      <c r="O4589" t="s">
        <v>19</v>
      </c>
    </row>
    <row r="4590" spans="1:15" x14ac:dyDescent="0.25">
      <c r="A4590" t="s">
        <v>3836</v>
      </c>
      <c r="B4590" t="s">
        <v>15</v>
      </c>
      <c r="C4590" t="s">
        <v>27</v>
      </c>
      <c r="D4590" t="s">
        <v>17</v>
      </c>
      <c r="E4590" t="s">
        <v>18</v>
      </c>
      <c r="F4590" t="s">
        <v>19</v>
      </c>
      <c r="G4590" t="s">
        <v>20</v>
      </c>
      <c r="J4590" t="s">
        <v>17</v>
      </c>
      <c r="K4590" t="str">
        <f>"768905303"</f>
        <v>768905303</v>
      </c>
      <c r="L4590" t="str">
        <f>"768905303"</f>
        <v>768905303</v>
      </c>
      <c r="M4590" t="s">
        <v>84</v>
      </c>
      <c r="N4590" s="1">
        <v>43528.665277777778</v>
      </c>
      <c r="O4590" t="s">
        <v>19</v>
      </c>
    </row>
    <row r="4591" spans="1:15" x14ac:dyDescent="0.25">
      <c r="A4591" t="s">
        <v>3836</v>
      </c>
      <c r="B4591" t="s">
        <v>15</v>
      </c>
      <c r="C4591" t="s">
        <v>27</v>
      </c>
      <c r="D4591" t="s">
        <v>17</v>
      </c>
      <c r="E4591" t="s">
        <v>18</v>
      </c>
      <c r="F4591" t="s">
        <v>19</v>
      </c>
      <c r="G4591" t="s">
        <v>20</v>
      </c>
      <c r="J4591" t="s">
        <v>17</v>
      </c>
      <c r="K4591" t="str">
        <f>"684805303"</f>
        <v>684805303</v>
      </c>
      <c r="L4591" t="str">
        <f>"684805303"</f>
        <v>684805303</v>
      </c>
      <c r="M4591" t="s">
        <v>84</v>
      </c>
      <c r="N4591" s="1">
        <v>43545.770138888889</v>
      </c>
      <c r="O4591" t="s">
        <v>19</v>
      </c>
    </row>
    <row r="4592" spans="1:15" x14ac:dyDescent="0.25">
      <c r="A4592" t="s">
        <v>3836</v>
      </c>
      <c r="B4592" t="s">
        <v>15</v>
      </c>
      <c r="C4592" t="s">
        <v>27</v>
      </c>
      <c r="D4592" t="s">
        <v>17</v>
      </c>
      <c r="E4592" t="s">
        <v>18</v>
      </c>
      <c r="F4592" t="s">
        <v>19</v>
      </c>
      <c r="G4592" t="s">
        <v>20</v>
      </c>
      <c r="J4592" t="s">
        <v>17</v>
      </c>
      <c r="K4592" t="str">
        <f>"687905303"</f>
        <v>687905303</v>
      </c>
      <c r="L4592" t="str">
        <f>"687905303"</f>
        <v>687905303</v>
      </c>
      <c r="M4592" t="s">
        <v>84</v>
      </c>
      <c r="N4592" s="1">
        <v>43545.786805555559</v>
      </c>
      <c r="O4592" t="s">
        <v>19</v>
      </c>
    </row>
    <row r="4593" spans="1:15" x14ac:dyDescent="0.25">
      <c r="A4593" t="s">
        <v>3836</v>
      </c>
      <c r="B4593" t="s">
        <v>15</v>
      </c>
      <c r="C4593" t="s">
        <v>27</v>
      </c>
      <c r="D4593" t="s">
        <v>17</v>
      </c>
      <c r="E4593" t="s">
        <v>18</v>
      </c>
      <c r="F4593" t="s">
        <v>19</v>
      </c>
      <c r="G4593" t="s">
        <v>20</v>
      </c>
      <c r="J4593" t="s">
        <v>17</v>
      </c>
      <c r="K4593" t="str">
        <f>"404805303"</f>
        <v>404805303</v>
      </c>
      <c r="L4593" t="str">
        <f>"404805303"</f>
        <v>404805303</v>
      </c>
      <c r="M4593" t="s">
        <v>84</v>
      </c>
      <c r="N4593" s="1">
        <v>43549.601388888892</v>
      </c>
      <c r="O4593" t="s">
        <v>19</v>
      </c>
    </row>
    <row r="4594" spans="1:15" x14ac:dyDescent="0.25">
      <c r="A4594" t="s">
        <v>3836</v>
      </c>
      <c r="B4594" t="s">
        <v>15</v>
      </c>
      <c r="C4594" t="s">
        <v>27</v>
      </c>
      <c r="D4594" t="s">
        <v>17</v>
      </c>
      <c r="E4594" t="s">
        <v>18</v>
      </c>
      <c r="F4594" t="s">
        <v>19</v>
      </c>
      <c r="G4594" t="s">
        <v>20</v>
      </c>
      <c r="J4594" t="s">
        <v>17</v>
      </c>
      <c r="K4594" t="str">
        <f>"2019030102262"</f>
        <v>2019030102262</v>
      </c>
      <c r="L4594" t="str">
        <f>"186405303"</f>
        <v>186405303</v>
      </c>
      <c r="M4594" t="s">
        <v>21</v>
      </c>
      <c r="N4594" s="1">
        <v>43603.688888888886</v>
      </c>
      <c r="O4594" t="s">
        <v>19</v>
      </c>
    </row>
    <row r="4595" spans="1:15" x14ac:dyDescent="0.25">
      <c r="A4595" t="s">
        <v>3837</v>
      </c>
      <c r="B4595" t="s">
        <v>15</v>
      </c>
      <c r="C4595" t="s">
        <v>27</v>
      </c>
      <c r="D4595" t="s">
        <v>17</v>
      </c>
      <c r="E4595" t="s">
        <v>18</v>
      </c>
      <c r="F4595" t="s">
        <v>19</v>
      </c>
      <c r="G4595" t="s">
        <v>20</v>
      </c>
      <c r="J4595" t="s">
        <v>17</v>
      </c>
      <c r="K4595" t="str">
        <f>"765105305"</f>
        <v>765105305</v>
      </c>
      <c r="L4595" t="str">
        <f>"765105305"</f>
        <v>765105305</v>
      </c>
      <c r="M4595" t="s">
        <v>75</v>
      </c>
      <c r="N4595" s="1">
        <v>43236.895138888889</v>
      </c>
      <c r="O4595" t="s">
        <v>19</v>
      </c>
    </row>
    <row r="4596" spans="1:15" x14ac:dyDescent="0.25">
      <c r="A4596" t="s">
        <v>3837</v>
      </c>
      <c r="B4596" t="s">
        <v>15</v>
      </c>
      <c r="C4596" t="s">
        <v>27</v>
      </c>
      <c r="D4596" t="s">
        <v>17</v>
      </c>
      <c r="E4596" t="s">
        <v>18</v>
      </c>
      <c r="F4596" t="s">
        <v>19</v>
      </c>
      <c r="G4596" t="s">
        <v>20</v>
      </c>
      <c r="J4596" t="s">
        <v>17</v>
      </c>
      <c r="K4596" t="str">
        <f>"763905305"</f>
        <v>763905305</v>
      </c>
      <c r="L4596" t="str">
        <f>"763905305"</f>
        <v>763905305</v>
      </c>
      <c r="M4596" t="s">
        <v>84</v>
      </c>
      <c r="N4596" s="1">
        <v>43251.740277777775</v>
      </c>
      <c r="O4596" t="s">
        <v>19</v>
      </c>
    </row>
    <row r="4597" spans="1:15" x14ac:dyDescent="0.25">
      <c r="A4597" t="s">
        <v>3838</v>
      </c>
      <c r="B4597" t="s">
        <v>15</v>
      </c>
      <c r="C4597" t="s">
        <v>27</v>
      </c>
      <c r="D4597" t="s">
        <v>17</v>
      </c>
      <c r="E4597" t="s">
        <v>18</v>
      </c>
      <c r="F4597" t="s">
        <v>19</v>
      </c>
      <c r="G4597" t="s">
        <v>20</v>
      </c>
      <c r="J4597" t="s">
        <v>17</v>
      </c>
      <c r="K4597" t="str">
        <f>"766205314"</f>
        <v>766205314</v>
      </c>
      <c r="L4597" t="str">
        <f>"766205314"</f>
        <v>766205314</v>
      </c>
      <c r="M4597" t="s">
        <v>21</v>
      </c>
      <c r="N4597" s="1">
        <v>42872.849305555559</v>
      </c>
      <c r="O4597" t="s">
        <v>19</v>
      </c>
    </row>
    <row r="4598" spans="1:15" x14ac:dyDescent="0.25">
      <c r="A4598" t="s">
        <v>3838</v>
      </c>
      <c r="B4598" t="s">
        <v>15</v>
      </c>
      <c r="C4598" t="s">
        <v>27</v>
      </c>
      <c r="D4598" t="s">
        <v>17</v>
      </c>
      <c r="E4598" t="s">
        <v>18</v>
      </c>
      <c r="F4598" t="s">
        <v>19</v>
      </c>
      <c r="G4598" t="s">
        <v>20</v>
      </c>
      <c r="J4598" t="s">
        <v>17</v>
      </c>
      <c r="K4598" t="str">
        <f>"764805314"</f>
        <v>764805314</v>
      </c>
      <c r="L4598" t="str">
        <f>"764805314"</f>
        <v>764805314</v>
      </c>
      <c r="M4598" t="s">
        <v>21</v>
      </c>
      <c r="N4598" s="1">
        <v>43588.677777777775</v>
      </c>
      <c r="O4598" t="s">
        <v>19</v>
      </c>
    </row>
    <row r="4599" spans="1:15" x14ac:dyDescent="0.25">
      <c r="A4599" t="s">
        <v>3838</v>
      </c>
      <c r="B4599" t="s">
        <v>15</v>
      </c>
      <c r="C4599" t="s">
        <v>27</v>
      </c>
      <c r="D4599" t="s">
        <v>17</v>
      </c>
      <c r="E4599" t="s">
        <v>18</v>
      </c>
      <c r="F4599" t="s">
        <v>19</v>
      </c>
      <c r="G4599" t="s">
        <v>20</v>
      </c>
      <c r="J4599" t="s">
        <v>17</v>
      </c>
      <c r="K4599" t="str">
        <f>"2019030102347"</f>
        <v>2019030102347</v>
      </c>
      <c r="L4599" t="str">
        <f>"186405314"</f>
        <v>186405314</v>
      </c>
      <c r="M4599" t="s">
        <v>21</v>
      </c>
      <c r="N4599" s="1">
        <v>43603.691666666666</v>
      </c>
      <c r="O4599" t="s">
        <v>19</v>
      </c>
    </row>
    <row r="4600" spans="1:15" x14ac:dyDescent="0.25">
      <c r="A4600" t="s">
        <v>3839</v>
      </c>
      <c r="B4600" t="s">
        <v>15</v>
      </c>
      <c r="C4600" t="s">
        <v>27</v>
      </c>
      <c r="D4600" t="s">
        <v>17</v>
      </c>
      <c r="E4600" t="s">
        <v>18</v>
      </c>
      <c r="F4600" t="s">
        <v>19</v>
      </c>
      <c r="G4600" t="s">
        <v>20</v>
      </c>
      <c r="J4600" t="s">
        <v>17</v>
      </c>
      <c r="K4600" t="str">
        <f>"764805316"</f>
        <v>764805316</v>
      </c>
      <c r="L4600" t="str">
        <f>"764805316"</f>
        <v>764805316</v>
      </c>
      <c r="M4600" t="s">
        <v>84</v>
      </c>
      <c r="N4600" s="1">
        <v>43567.954861111109</v>
      </c>
      <c r="O4600" t="s">
        <v>19</v>
      </c>
    </row>
    <row r="4601" spans="1:15" x14ac:dyDescent="0.25">
      <c r="A4601" t="s">
        <v>3839</v>
      </c>
      <c r="B4601" t="s">
        <v>15</v>
      </c>
      <c r="C4601" t="s">
        <v>27</v>
      </c>
      <c r="D4601" t="s">
        <v>17</v>
      </c>
      <c r="E4601" t="s">
        <v>18</v>
      </c>
      <c r="F4601" t="s">
        <v>19</v>
      </c>
      <c r="G4601" t="s">
        <v>20</v>
      </c>
      <c r="J4601" t="s">
        <v>17</v>
      </c>
      <c r="K4601" t="str">
        <f>"2019030400245"</f>
        <v>2019030400245</v>
      </c>
      <c r="L4601" t="str">
        <f>"187505316"</f>
        <v>187505316</v>
      </c>
      <c r="M4601" t="s">
        <v>21</v>
      </c>
      <c r="N4601" s="1">
        <v>43603.664583333331</v>
      </c>
      <c r="O4601" t="s">
        <v>19</v>
      </c>
    </row>
    <row r="4602" spans="1:15" x14ac:dyDescent="0.25">
      <c r="A4602" t="s">
        <v>3839</v>
      </c>
      <c r="B4602" t="s">
        <v>15</v>
      </c>
      <c r="C4602" t="s">
        <v>27</v>
      </c>
      <c r="D4602" t="s">
        <v>17</v>
      </c>
      <c r="E4602" t="s">
        <v>18</v>
      </c>
      <c r="F4602" t="s">
        <v>19</v>
      </c>
      <c r="G4602" t="s">
        <v>20</v>
      </c>
      <c r="J4602" t="s">
        <v>17</v>
      </c>
      <c r="K4602" t="str">
        <f>"797905316"</f>
        <v>797905316</v>
      </c>
      <c r="L4602" t="str">
        <f>"797905316"</f>
        <v>797905316</v>
      </c>
      <c r="M4602" t="s">
        <v>21</v>
      </c>
      <c r="N4602" s="1">
        <v>43603.677777777775</v>
      </c>
      <c r="O4602" t="s">
        <v>19</v>
      </c>
    </row>
    <row r="4603" spans="1:15" x14ac:dyDescent="0.25">
      <c r="A4603" t="s">
        <v>3839</v>
      </c>
      <c r="B4603" t="s">
        <v>15</v>
      </c>
      <c r="C4603" t="s">
        <v>27</v>
      </c>
      <c r="D4603" t="s">
        <v>17</v>
      </c>
      <c r="E4603" t="s">
        <v>18</v>
      </c>
      <c r="F4603" t="s">
        <v>19</v>
      </c>
      <c r="G4603" t="s">
        <v>20</v>
      </c>
      <c r="J4603" t="s">
        <v>17</v>
      </c>
      <c r="K4603" t="str">
        <f>"347705316"</f>
        <v>347705316</v>
      </c>
      <c r="L4603" t="str">
        <f>"347705316"</f>
        <v>347705316</v>
      </c>
      <c r="M4603" t="s">
        <v>21</v>
      </c>
      <c r="N4603" s="1">
        <v>43668.716666666667</v>
      </c>
      <c r="O4603" t="s">
        <v>19</v>
      </c>
    </row>
    <row r="4604" spans="1:15" x14ac:dyDescent="0.25">
      <c r="A4604" t="s">
        <v>3839</v>
      </c>
      <c r="B4604" t="s">
        <v>15</v>
      </c>
      <c r="C4604" t="s">
        <v>27</v>
      </c>
      <c r="D4604" t="s">
        <v>17</v>
      </c>
      <c r="E4604" t="s">
        <v>18</v>
      </c>
      <c r="F4604" t="s">
        <v>19</v>
      </c>
      <c r="G4604" t="s">
        <v>20</v>
      </c>
      <c r="J4604" t="s">
        <v>17</v>
      </c>
      <c r="K4604" t="str">
        <f>"765105316"</f>
        <v>765105316</v>
      </c>
      <c r="L4604" t="str">
        <f>"765105316"</f>
        <v>765105316</v>
      </c>
      <c r="M4604" t="s">
        <v>21</v>
      </c>
      <c r="N4604" s="1">
        <v>43819.665277777778</v>
      </c>
      <c r="O4604" t="s">
        <v>19</v>
      </c>
    </row>
    <row r="4605" spans="1:15" x14ac:dyDescent="0.25">
      <c r="A4605" t="s">
        <v>3839</v>
      </c>
      <c r="B4605" t="s">
        <v>15</v>
      </c>
      <c r="C4605" t="s">
        <v>27</v>
      </c>
      <c r="D4605" t="s">
        <v>17</v>
      </c>
      <c r="E4605" t="s">
        <v>18</v>
      </c>
      <c r="F4605" t="s">
        <v>19</v>
      </c>
      <c r="G4605" t="s">
        <v>20</v>
      </c>
      <c r="J4605" t="s">
        <v>17</v>
      </c>
      <c r="K4605" t="str">
        <f>"1000001025247"</f>
        <v>1000001025247</v>
      </c>
      <c r="L4605" t="str">
        <f>"764805347"</f>
        <v>764805347</v>
      </c>
      <c r="M4605" t="s">
        <v>21</v>
      </c>
      <c r="N4605" s="1">
        <v>43833.931250000001</v>
      </c>
      <c r="O4605" t="s">
        <v>19</v>
      </c>
    </row>
    <row r="4606" spans="1:15" x14ac:dyDescent="0.25">
      <c r="A4606" t="s">
        <v>3839</v>
      </c>
      <c r="B4606" t="s">
        <v>15</v>
      </c>
      <c r="C4606" t="s">
        <v>27</v>
      </c>
      <c r="D4606" t="s">
        <v>17</v>
      </c>
      <c r="E4606" t="s">
        <v>18</v>
      </c>
      <c r="F4606" t="s">
        <v>19</v>
      </c>
      <c r="G4606" t="s">
        <v>20</v>
      </c>
      <c r="J4606" t="s">
        <v>17</v>
      </c>
      <c r="K4606" t="str">
        <f>"766205316"</f>
        <v>766205316</v>
      </c>
      <c r="L4606" t="str">
        <f>"766205316"</f>
        <v>766205316</v>
      </c>
      <c r="M4606" t="s">
        <v>21</v>
      </c>
      <c r="N4606" s="1">
        <v>44251.852083333331</v>
      </c>
      <c r="O4606" t="s">
        <v>19</v>
      </c>
    </row>
    <row r="4607" spans="1:15" x14ac:dyDescent="0.25">
      <c r="A4607" t="s">
        <v>3840</v>
      </c>
      <c r="B4607" t="s">
        <v>15</v>
      </c>
      <c r="C4607" t="s">
        <v>27</v>
      </c>
      <c r="D4607" t="s">
        <v>17</v>
      </c>
      <c r="E4607" t="s">
        <v>18</v>
      </c>
      <c r="F4607" t="s">
        <v>19</v>
      </c>
      <c r="G4607" t="s">
        <v>20</v>
      </c>
      <c r="J4607" t="s">
        <v>17</v>
      </c>
      <c r="K4607" t="str">
        <f>"764805318"</f>
        <v>764805318</v>
      </c>
      <c r="L4607" t="str">
        <f>"764805318"</f>
        <v>764805318</v>
      </c>
      <c r="M4607" t="s">
        <v>21</v>
      </c>
      <c r="N4607" s="1">
        <v>43588.675694444442</v>
      </c>
      <c r="O4607" t="s">
        <v>19</v>
      </c>
    </row>
    <row r="4608" spans="1:15" x14ac:dyDescent="0.25">
      <c r="A4608" t="s">
        <v>3840</v>
      </c>
      <c r="B4608" t="s">
        <v>15</v>
      </c>
      <c r="C4608" t="s">
        <v>27</v>
      </c>
      <c r="D4608" t="s">
        <v>17</v>
      </c>
      <c r="E4608" t="s">
        <v>18</v>
      </c>
      <c r="F4608" t="s">
        <v>19</v>
      </c>
      <c r="G4608" t="s">
        <v>20</v>
      </c>
      <c r="J4608" t="s">
        <v>17</v>
      </c>
      <c r="K4608" t="str">
        <f>"2019030400252"</f>
        <v>2019030400252</v>
      </c>
      <c r="L4608" t="str">
        <f>"187505318"</f>
        <v>187505318</v>
      </c>
      <c r="M4608" t="s">
        <v>21</v>
      </c>
      <c r="N4608" s="1">
        <v>43603.664583333331</v>
      </c>
      <c r="O4608" t="s">
        <v>19</v>
      </c>
    </row>
    <row r="4609" spans="1:15" x14ac:dyDescent="0.25">
      <c r="A4609" t="s">
        <v>3840</v>
      </c>
      <c r="B4609" t="s">
        <v>15</v>
      </c>
      <c r="C4609" t="s">
        <v>27</v>
      </c>
      <c r="D4609" t="s">
        <v>17</v>
      </c>
      <c r="E4609" t="s">
        <v>18</v>
      </c>
      <c r="F4609" t="s">
        <v>19</v>
      </c>
      <c r="G4609" t="s">
        <v>20</v>
      </c>
      <c r="J4609" t="s">
        <v>17</v>
      </c>
      <c r="K4609" t="str">
        <f>"766205318"</f>
        <v>766205318</v>
      </c>
      <c r="L4609" t="str">
        <f>"766205318"</f>
        <v>766205318</v>
      </c>
      <c r="M4609" t="s">
        <v>21</v>
      </c>
      <c r="N4609" s="1">
        <v>44251.853472222225</v>
      </c>
      <c r="O4609" t="s">
        <v>19</v>
      </c>
    </row>
    <row r="4610" spans="1:15" x14ac:dyDescent="0.25">
      <c r="A4610" t="s">
        <v>3841</v>
      </c>
      <c r="B4610" t="s">
        <v>15</v>
      </c>
      <c r="C4610" t="s">
        <v>27</v>
      </c>
      <c r="D4610" t="s">
        <v>17</v>
      </c>
      <c r="E4610" t="s">
        <v>18</v>
      </c>
      <c r="F4610" t="s">
        <v>19</v>
      </c>
      <c r="G4610" t="s">
        <v>20</v>
      </c>
      <c r="J4610" t="s">
        <v>17</v>
      </c>
      <c r="K4610" t="str">
        <f>"765105327"</f>
        <v>765105327</v>
      </c>
      <c r="L4610" t="str">
        <f>"765105327"</f>
        <v>765105327</v>
      </c>
      <c r="M4610" t="s">
        <v>21</v>
      </c>
      <c r="N4610" s="1">
        <v>43609.802083333336</v>
      </c>
      <c r="O4610" t="s">
        <v>19</v>
      </c>
    </row>
    <row r="4611" spans="1:15" x14ac:dyDescent="0.25">
      <c r="A4611" t="s">
        <v>3842</v>
      </c>
      <c r="B4611" t="s">
        <v>15</v>
      </c>
      <c r="C4611" t="s">
        <v>27</v>
      </c>
      <c r="D4611" t="s">
        <v>17</v>
      </c>
      <c r="E4611" t="s">
        <v>18</v>
      </c>
      <c r="F4611" t="s">
        <v>19</v>
      </c>
      <c r="G4611" t="s">
        <v>20</v>
      </c>
      <c r="J4611" t="s">
        <v>17</v>
      </c>
      <c r="K4611" t="str">
        <f>"765105328"</f>
        <v>765105328</v>
      </c>
      <c r="L4611" t="str">
        <f>"765105328"</f>
        <v>765105328</v>
      </c>
      <c r="M4611" t="s">
        <v>21</v>
      </c>
      <c r="N4611" s="1">
        <v>42872.849305555559</v>
      </c>
      <c r="O4611" t="s">
        <v>19</v>
      </c>
    </row>
    <row r="4612" spans="1:15" x14ac:dyDescent="0.25">
      <c r="A4612" t="s">
        <v>3842</v>
      </c>
      <c r="B4612" t="s">
        <v>15</v>
      </c>
      <c r="C4612" t="s">
        <v>27</v>
      </c>
      <c r="D4612" t="s">
        <v>17</v>
      </c>
      <c r="E4612" t="s">
        <v>18</v>
      </c>
      <c r="F4612" t="s">
        <v>19</v>
      </c>
      <c r="G4612" t="s">
        <v>20</v>
      </c>
      <c r="J4612" t="s">
        <v>17</v>
      </c>
      <c r="K4612" t="str">
        <f>"765114256"</f>
        <v>765114256</v>
      </c>
      <c r="L4612" t="str">
        <f>"765114256"</f>
        <v>765114256</v>
      </c>
      <c r="M4612" t="s">
        <v>84</v>
      </c>
      <c r="N4612" s="1">
        <v>43266.717361111114</v>
      </c>
      <c r="O4612" t="s">
        <v>19</v>
      </c>
    </row>
    <row r="4613" spans="1:15" x14ac:dyDescent="0.25">
      <c r="A4613" t="s">
        <v>3842</v>
      </c>
      <c r="B4613" t="s">
        <v>15</v>
      </c>
      <c r="C4613" t="s">
        <v>27</v>
      </c>
      <c r="D4613" t="s">
        <v>17</v>
      </c>
      <c r="E4613" t="s">
        <v>18</v>
      </c>
      <c r="F4613" t="s">
        <v>19</v>
      </c>
      <c r="G4613" t="s">
        <v>20</v>
      </c>
      <c r="J4613" t="s">
        <v>17</v>
      </c>
      <c r="K4613" t="str">
        <f>"1000001094991"</f>
        <v>1000001094991</v>
      </c>
      <c r="L4613" t="str">
        <f>"766114256"</f>
        <v>766114256</v>
      </c>
      <c r="M4613" t="s">
        <v>84</v>
      </c>
      <c r="N4613" s="1">
        <v>43272.802083333336</v>
      </c>
      <c r="O4613" t="s">
        <v>19</v>
      </c>
    </row>
    <row r="4614" spans="1:15" x14ac:dyDescent="0.25">
      <c r="A4614" t="s">
        <v>3842</v>
      </c>
      <c r="B4614" t="s">
        <v>15</v>
      </c>
      <c r="C4614" t="s">
        <v>27</v>
      </c>
      <c r="D4614" t="s">
        <v>17</v>
      </c>
      <c r="E4614" t="s">
        <v>18</v>
      </c>
      <c r="F4614" t="s">
        <v>19</v>
      </c>
      <c r="G4614" t="s">
        <v>20</v>
      </c>
      <c r="J4614" t="s">
        <v>17</v>
      </c>
      <c r="K4614" t="str">
        <f>"764814256"</f>
        <v>764814256</v>
      </c>
      <c r="L4614" t="str">
        <f>"764814256"</f>
        <v>764814256</v>
      </c>
      <c r="M4614" t="s">
        <v>84</v>
      </c>
      <c r="N4614" s="1">
        <v>43286.980555555558</v>
      </c>
      <c r="O4614" t="s">
        <v>19</v>
      </c>
    </row>
    <row r="4615" spans="1:15" x14ac:dyDescent="0.25">
      <c r="A4615" t="s">
        <v>3842</v>
      </c>
      <c r="B4615" t="s">
        <v>15</v>
      </c>
      <c r="C4615" t="s">
        <v>27</v>
      </c>
      <c r="D4615" t="s">
        <v>17</v>
      </c>
      <c r="E4615" t="s">
        <v>18</v>
      </c>
      <c r="F4615" t="s">
        <v>19</v>
      </c>
      <c r="G4615" t="s">
        <v>20</v>
      </c>
      <c r="J4615" t="s">
        <v>17</v>
      </c>
      <c r="K4615" t="str">
        <f>"1000001094342"</f>
        <v>1000001094342</v>
      </c>
      <c r="L4615" t="str">
        <f>"766514256"</f>
        <v>766514256</v>
      </c>
      <c r="M4615" t="s">
        <v>84</v>
      </c>
      <c r="N4615" s="1">
        <v>43320.949305555558</v>
      </c>
      <c r="O4615" t="s">
        <v>19</v>
      </c>
    </row>
    <row r="4616" spans="1:15" x14ac:dyDescent="0.25">
      <c r="A4616" t="s">
        <v>3842</v>
      </c>
      <c r="B4616" t="s">
        <v>15</v>
      </c>
      <c r="C4616" t="s">
        <v>27</v>
      </c>
      <c r="D4616" t="s">
        <v>17</v>
      </c>
      <c r="E4616" t="s">
        <v>18</v>
      </c>
      <c r="F4616" t="s">
        <v>19</v>
      </c>
      <c r="G4616" t="s">
        <v>20</v>
      </c>
      <c r="J4616" t="s">
        <v>17</v>
      </c>
      <c r="K4616" t="str">
        <f>"767714256"</f>
        <v>767714256</v>
      </c>
      <c r="L4616" t="str">
        <f>"767714256"</f>
        <v>767714256</v>
      </c>
      <c r="M4616" t="s">
        <v>84</v>
      </c>
      <c r="N4616" s="1">
        <v>43328.945138888892</v>
      </c>
      <c r="O4616" t="s">
        <v>19</v>
      </c>
    </row>
    <row r="4617" spans="1:15" x14ac:dyDescent="0.25">
      <c r="A4617" t="s">
        <v>3842</v>
      </c>
      <c r="B4617" t="s">
        <v>15</v>
      </c>
      <c r="C4617" t="s">
        <v>27</v>
      </c>
      <c r="D4617" t="s">
        <v>17</v>
      </c>
      <c r="E4617" t="s">
        <v>18</v>
      </c>
      <c r="F4617" t="s">
        <v>19</v>
      </c>
      <c r="G4617" t="s">
        <v>20</v>
      </c>
      <c r="J4617" t="s">
        <v>17</v>
      </c>
      <c r="K4617" t="str">
        <f>"764714256"</f>
        <v>764714256</v>
      </c>
      <c r="L4617" t="str">
        <f>"764714256"</f>
        <v>764714256</v>
      </c>
      <c r="M4617" t="s">
        <v>84</v>
      </c>
      <c r="N4617" s="1">
        <v>43335.708333333336</v>
      </c>
      <c r="O4617" t="s">
        <v>19</v>
      </c>
    </row>
    <row r="4618" spans="1:15" x14ac:dyDescent="0.25">
      <c r="A4618" t="s">
        <v>3842</v>
      </c>
      <c r="B4618" t="s">
        <v>15</v>
      </c>
      <c r="C4618" t="s">
        <v>27</v>
      </c>
      <c r="D4618" t="s">
        <v>17</v>
      </c>
      <c r="E4618" t="s">
        <v>18</v>
      </c>
      <c r="F4618" t="s">
        <v>19</v>
      </c>
      <c r="G4618" t="s">
        <v>20</v>
      </c>
      <c r="J4618" t="s">
        <v>17</v>
      </c>
      <c r="K4618" t="str">
        <f>"174814256"</f>
        <v>174814256</v>
      </c>
      <c r="L4618" t="str">
        <f>"174814256"</f>
        <v>174814256</v>
      </c>
      <c r="M4618" t="s">
        <v>84</v>
      </c>
      <c r="N4618" s="1">
        <v>43419.949305555558</v>
      </c>
      <c r="O4618" t="s">
        <v>19</v>
      </c>
    </row>
    <row r="4619" spans="1:15" x14ac:dyDescent="0.25">
      <c r="A4619" t="s">
        <v>3842</v>
      </c>
      <c r="B4619" t="s">
        <v>15</v>
      </c>
      <c r="C4619" t="s">
        <v>27</v>
      </c>
      <c r="D4619" t="s">
        <v>17</v>
      </c>
      <c r="E4619" t="s">
        <v>18</v>
      </c>
      <c r="F4619" t="s">
        <v>19</v>
      </c>
      <c r="G4619" t="s">
        <v>20</v>
      </c>
      <c r="J4619" t="s">
        <v>17</v>
      </c>
      <c r="K4619" t="str">
        <f>"768914256"</f>
        <v>768914256</v>
      </c>
      <c r="L4619" t="str">
        <f>"768914256"</f>
        <v>768914256</v>
      </c>
      <c r="M4619" t="s">
        <v>84</v>
      </c>
      <c r="N4619" s="1">
        <v>43528.661111111112</v>
      </c>
      <c r="O4619" t="s">
        <v>19</v>
      </c>
    </row>
    <row r="4620" spans="1:15" x14ac:dyDescent="0.25">
      <c r="A4620" t="s">
        <v>3842</v>
      </c>
      <c r="B4620" t="s">
        <v>15</v>
      </c>
      <c r="C4620" t="s">
        <v>27</v>
      </c>
      <c r="D4620" t="s">
        <v>17</v>
      </c>
      <c r="E4620" t="s">
        <v>18</v>
      </c>
      <c r="F4620" t="s">
        <v>19</v>
      </c>
      <c r="G4620" t="s">
        <v>20</v>
      </c>
      <c r="J4620" t="s">
        <v>17</v>
      </c>
      <c r="K4620" t="str">
        <f>"186414256"</f>
        <v>186414256</v>
      </c>
      <c r="L4620" t="str">
        <f>"186414256"</f>
        <v>186414256</v>
      </c>
      <c r="M4620" t="s">
        <v>21</v>
      </c>
      <c r="N4620" s="1">
        <v>43609.948611111111</v>
      </c>
      <c r="O4620" t="s">
        <v>19</v>
      </c>
    </row>
    <row r="4621" spans="1:15" x14ac:dyDescent="0.25">
      <c r="A4621" t="s">
        <v>3842</v>
      </c>
      <c r="B4621" t="s">
        <v>15</v>
      </c>
      <c r="C4621" t="s">
        <v>27</v>
      </c>
      <c r="D4621" t="s">
        <v>17</v>
      </c>
      <c r="E4621" t="s">
        <v>18</v>
      </c>
      <c r="F4621" t="s">
        <v>19</v>
      </c>
      <c r="G4621" t="s">
        <v>20</v>
      </c>
      <c r="J4621" t="s">
        <v>17</v>
      </c>
      <c r="K4621" t="str">
        <f>"2020060601175"</f>
        <v>2020060601175</v>
      </c>
      <c r="L4621" t="str">
        <f>"2020060401126"</f>
        <v>2020060401126</v>
      </c>
      <c r="M4621" t="s">
        <v>21</v>
      </c>
      <c r="N4621" s="1">
        <v>43609.952777777777</v>
      </c>
      <c r="O4621" t="s">
        <v>19</v>
      </c>
    </row>
    <row r="4622" spans="1:15" x14ac:dyDescent="0.25">
      <c r="A4622" t="s">
        <v>3842</v>
      </c>
      <c r="B4622" t="s">
        <v>15</v>
      </c>
      <c r="C4622" t="s">
        <v>27</v>
      </c>
      <c r="D4622" t="s">
        <v>17</v>
      </c>
      <c r="E4622" t="s">
        <v>18</v>
      </c>
      <c r="F4622" t="s">
        <v>19</v>
      </c>
      <c r="G4622" t="s">
        <v>20</v>
      </c>
      <c r="J4622" t="s">
        <v>17</v>
      </c>
      <c r="K4622" t="str">
        <f>"347714256"</f>
        <v>347714256</v>
      </c>
      <c r="L4622" t="str">
        <f>"347714256"</f>
        <v>347714256</v>
      </c>
      <c r="M4622" t="s">
        <v>21</v>
      </c>
      <c r="N4622" s="1">
        <v>43668.715277777781</v>
      </c>
      <c r="O4622" t="s">
        <v>19</v>
      </c>
    </row>
    <row r="4623" spans="1:15" x14ac:dyDescent="0.25">
      <c r="A4623" t="s">
        <v>3843</v>
      </c>
      <c r="B4623" t="s">
        <v>15</v>
      </c>
      <c r="C4623" t="s">
        <v>27</v>
      </c>
      <c r="D4623" t="s">
        <v>17</v>
      </c>
      <c r="E4623" t="s">
        <v>18</v>
      </c>
      <c r="F4623" t="s">
        <v>19</v>
      </c>
      <c r="G4623" t="s">
        <v>20</v>
      </c>
      <c r="J4623" t="s">
        <v>17</v>
      </c>
      <c r="K4623" t="str">
        <f>"17480598"</f>
        <v>17480598</v>
      </c>
      <c r="L4623" t="str">
        <f>"17480598"</f>
        <v>17480598</v>
      </c>
      <c r="M4623" t="s">
        <v>75</v>
      </c>
      <c r="N4623" s="1">
        <v>42872.839583333334</v>
      </c>
      <c r="O4623" t="s">
        <v>19</v>
      </c>
    </row>
    <row r="4624" spans="1:15" x14ac:dyDescent="0.25">
      <c r="A4624" t="s">
        <v>3843</v>
      </c>
      <c r="B4624" t="s">
        <v>15</v>
      </c>
      <c r="C4624" t="s">
        <v>27</v>
      </c>
      <c r="D4624" t="s">
        <v>17</v>
      </c>
      <c r="E4624" t="s">
        <v>18</v>
      </c>
      <c r="F4624" t="s">
        <v>19</v>
      </c>
      <c r="G4624" t="s">
        <v>20</v>
      </c>
      <c r="J4624" t="s">
        <v>17</v>
      </c>
      <c r="K4624" t="str">
        <f>"17580598"</f>
        <v>17580598</v>
      </c>
      <c r="L4624" t="str">
        <f>"17580598"</f>
        <v>17580598</v>
      </c>
      <c r="M4624" t="s">
        <v>75</v>
      </c>
      <c r="N4624" s="1">
        <v>42872.839583333334</v>
      </c>
      <c r="O4624" t="s">
        <v>19</v>
      </c>
    </row>
    <row r="4625" spans="1:15" x14ac:dyDescent="0.25">
      <c r="A4625" t="s">
        <v>3843</v>
      </c>
      <c r="B4625" t="s">
        <v>15</v>
      </c>
      <c r="C4625" t="s">
        <v>27</v>
      </c>
      <c r="D4625" t="s">
        <v>17</v>
      </c>
      <c r="E4625" t="s">
        <v>18</v>
      </c>
      <c r="F4625" t="s">
        <v>19</v>
      </c>
      <c r="G4625" t="s">
        <v>20</v>
      </c>
      <c r="J4625" t="s">
        <v>17</v>
      </c>
      <c r="K4625" t="str">
        <f>"76480598"</f>
        <v>76480598</v>
      </c>
      <c r="L4625" t="str">
        <f>"76480598"</f>
        <v>76480598</v>
      </c>
      <c r="M4625" t="s">
        <v>75</v>
      </c>
      <c r="N4625" s="1">
        <v>42872.847222222219</v>
      </c>
      <c r="O4625" t="s">
        <v>19</v>
      </c>
    </row>
    <row r="4626" spans="1:15" x14ac:dyDescent="0.25">
      <c r="A4626" t="s">
        <v>3844</v>
      </c>
      <c r="B4626" t="s">
        <v>15</v>
      </c>
      <c r="C4626" t="s">
        <v>27</v>
      </c>
      <c r="D4626" t="s">
        <v>17</v>
      </c>
      <c r="E4626" t="s">
        <v>18</v>
      </c>
      <c r="F4626" t="s">
        <v>19</v>
      </c>
      <c r="G4626" t="s">
        <v>20</v>
      </c>
      <c r="J4626" t="s">
        <v>17</v>
      </c>
      <c r="K4626" t="str">
        <f>"17480548"</f>
        <v>17480548</v>
      </c>
      <c r="L4626" t="str">
        <f>"17480548"</f>
        <v>17480548</v>
      </c>
      <c r="M4626" t="s">
        <v>75</v>
      </c>
      <c r="N4626" s="1">
        <v>42872.839583333334</v>
      </c>
      <c r="O4626" t="s">
        <v>19</v>
      </c>
    </row>
    <row r="4627" spans="1:15" x14ac:dyDescent="0.25">
      <c r="A4627" t="s">
        <v>3844</v>
      </c>
      <c r="B4627" t="s">
        <v>15</v>
      </c>
      <c r="C4627" t="s">
        <v>27</v>
      </c>
      <c r="D4627" t="s">
        <v>17</v>
      </c>
      <c r="E4627" t="s">
        <v>18</v>
      </c>
      <c r="F4627" t="s">
        <v>19</v>
      </c>
      <c r="G4627" t="s">
        <v>20</v>
      </c>
      <c r="J4627" t="s">
        <v>17</v>
      </c>
      <c r="K4627" t="str">
        <f>"17580548"</f>
        <v>17580548</v>
      </c>
      <c r="L4627" t="str">
        <f>"17580548"</f>
        <v>17580548</v>
      </c>
      <c r="M4627" t="s">
        <v>75</v>
      </c>
      <c r="N4627" s="1">
        <v>42872.839583333334</v>
      </c>
      <c r="O4627" t="s">
        <v>19</v>
      </c>
    </row>
    <row r="4628" spans="1:15" x14ac:dyDescent="0.25">
      <c r="A4628" t="s">
        <v>3844</v>
      </c>
      <c r="B4628" t="s">
        <v>15</v>
      </c>
      <c r="C4628" t="s">
        <v>27</v>
      </c>
      <c r="D4628" t="s">
        <v>17</v>
      </c>
      <c r="E4628" t="s">
        <v>18</v>
      </c>
      <c r="F4628" t="s">
        <v>19</v>
      </c>
      <c r="G4628" t="s">
        <v>20</v>
      </c>
      <c r="J4628" t="s">
        <v>17</v>
      </c>
      <c r="K4628" t="str">
        <f>"34480548"</f>
        <v>34480548</v>
      </c>
      <c r="L4628" t="str">
        <f>"34480548"</f>
        <v>34480548</v>
      </c>
      <c r="M4628" t="s">
        <v>75</v>
      </c>
      <c r="N4628" s="1">
        <v>42872.839583333334</v>
      </c>
      <c r="O4628" t="s">
        <v>19</v>
      </c>
    </row>
    <row r="4629" spans="1:15" x14ac:dyDescent="0.25">
      <c r="A4629" t="s">
        <v>3844</v>
      </c>
      <c r="B4629" t="s">
        <v>15</v>
      </c>
      <c r="C4629" t="s">
        <v>27</v>
      </c>
      <c r="D4629" t="s">
        <v>17</v>
      </c>
      <c r="E4629" t="s">
        <v>18</v>
      </c>
      <c r="F4629" t="s">
        <v>19</v>
      </c>
      <c r="G4629" t="s">
        <v>20</v>
      </c>
      <c r="J4629" t="s">
        <v>17</v>
      </c>
      <c r="K4629" t="str">
        <f>"34580548"</f>
        <v>34580548</v>
      </c>
      <c r="L4629" t="str">
        <f>"34580548"</f>
        <v>34580548</v>
      </c>
      <c r="M4629" t="s">
        <v>75</v>
      </c>
      <c r="N4629" s="1">
        <v>42872.839583333334</v>
      </c>
      <c r="O4629" t="s">
        <v>19</v>
      </c>
    </row>
    <row r="4630" spans="1:15" x14ac:dyDescent="0.25">
      <c r="A4630" t="s">
        <v>3844</v>
      </c>
      <c r="B4630" t="s">
        <v>15</v>
      </c>
      <c r="C4630" t="s">
        <v>27</v>
      </c>
      <c r="D4630" t="s">
        <v>17</v>
      </c>
      <c r="E4630" t="s">
        <v>18</v>
      </c>
      <c r="F4630" t="s">
        <v>19</v>
      </c>
      <c r="G4630" t="s">
        <v>20</v>
      </c>
      <c r="J4630" t="s">
        <v>17</v>
      </c>
      <c r="K4630" t="str">
        <f>"76480548"</f>
        <v>76480548</v>
      </c>
      <c r="L4630" t="str">
        <f>"76480548"</f>
        <v>76480548</v>
      </c>
      <c r="M4630" t="s">
        <v>75</v>
      </c>
      <c r="N4630" s="1">
        <v>42872.847222222219</v>
      </c>
      <c r="O4630" t="s">
        <v>19</v>
      </c>
    </row>
    <row r="4631" spans="1:15" x14ac:dyDescent="0.25">
      <c r="A4631" t="s">
        <v>3844</v>
      </c>
      <c r="B4631" t="s">
        <v>15</v>
      </c>
      <c r="C4631" t="s">
        <v>27</v>
      </c>
      <c r="D4631" t="s">
        <v>17</v>
      </c>
      <c r="E4631" t="s">
        <v>18</v>
      </c>
      <c r="F4631" t="s">
        <v>19</v>
      </c>
      <c r="G4631" t="s">
        <v>20</v>
      </c>
      <c r="J4631" t="s">
        <v>17</v>
      </c>
      <c r="K4631" t="str">
        <f>"174805103"</f>
        <v>174805103</v>
      </c>
      <c r="L4631" t="str">
        <f>"174805103"</f>
        <v>174805103</v>
      </c>
      <c r="M4631" t="s">
        <v>75</v>
      </c>
      <c r="N4631" s="1">
        <v>42872.849305555559</v>
      </c>
      <c r="O4631" t="s">
        <v>19</v>
      </c>
    </row>
    <row r="4632" spans="1:15" x14ac:dyDescent="0.25">
      <c r="A4632" t="s">
        <v>3844</v>
      </c>
      <c r="B4632" t="s">
        <v>15</v>
      </c>
      <c r="C4632" t="s">
        <v>27</v>
      </c>
      <c r="D4632" t="s">
        <v>17</v>
      </c>
      <c r="E4632" t="s">
        <v>18</v>
      </c>
      <c r="F4632" t="s">
        <v>19</v>
      </c>
      <c r="G4632" t="s">
        <v>20</v>
      </c>
      <c r="J4632" t="s">
        <v>17</v>
      </c>
      <c r="K4632" t="str">
        <f>"1714805103"</f>
        <v>1714805103</v>
      </c>
      <c r="L4632" t="str">
        <f>"1714805103"</f>
        <v>1714805103</v>
      </c>
      <c r="M4632" t="s">
        <v>75</v>
      </c>
      <c r="N4632" s="1">
        <v>42872.849305555559</v>
      </c>
      <c r="O4632" t="s">
        <v>19</v>
      </c>
    </row>
    <row r="4633" spans="1:15" x14ac:dyDescent="0.25">
      <c r="A4633" t="s">
        <v>3844</v>
      </c>
      <c r="B4633" t="s">
        <v>15</v>
      </c>
      <c r="C4633" t="s">
        <v>27</v>
      </c>
      <c r="D4633" t="s">
        <v>17</v>
      </c>
      <c r="E4633" t="s">
        <v>18</v>
      </c>
      <c r="F4633" t="s">
        <v>19</v>
      </c>
      <c r="G4633" t="s">
        <v>20</v>
      </c>
      <c r="J4633" t="s">
        <v>17</v>
      </c>
      <c r="K4633" t="str">
        <f>"765805103"</f>
        <v>765805103</v>
      </c>
      <c r="L4633" t="str">
        <f>"765805103"</f>
        <v>765805103</v>
      </c>
      <c r="M4633" t="s">
        <v>75</v>
      </c>
      <c r="N4633" s="1">
        <v>42872.849305555559</v>
      </c>
      <c r="O4633" t="s">
        <v>19</v>
      </c>
    </row>
    <row r="4634" spans="1:15" x14ac:dyDescent="0.25">
      <c r="A4634" t="s">
        <v>3844</v>
      </c>
      <c r="B4634" t="s">
        <v>15</v>
      </c>
      <c r="C4634" t="s">
        <v>27</v>
      </c>
      <c r="D4634" t="s">
        <v>17</v>
      </c>
      <c r="E4634" t="s">
        <v>18</v>
      </c>
      <c r="F4634" t="s">
        <v>19</v>
      </c>
      <c r="G4634" t="s">
        <v>20</v>
      </c>
      <c r="J4634" t="s">
        <v>17</v>
      </c>
      <c r="K4634" t="str">
        <f>"76510548"</f>
        <v>76510548</v>
      </c>
      <c r="L4634" t="str">
        <f>"76510548"</f>
        <v>76510548</v>
      </c>
      <c r="M4634" t="s">
        <v>75</v>
      </c>
      <c r="N4634" s="1">
        <v>43174.847222222219</v>
      </c>
      <c r="O4634" t="s">
        <v>19</v>
      </c>
    </row>
    <row r="4635" spans="1:15" x14ac:dyDescent="0.25">
      <c r="A4635" t="s">
        <v>3844</v>
      </c>
      <c r="B4635" t="s">
        <v>15</v>
      </c>
      <c r="C4635" t="s">
        <v>27</v>
      </c>
      <c r="D4635" t="s">
        <v>17</v>
      </c>
      <c r="E4635" t="s">
        <v>18</v>
      </c>
      <c r="F4635" t="s">
        <v>19</v>
      </c>
      <c r="G4635" t="s">
        <v>20</v>
      </c>
      <c r="J4635" t="s">
        <v>17</v>
      </c>
      <c r="K4635" t="str">
        <f>"76590548"</f>
        <v>76590548</v>
      </c>
      <c r="L4635" t="str">
        <f>"76590548"</f>
        <v>76590548</v>
      </c>
      <c r="M4635" t="s">
        <v>84</v>
      </c>
      <c r="N4635" s="1">
        <v>43251.727777777778</v>
      </c>
      <c r="O4635" t="s">
        <v>19</v>
      </c>
    </row>
    <row r="4636" spans="1:15" x14ac:dyDescent="0.25">
      <c r="A4636" t="s">
        <v>3845</v>
      </c>
      <c r="B4636" t="s">
        <v>15</v>
      </c>
      <c r="C4636" t="s">
        <v>27</v>
      </c>
      <c r="D4636" t="s">
        <v>17</v>
      </c>
      <c r="E4636" t="s">
        <v>18</v>
      </c>
      <c r="F4636" t="s">
        <v>19</v>
      </c>
      <c r="G4636" t="s">
        <v>20</v>
      </c>
      <c r="J4636" t="s">
        <v>17</v>
      </c>
      <c r="K4636" t="str">
        <f>"767505302"</f>
        <v>767505302</v>
      </c>
      <c r="L4636" t="str">
        <f>"767505302"</f>
        <v>767505302</v>
      </c>
      <c r="M4636" t="s">
        <v>75</v>
      </c>
      <c r="N4636" s="1">
        <v>43012.927083333336</v>
      </c>
      <c r="O4636" t="s">
        <v>19</v>
      </c>
    </row>
    <row r="4637" spans="1:15" x14ac:dyDescent="0.25">
      <c r="A4637" t="s">
        <v>3846</v>
      </c>
      <c r="B4637" t="s">
        <v>15</v>
      </c>
      <c r="C4637" t="s">
        <v>27</v>
      </c>
      <c r="D4637" t="s">
        <v>17</v>
      </c>
      <c r="E4637" t="s">
        <v>18</v>
      </c>
      <c r="F4637" t="s">
        <v>19</v>
      </c>
      <c r="G4637" t="s">
        <v>20</v>
      </c>
      <c r="J4637" t="s">
        <v>17</v>
      </c>
      <c r="K4637" t="str">
        <f>"174805238"</f>
        <v>174805238</v>
      </c>
      <c r="L4637" t="str">
        <f>"174805238"</f>
        <v>174805238</v>
      </c>
      <c r="M4637" t="s">
        <v>75</v>
      </c>
      <c r="N4637" s="1">
        <v>42872.849305555559</v>
      </c>
      <c r="O4637" t="s">
        <v>19</v>
      </c>
    </row>
    <row r="4638" spans="1:15" x14ac:dyDescent="0.25">
      <c r="A4638" t="s">
        <v>3846</v>
      </c>
      <c r="B4638" t="s">
        <v>15</v>
      </c>
      <c r="C4638" t="s">
        <v>27</v>
      </c>
      <c r="D4638" t="s">
        <v>17</v>
      </c>
      <c r="E4638" t="s">
        <v>18</v>
      </c>
      <c r="F4638" t="s">
        <v>19</v>
      </c>
      <c r="G4638" t="s">
        <v>20</v>
      </c>
      <c r="J4638" t="s">
        <v>17</v>
      </c>
      <c r="K4638" t="str">
        <f>"767505238"</f>
        <v>767505238</v>
      </c>
      <c r="L4638" t="str">
        <f>"767505238"</f>
        <v>767505238</v>
      </c>
      <c r="M4638" t="s">
        <v>75</v>
      </c>
      <c r="N4638" s="1">
        <v>42872.849305555559</v>
      </c>
      <c r="O4638" t="s">
        <v>19</v>
      </c>
    </row>
    <row r="4639" spans="1:15" x14ac:dyDescent="0.25">
      <c r="A4639" t="s">
        <v>3847</v>
      </c>
      <c r="B4639" t="s">
        <v>15</v>
      </c>
      <c r="C4639" t="s">
        <v>27</v>
      </c>
      <c r="D4639" t="s">
        <v>17</v>
      </c>
      <c r="E4639" t="s">
        <v>18</v>
      </c>
      <c r="F4639" t="s">
        <v>19</v>
      </c>
      <c r="G4639" t="s">
        <v>20</v>
      </c>
      <c r="J4639" t="s">
        <v>17</v>
      </c>
      <c r="K4639" t="str">
        <f>"764805247"</f>
        <v>764805247</v>
      </c>
      <c r="L4639" t="str">
        <f>"764805247"</f>
        <v>764805247</v>
      </c>
      <c r="M4639" t="s">
        <v>75</v>
      </c>
      <c r="N4639" s="1">
        <v>42872.849305555559</v>
      </c>
      <c r="O4639" t="s">
        <v>19</v>
      </c>
    </row>
    <row r="4640" spans="1:15" x14ac:dyDescent="0.25">
      <c r="A4640" t="s">
        <v>3847</v>
      </c>
      <c r="B4640" t="s">
        <v>15</v>
      </c>
      <c r="C4640" t="s">
        <v>27</v>
      </c>
      <c r="D4640" t="s">
        <v>17</v>
      </c>
      <c r="E4640" t="s">
        <v>18</v>
      </c>
      <c r="F4640" t="s">
        <v>19</v>
      </c>
      <c r="G4640" t="s">
        <v>20</v>
      </c>
      <c r="J4640" t="s">
        <v>17</v>
      </c>
      <c r="K4640" t="str">
        <f>"767505247"</f>
        <v>767505247</v>
      </c>
      <c r="L4640" t="str">
        <f>"767505247"</f>
        <v>767505247</v>
      </c>
      <c r="M4640" t="s">
        <v>75</v>
      </c>
      <c r="N4640" s="1">
        <v>42872.849305555559</v>
      </c>
      <c r="O4640" t="s">
        <v>19</v>
      </c>
    </row>
    <row r="4641" spans="1:15" x14ac:dyDescent="0.25">
      <c r="A4641" t="s">
        <v>3847</v>
      </c>
      <c r="B4641" t="s">
        <v>15</v>
      </c>
      <c r="C4641" t="s">
        <v>27</v>
      </c>
      <c r="D4641" t="s">
        <v>17</v>
      </c>
      <c r="E4641" t="s">
        <v>18</v>
      </c>
      <c r="F4641" t="s">
        <v>19</v>
      </c>
      <c r="G4641" t="s">
        <v>20</v>
      </c>
      <c r="J4641" t="s">
        <v>17</v>
      </c>
      <c r="K4641" t="str">
        <f>"765805247"</f>
        <v>765805247</v>
      </c>
      <c r="L4641" t="str">
        <f>"765805247"</f>
        <v>765805247</v>
      </c>
      <c r="M4641" t="s">
        <v>75</v>
      </c>
      <c r="N4641" s="1">
        <v>42898.974999999999</v>
      </c>
      <c r="O4641" t="s">
        <v>19</v>
      </c>
    </row>
    <row r="4642" spans="1:15" x14ac:dyDescent="0.25">
      <c r="A4642" t="s">
        <v>3847</v>
      </c>
      <c r="B4642" t="s">
        <v>15</v>
      </c>
      <c r="C4642" t="s">
        <v>27</v>
      </c>
      <c r="D4642" t="s">
        <v>17</v>
      </c>
      <c r="E4642" t="s">
        <v>18</v>
      </c>
      <c r="F4642" t="s">
        <v>19</v>
      </c>
      <c r="G4642" t="s">
        <v>20</v>
      </c>
      <c r="J4642" t="s">
        <v>17</v>
      </c>
      <c r="K4642" t="str">
        <f>"765105247"</f>
        <v>765105247</v>
      </c>
      <c r="L4642" t="str">
        <f>"765105247"</f>
        <v>765105247</v>
      </c>
      <c r="M4642" t="s">
        <v>75</v>
      </c>
      <c r="N4642" s="1">
        <v>43174.847916666666</v>
      </c>
      <c r="O4642" t="s">
        <v>19</v>
      </c>
    </row>
    <row r="4643" spans="1:15" x14ac:dyDescent="0.25">
      <c r="A4643" t="s">
        <v>3848</v>
      </c>
      <c r="B4643" t="s">
        <v>15</v>
      </c>
      <c r="C4643" t="s">
        <v>27</v>
      </c>
      <c r="D4643" t="s">
        <v>17</v>
      </c>
      <c r="E4643" t="s">
        <v>18</v>
      </c>
      <c r="F4643" t="s">
        <v>19</v>
      </c>
      <c r="G4643" t="s">
        <v>20</v>
      </c>
      <c r="J4643" t="s">
        <v>17</v>
      </c>
      <c r="K4643" t="str">
        <f>"174805299"</f>
        <v>174805299</v>
      </c>
      <c r="L4643" t="str">
        <f>"174805299"</f>
        <v>174805299</v>
      </c>
      <c r="M4643" t="s">
        <v>75</v>
      </c>
      <c r="N4643" s="1">
        <v>43133.657638888886</v>
      </c>
      <c r="O4643" t="s">
        <v>19</v>
      </c>
    </row>
    <row r="4644" spans="1:15" x14ac:dyDescent="0.25">
      <c r="A4644" t="s">
        <v>3848</v>
      </c>
      <c r="B4644" t="s">
        <v>15</v>
      </c>
      <c r="C4644" t="s">
        <v>27</v>
      </c>
      <c r="D4644" t="s">
        <v>17</v>
      </c>
      <c r="E4644" t="s">
        <v>18</v>
      </c>
      <c r="F4644" t="s">
        <v>19</v>
      </c>
      <c r="G4644" t="s">
        <v>20</v>
      </c>
      <c r="J4644" t="s">
        <v>17</v>
      </c>
      <c r="K4644" t="str">
        <f>"175105299"</f>
        <v>175105299</v>
      </c>
      <c r="L4644" t="str">
        <f>"175105299"</f>
        <v>175105299</v>
      </c>
      <c r="M4644" t="s">
        <v>75</v>
      </c>
      <c r="N4644" s="1">
        <v>43237.727777777778</v>
      </c>
      <c r="O4644" t="s">
        <v>19</v>
      </c>
    </row>
    <row r="4645" spans="1:15" x14ac:dyDescent="0.25">
      <c r="A4645" t="s">
        <v>3848</v>
      </c>
      <c r="B4645" t="s">
        <v>15</v>
      </c>
      <c r="C4645" t="s">
        <v>27</v>
      </c>
      <c r="D4645" t="s">
        <v>17</v>
      </c>
      <c r="E4645" t="s">
        <v>18</v>
      </c>
      <c r="F4645" t="s">
        <v>19</v>
      </c>
      <c r="G4645" t="s">
        <v>20</v>
      </c>
      <c r="J4645" t="s">
        <v>17</v>
      </c>
      <c r="K4645" t="str">
        <f>"994805299"</f>
        <v>994805299</v>
      </c>
      <c r="L4645" t="str">
        <f>"994805299"</f>
        <v>994805299</v>
      </c>
      <c r="M4645" t="s">
        <v>75</v>
      </c>
      <c r="N4645" s="1">
        <v>43244.863194444442</v>
      </c>
      <c r="O4645" t="s">
        <v>19</v>
      </c>
    </row>
    <row r="4646" spans="1:15" x14ac:dyDescent="0.25">
      <c r="A4646" t="s">
        <v>3848</v>
      </c>
      <c r="B4646" t="s">
        <v>15</v>
      </c>
      <c r="C4646" t="s">
        <v>27</v>
      </c>
      <c r="D4646" t="s">
        <v>17</v>
      </c>
      <c r="E4646" t="s">
        <v>18</v>
      </c>
      <c r="F4646" t="s">
        <v>19</v>
      </c>
      <c r="G4646" t="s">
        <v>20</v>
      </c>
      <c r="J4646" t="s">
        <v>17</v>
      </c>
      <c r="K4646" t="str">
        <f>"867705299"</f>
        <v>867705299</v>
      </c>
      <c r="L4646" t="str">
        <f>"867705299"</f>
        <v>867705299</v>
      </c>
      <c r="M4646" t="s">
        <v>84</v>
      </c>
      <c r="N4646" s="1">
        <v>43314.935416666667</v>
      </c>
      <c r="O4646" t="s">
        <v>19</v>
      </c>
    </row>
    <row r="4647" spans="1:15" x14ac:dyDescent="0.25">
      <c r="A4647" t="s">
        <v>3848</v>
      </c>
      <c r="B4647" t="s">
        <v>15</v>
      </c>
      <c r="C4647" t="s">
        <v>27</v>
      </c>
      <c r="D4647" t="s">
        <v>17</v>
      </c>
      <c r="E4647" t="s">
        <v>18</v>
      </c>
      <c r="F4647" t="s">
        <v>19</v>
      </c>
      <c r="G4647" t="s">
        <v>20</v>
      </c>
      <c r="J4647" t="s">
        <v>17</v>
      </c>
      <c r="K4647" t="str">
        <f>"866405299"</f>
        <v>866405299</v>
      </c>
      <c r="L4647" t="str">
        <f>"866405299"</f>
        <v>866405299</v>
      </c>
      <c r="M4647" t="s">
        <v>84</v>
      </c>
      <c r="N4647" s="1">
        <v>43364.935416666667</v>
      </c>
      <c r="O4647" t="s">
        <v>19</v>
      </c>
    </row>
    <row r="4648" spans="1:15" x14ac:dyDescent="0.25">
      <c r="A4648" t="s">
        <v>3849</v>
      </c>
      <c r="B4648" t="s">
        <v>15</v>
      </c>
      <c r="C4648" t="s">
        <v>27</v>
      </c>
      <c r="D4648" t="s">
        <v>17</v>
      </c>
      <c r="E4648" t="s">
        <v>18</v>
      </c>
      <c r="F4648" t="s">
        <v>19</v>
      </c>
      <c r="G4648" t="s">
        <v>20</v>
      </c>
      <c r="J4648" t="s">
        <v>17</v>
      </c>
      <c r="K4648" t="str">
        <f>"174805329"</f>
        <v>174805329</v>
      </c>
      <c r="L4648" t="str">
        <f>"174805329"</f>
        <v>174805329</v>
      </c>
      <c r="M4648" t="s">
        <v>75</v>
      </c>
      <c r="N4648" s="1">
        <v>43133.697916666664</v>
      </c>
      <c r="O4648" t="s">
        <v>19</v>
      </c>
    </row>
    <row r="4649" spans="1:15" x14ac:dyDescent="0.25">
      <c r="A4649" t="s">
        <v>3850</v>
      </c>
      <c r="B4649" t="s">
        <v>15</v>
      </c>
      <c r="C4649" t="s">
        <v>27</v>
      </c>
      <c r="D4649" t="s">
        <v>17</v>
      </c>
      <c r="E4649" t="s">
        <v>18</v>
      </c>
      <c r="F4649" t="s">
        <v>19</v>
      </c>
      <c r="G4649" t="s">
        <v>20</v>
      </c>
      <c r="J4649" t="s">
        <v>17</v>
      </c>
      <c r="K4649" t="str">
        <f>"684805248"</f>
        <v>684805248</v>
      </c>
      <c r="L4649" t="str">
        <f>"684805248"</f>
        <v>684805248</v>
      </c>
      <c r="M4649" t="s">
        <v>75</v>
      </c>
      <c r="N4649" s="1">
        <v>43007.683333333334</v>
      </c>
      <c r="O4649" t="s">
        <v>19</v>
      </c>
    </row>
    <row r="4650" spans="1:15" x14ac:dyDescent="0.25">
      <c r="A4650" t="s">
        <v>3850</v>
      </c>
      <c r="B4650" t="s">
        <v>15</v>
      </c>
      <c r="C4650" t="s">
        <v>27</v>
      </c>
      <c r="D4650" t="s">
        <v>17</v>
      </c>
      <c r="E4650" t="s">
        <v>18</v>
      </c>
      <c r="F4650" t="s">
        <v>19</v>
      </c>
      <c r="G4650" t="s">
        <v>20</v>
      </c>
      <c r="J4650" t="s">
        <v>17</v>
      </c>
      <c r="K4650" t="str">
        <f>"767505248"</f>
        <v>767505248</v>
      </c>
      <c r="L4650" t="str">
        <f>"767505248"</f>
        <v>767505248</v>
      </c>
      <c r="M4650" t="s">
        <v>75</v>
      </c>
      <c r="N4650" s="1">
        <v>43033.82916666667</v>
      </c>
      <c r="O4650" t="s">
        <v>19</v>
      </c>
    </row>
    <row r="4651" spans="1:15" x14ac:dyDescent="0.25">
      <c r="A4651" t="s">
        <v>3850</v>
      </c>
      <c r="B4651" t="s">
        <v>15</v>
      </c>
      <c r="C4651" t="s">
        <v>27</v>
      </c>
      <c r="D4651" t="s">
        <v>17</v>
      </c>
      <c r="E4651" t="s">
        <v>18</v>
      </c>
      <c r="F4651" t="s">
        <v>19</v>
      </c>
      <c r="G4651" t="s">
        <v>20</v>
      </c>
      <c r="J4651" t="s">
        <v>17</v>
      </c>
      <c r="K4651" t="str">
        <f>"174805248"</f>
        <v>174805248</v>
      </c>
      <c r="L4651" t="str">
        <f>"174805248"</f>
        <v>174805248</v>
      </c>
      <c r="M4651" t="s">
        <v>75</v>
      </c>
      <c r="N4651" s="1">
        <v>43096.698611111111</v>
      </c>
      <c r="O4651" t="s">
        <v>19</v>
      </c>
    </row>
    <row r="4652" spans="1:15" x14ac:dyDescent="0.25">
      <c r="A4652" t="s">
        <v>3851</v>
      </c>
      <c r="B4652" t="s">
        <v>15</v>
      </c>
      <c r="C4652" t="s">
        <v>27</v>
      </c>
      <c r="D4652" t="s">
        <v>17</v>
      </c>
      <c r="E4652" t="s">
        <v>18</v>
      </c>
      <c r="F4652" t="s">
        <v>19</v>
      </c>
      <c r="G4652" t="s">
        <v>20</v>
      </c>
      <c r="J4652" t="s">
        <v>17</v>
      </c>
      <c r="K4652" t="str">
        <f>"174805256"</f>
        <v>174805256</v>
      </c>
      <c r="L4652" t="str">
        <f>"174805256"</f>
        <v>174805256</v>
      </c>
      <c r="M4652" t="s">
        <v>75</v>
      </c>
      <c r="N4652" s="1">
        <v>42872.849305555559</v>
      </c>
      <c r="O4652" t="s">
        <v>19</v>
      </c>
    </row>
    <row r="4653" spans="1:15" x14ac:dyDescent="0.25">
      <c r="A4653" t="s">
        <v>3852</v>
      </c>
      <c r="B4653" t="s">
        <v>15</v>
      </c>
      <c r="C4653" t="s">
        <v>27</v>
      </c>
      <c r="D4653" t="s">
        <v>17</v>
      </c>
      <c r="E4653" t="s">
        <v>18</v>
      </c>
      <c r="F4653" t="s">
        <v>19</v>
      </c>
      <c r="G4653" t="s">
        <v>20</v>
      </c>
      <c r="J4653" t="s">
        <v>17</v>
      </c>
      <c r="K4653" t="str">
        <f>"1000000506164"</f>
        <v>1000000506164</v>
      </c>
      <c r="L4653" t="str">
        <f>"765105299"</f>
        <v>765105299</v>
      </c>
      <c r="M4653" t="s">
        <v>84</v>
      </c>
      <c r="N4653" s="1">
        <v>43132.959027777775</v>
      </c>
      <c r="O4653" t="s">
        <v>19</v>
      </c>
    </row>
    <row r="4654" spans="1:15" x14ac:dyDescent="0.25">
      <c r="A4654" t="s">
        <v>3853</v>
      </c>
      <c r="B4654" t="s">
        <v>15</v>
      </c>
      <c r="C4654" t="s">
        <v>27</v>
      </c>
      <c r="D4654" t="s">
        <v>17</v>
      </c>
      <c r="E4654" t="s">
        <v>18</v>
      </c>
      <c r="F4654" t="s">
        <v>19</v>
      </c>
      <c r="G4654" t="s">
        <v>20</v>
      </c>
      <c r="J4654" t="s">
        <v>17</v>
      </c>
      <c r="K4654" t="str">
        <f>"175105304"</f>
        <v>175105304</v>
      </c>
      <c r="L4654" t="str">
        <f>"175105304"</f>
        <v>175105304</v>
      </c>
      <c r="M4654" t="s">
        <v>75</v>
      </c>
      <c r="N4654" s="1">
        <v>43237.727083333331</v>
      </c>
      <c r="O4654" t="s">
        <v>19</v>
      </c>
    </row>
    <row r="4655" spans="1:15" x14ac:dyDescent="0.25">
      <c r="A4655" t="s">
        <v>3853</v>
      </c>
      <c r="B4655" t="s">
        <v>15</v>
      </c>
      <c r="C4655" t="s">
        <v>27</v>
      </c>
      <c r="D4655" t="s">
        <v>17</v>
      </c>
      <c r="E4655" t="s">
        <v>18</v>
      </c>
      <c r="F4655" t="s">
        <v>19</v>
      </c>
      <c r="G4655" t="s">
        <v>20</v>
      </c>
      <c r="J4655" t="s">
        <v>17</v>
      </c>
      <c r="K4655" t="str">
        <f>"174805304"</f>
        <v>174805304</v>
      </c>
      <c r="L4655" t="str">
        <f>"174805304"</f>
        <v>174805304</v>
      </c>
      <c r="M4655" t="s">
        <v>75</v>
      </c>
      <c r="N4655" s="1">
        <v>43237.73333333333</v>
      </c>
      <c r="O4655" t="s">
        <v>19</v>
      </c>
    </row>
    <row r="4656" spans="1:15" x14ac:dyDescent="0.25">
      <c r="A4656" t="s">
        <v>3853</v>
      </c>
      <c r="B4656" t="s">
        <v>15</v>
      </c>
      <c r="C4656" t="s">
        <v>27</v>
      </c>
      <c r="D4656" t="s">
        <v>17</v>
      </c>
      <c r="E4656" t="s">
        <v>18</v>
      </c>
      <c r="F4656" t="s">
        <v>19</v>
      </c>
      <c r="G4656" t="s">
        <v>20</v>
      </c>
      <c r="J4656" t="s">
        <v>17</v>
      </c>
      <c r="K4656" t="str">
        <f>"765105304"</f>
        <v>765105304</v>
      </c>
      <c r="L4656" t="str">
        <f>"765105304"</f>
        <v>765105304</v>
      </c>
      <c r="M4656" t="s">
        <v>84</v>
      </c>
      <c r="N4656" s="1">
        <v>43286.982638888891</v>
      </c>
      <c r="O4656" t="s">
        <v>19</v>
      </c>
    </row>
    <row r="4657" spans="1:15" x14ac:dyDescent="0.25">
      <c r="A4657" t="s">
        <v>3853</v>
      </c>
      <c r="B4657" t="s">
        <v>15</v>
      </c>
      <c r="C4657" t="s">
        <v>27</v>
      </c>
      <c r="D4657" t="s">
        <v>17</v>
      </c>
      <c r="E4657" t="s">
        <v>18</v>
      </c>
      <c r="F4657" t="s">
        <v>19</v>
      </c>
      <c r="G4657" t="s">
        <v>20</v>
      </c>
      <c r="J4657" t="s">
        <v>17</v>
      </c>
      <c r="K4657" t="str">
        <f>"867705304"</f>
        <v>867705304</v>
      </c>
      <c r="L4657" t="str">
        <f>"867705304"</f>
        <v>867705304</v>
      </c>
      <c r="M4657" t="s">
        <v>84</v>
      </c>
      <c r="N4657" s="1">
        <v>43314.93472222222</v>
      </c>
      <c r="O4657" t="s">
        <v>19</v>
      </c>
    </row>
    <row r="4658" spans="1:15" x14ac:dyDescent="0.25">
      <c r="A4658" t="s">
        <v>3853</v>
      </c>
      <c r="B4658" t="s">
        <v>15</v>
      </c>
      <c r="C4658" t="s">
        <v>27</v>
      </c>
      <c r="D4658" t="s">
        <v>17</v>
      </c>
      <c r="E4658" t="s">
        <v>18</v>
      </c>
      <c r="F4658" t="s">
        <v>19</v>
      </c>
      <c r="G4658" t="s">
        <v>20</v>
      </c>
      <c r="J4658" t="s">
        <v>17</v>
      </c>
      <c r="K4658" t="str">
        <f>"764805304"</f>
        <v>764805304</v>
      </c>
      <c r="L4658" t="str">
        <f>"764805304"</f>
        <v>764805304</v>
      </c>
      <c r="M4658" t="s">
        <v>84</v>
      </c>
      <c r="N4658" s="1">
        <v>43335.712500000001</v>
      </c>
      <c r="O4658" t="s">
        <v>19</v>
      </c>
    </row>
    <row r="4659" spans="1:15" x14ac:dyDescent="0.25">
      <c r="A4659" t="s">
        <v>3853</v>
      </c>
      <c r="B4659" t="s">
        <v>15</v>
      </c>
      <c r="C4659" t="s">
        <v>27</v>
      </c>
      <c r="D4659" t="s">
        <v>17</v>
      </c>
      <c r="E4659" t="s">
        <v>18</v>
      </c>
      <c r="F4659" t="s">
        <v>19</v>
      </c>
      <c r="G4659" t="s">
        <v>20</v>
      </c>
      <c r="J4659" t="s">
        <v>17</v>
      </c>
      <c r="K4659" t="str">
        <f>"763905304"</f>
        <v>763905304</v>
      </c>
      <c r="L4659" t="str">
        <f>"763905304"</f>
        <v>763905304</v>
      </c>
      <c r="M4659" t="s">
        <v>84</v>
      </c>
      <c r="N4659" s="1">
        <v>43335.714583333334</v>
      </c>
      <c r="O4659" t="s">
        <v>19</v>
      </c>
    </row>
    <row r="4660" spans="1:15" x14ac:dyDescent="0.25">
      <c r="A4660" t="s">
        <v>3853</v>
      </c>
      <c r="B4660" t="s">
        <v>15</v>
      </c>
      <c r="C4660" t="s">
        <v>27</v>
      </c>
      <c r="D4660" t="s">
        <v>17</v>
      </c>
      <c r="E4660" t="s">
        <v>18</v>
      </c>
      <c r="F4660" t="s">
        <v>19</v>
      </c>
      <c r="G4660" t="s">
        <v>20</v>
      </c>
      <c r="J4660" t="s">
        <v>17</v>
      </c>
      <c r="K4660" t="str">
        <f>"415105304"</f>
        <v>415105304</v>
      </c>
      <c r="L4660" t="str">
        <f>"415105304"</f>
        <v>415105304</v>
      </c>
      <c r="M4660" t="s">
        <v>84</v>
      </c>
      <c r="N4660" s="1">
        <v>43350.871527777781</v>
      </c>
      <c r="O4660" t="s">
        <v>19</v>
      </c>
    </row>
    <row r="4661" spans="1:15" x14ac:dyDescent="0.25">
      <c r="A4661" t="s">
        <v>3853</v>
      </c>
      <c r="B4661" t="s">
        <v>15</v>
      </c>
      <c r="C4661" t="s">
        <v>27</v>
      </c>
      <c r="D4661" t="s">
        <v>17</v>
      </c>
      <c r="E4661" t="s">
        <v>18</v>
      </c>
      <c r="F4661" t="s">
        <v>19</v>
      </c>
      <c r="G4661" t="s">
        <v>20</v>
      </c>
      <c r="J4661" t="s">
        <v>17</v>
      </c>
      <c r="K4661" t="str">
        <f>"866405304"</f>
        <v>866405304</v>
      </c>
      <c r="L4661" t="str">
        <f>"866405304"</f>
        <v>866405304</v>
      </c>
      <c r="M4661" t="s">
        <v>84</v>
      </c>
      <c r="N4661" s="1">
        <v>43364.934027777781</v>
      </c>
      <c r="O4661" t="s">
        <v>19</v>
      </c>
    </row>
    <row r="4662" spans="1:15" x14ac:dyDescent="0.25">
      <c r="A4662" t="s">
        <v>3853</v>
      </c>
      <c r="B4662" t="s">
        <v>15</v>
      </c>
      <c r="C4662" t="s">
        <v>27</v>
      </c>
      <c r="D4662" t="s">
        <v>17</v>
      </c>
      <c r="E4662" t="s">
        <v>18</v>
      </c>
      <c r="F4662" t="s">
        <v>19</v>
      </c>
      <c r="G4662" t="s">
        <v>20</v>
      </c>
      <c r="J4662" t="s">
        <v>17</v>
      </c>
      <c r="K4662" t="str">
        <f>"864805304"</f>
        <v>864805304</v>
      </c>
      <c r="L4662" t="str">
        <f>"864805304"</f>
        <v>864805304</v>
      </c>
      <c r="M4662" t="s">
        <v>84</v>
      </c>
      <c r="N4662" s="1">
        <v>43374.673611111109</v>
      </c>
      <c r="O4662" t="s">
        <v>19</v>
      </c>
    </row>
    <row r="4663" spans="1:15" x14ac:dyDescent="0.25">
      <c r="A4663" t="s">
        <v>3853</v>
      </c>
      <c r="B4663" t="s">
        <v>15</v>
      </c>
      <c r="C4663" t="s">
        <v>27</v>
      </c>
      <c r="D4663" t="s">
        <v>17</v>
      </c>
      <c r="E4663" t="s">
        <v>18</v>
      </c>
      <c r="F4663" t="s">
        <v>19</v>
      </c>
      <c r="G4663" t="s">
        <v>20</v>
      </c>
      <c r="J4663" t="s">
        <v>17</v>
      </c>
      <c r="K4663" t="str">
        <f>"345105304"</f>
        <v>345105304</v>
      </c>
      <c r="L4663" t="str">
        <f>"345105304"</f>
        <v>345105304</v>
      </c>
      <c r="M4663" t="s">
        <v>84</v>
      </c>
      <c r="N4663" s="1">
        <v>43420.749305555553</v>
      </c>
      <c r="O4663" t="s">
        <v>19</v>
      </c>
    </row>
    <row r="4664" spans="1:15" x14ac:dyDescent="0.25">
      <c r="A4664" t="s">
        <v>3853</v>
      </c>
      <c r="B4664" t="s">
        <v>15</v>
      </c>
      <c r="C4664" t="s">
        <v>27</v>
      </c>
      <c r="D4664" t="s">
        <v>17</v>
      </c>
      <c r="E4664" t="s">
        <v>18</v>
      </c>
      <c r="F4664" t="s">
        <v>19</v>
      </c>
      <c r="G4664" t="s">
        <v>20</v>
      </c>
      <c r="J4664" t="s">
        <v>17</v>
      </c>
      <c r="K4664" t="str">
        <f>"325105304"</f>
        <v>325105304</v>
      </c>
      <c r="L4664" t="str">
        <f>"325105304"</f>
        <v>325105304</v>
      </c>
      <c r="M4664" t="s">
        <v>84</v>
      </c>
      <c r="N4664" s="1">
        <v>43502.785416666666</v>
      </c>
      <c r="O4664" t="s">
        <v>19</v>
      </c>
    </row>
    <row r="4665" spans="1:15" x14ac:dyDescent="0.25">
      <c r="A4665" t="s">
        <v>3854</v>
      </c>
      <c r="B4665" t="s">
        <v>15</v>
      </c>
      <c r="C4665" t="s">
        <v>27</v>
      </c>
      <c r="D4665" t="s">
        <v>17</v>
      </c>
      <c r="E4665" t="s">
        <v>18</v>
      </c>
      <c r="F4665" t="s">
        <v>19</v>
      </c>
      <c r="G4665" t="s">
        <v>20</v>
      </c>
      <c r="J4665" t="s">
        <v>17</v>
      </c>
      <c r="K4665" t="str">
        <f>"764805313"</f>
        <v>764805313</v>
      </c>
      <c r="L4665" t="str">
        <f>"764805313"</f>
        <v>764805313</v>
      </c>
      <c r="M4665" t="s">
        <v>84</v>
      </c>
      <c r="N4665" s="1">
        <v>43567.956250000003</v>
      </c>
      <c r="O4665" t="s">
        <v>19</v>
      </c>
    </row>
    <row r="4666" spans="1:15" x14ac:dyDescent="0.25">
      <c r="A4666" t="s">
        <v>3854</v>
      </c>
      <c r="B4666" t="s">
        <v>15</v>
      </c>
      <c r="C4666" t="s">
        <v>27</v>
      </c>
      <c r="D4666" t="s">
        <v>17</v>
      </c>
      <c r="E4666" t="s">
        <v>18</v>
      </c>
      <c r="F4666" t="s">
        <v>19</v>
      </c>
      <c r="G4666" t="s">
        <v>20</v>
      </c>
      <c r="J4666" t="s">
        <v>17</v>
      </c>
      <c r="K4666" t="str">
        <f>"797905313"</f>
        <v>797905313</v>
      </c>
      <c r="L4666" t="str">
        <f>"797905313"</f>
        <v>797905313</v>
      </c>
      <c r="M4666" t="s">
        <v>21</v>
      </c>
      <c r="N4666" s="1">
        <v>43603.668055555558</v>
      </c>
      <c r="O4666" t="s">
        <v>19</v>
      </c>
    </row>
    <row r="4667" spans="1:15" x14ac:dyDescent="0.25">
      <c r="A4667" t="s">
        <v>3854</v>
      </c>
      <c r="B4667" t="s">
        <v>15</v>
      </c>
      <c r="C4667" t="s">
        <v>27</v>
      </c>
      <c r="D4667" t="s">
        <v>17</v>
      </c>
      <c r="E4667" t="s">
        <v>18</v>
      </c>
      <c r="F4667" t="s">
        <v>19</v>
      </c>
      <c r="G4667" t="s">
        <v>20</v>
      </c>
      <c r="J4667" t="s">
        <v>17</v>
      </c>
      <c r="K4667" t="str">
        <f>"2019030102286"</f>
        <v>2019030102286</v>
      </c>
      <c r="L4667" t="str">
        <f>"186405313"</f>
        <v>186405313</v>
      </c>
      <c r="M4667" t="s">
        <v>21</v>
      </c>
      <c r="N4667" s="1">
        <v>43603.692361111112</v>
      </c>
      <c r="O4667" t="s">
        <v>19</v>
      </c>
    </row>
    <row r="4668" spans="1:15" x14ac:dyDescent="0.25">
      <c r="A4668" t="s">
        <v>3855</v>
      </c>
      <c r="B4668" t="s">
        <v>15</v>
      </c>
      <c r="C4668" t="s">
        <v>27</v>
      </c>
      <c r="D4668" t="s">
        <v>17</v>
      </c>
      <c r="E4668" t="s">
        <v>18</v>
      </c>
      <c r="F4668" t="s">
        <v>19</v>
      </c>
      <c r="G4668" t="s">
        <v>20</v>
      </c>
      <c r="J4668" t="s">
        <v>17</v>
      </c>
      <c r="K4668" t="str">
        <f>"764705183"</f>
        <v>764705183</v>
      </c>
      <c r="L4668" t="str">
        <f>"764705183"</f>
        <v>764705183</v>
      </c>
      <c r="M4668" t="s">
        <v>75</v>
      </c>
      <c r="N4668" s="1">
        <v>42872.849305555559</v>
      </c>
      <c r="O4668" t="s">
        <v>19</v>
      </c>
    </row>
    <row r="4669" spans="1:15" x14ac:dyDescent="0.25">
      <c r="A4669" t="s">
        <v>3856</v>
      </c>
      <c r="B4669" t="s">
        <v>15</v>
      </c>
      <c r="C4669" t="s">
        <v>27</v>
      </c>
      <c r="D4669" t="s">
        <v>17</v>
      </c>
      <c r="E4669" t="s">
        <v>18</v>
      </c>
      <c r="F4669" t="s">
        <v>19</v>
      </c>
      <c r="G4669" t="s">
        <v>20</v>
      </c>
      <c r="J4669" t="s">
        <v>17</v>
      </c>
      <c r="K4669" t="str">
        <f>"174805230"</f>
        <v>174805230</v>
      </c>
      <c r="L4669" t="str">
        <f>"174805230"</f>
        <v>174805230</v>
      </c>
      <c r="M4669" t="s">
        <v>75</v>
      </c>
      <c r="N4669" s="1">
        <v>43113.713888888888</v>
      </c>
      <c r="O4669" t="s">
        <v>19</v>
      </c>
    </row>
    <row r="4670" spans="1:15" x14ac:dyDescent="0.25">
      <c r="A4670" t="s">
        <v>3856</v>
      </c>
      <c r="B4670" t="s">
        <v>15</v>
      </c>
      <c r="C4670" t="s">
        <v>27</v>
      </c>
      <c r="D4670" t="s">
        <v>17</v>
      </c>
      <c r="E4670" t="s">
        <v>18</v>
      </c>
      <c r="F4670" t="s">
        <v>19</v>
      </c>
      <c r="G4670" t="s">
        <v>20</v>
      </c>
      <c r="J4670" t="s">
        <v>17</v>
      </c>
      <c r="K4670" t="str">
        <f>"615105230"</f>
        <v>615105230</v>
      </c>
      <c r="L4670" t="str">
        <f>"615105230"</f>
        <v>615105230</v>
      </c>
      <c r="M4670" t="s">
        <v>84</v>
      </c>
      <c r="N4670" s="1">
        <v>43328.625</v>
      </c>
      <c r="O4670" t="s">
        <v>19</v>
      </c>
    </row>
    <row r="4671" spans="1:15" x14ac:dyDescent="0.25">
      <c r="A4671" t="s">
        <v>3856</v>
      </c>
      <c r="B4671" t="s">
        <v>15</v>
      </c>
      <c r="C4671" t="s">
        <v>27</v>
      </c>
      <c r="D4671" t="s">
        <v>17</v>
      </c>
      <c r="E4671" t="s">
        <v>18</v>
      </c>
      <c r="F4671" t="s">
        <v>19</v>
      </c>
      <c r="G4671" t="s">
        <v>20</v>
      </c>
      <c r="J4671" t="s">
        <v>17</v>
      </c>
      <c r="K4671" t="str">
        <f>"175105230"</f>
        <v>175105230</v>
      </c>
      <c r="L4671" t="str">
        <f>"175105230"</f>
        <v>175105230</v>
      </c>
      <c r="M4671" t="s">
        <v>84</v>
      </c>
      <c r="N4671" s="1">
        <v>43419.947916666664</v>
      </c>
      <c r="O4671" t="s">
        <v>19</v>
      </c>
    </row>
    <row r="4672" spans="1:15" x14ac:dyDescent="0.25">
      <c r="A4672" t="s">
        <v>3857</v>
      </c>
      <c r="B4672" t="s">
        <v>15</v>
      </c>
      <c r="C4672" t="s">
        <v>27</v>
      </c>
      <c r="D4672" t="s">
        <v>17</v>
      </c>
      <c r="E4672" t="s">
        <v>18</v>
      </c>
      <c r="F4672" t="s">
        <v>19</v>
      </c>
      <c r="G4672" t="s">
        <v>20</v>
      </c>
      <c r="J4672" t="s">
        <v>17</v>
      </c>
      <c r="K4672" t="str">
        <f>"174705229"</f>
        <v>174705229</v>
      </c>
      <c r="L4672" t="str">
        <f>"174705229"</f>
        <v>174705229</v>
      </c>
      <c r="M4672" t="s">
        <v>75</v>
      </c>
      <c r="N4672" s="1">
        <v>42872.849305555559</v>
      </c>
      <c r="O4672" t="s">
        <v>19</v>
      </c>
    </row>
    <row r="4673" spans="1:15" x14ac:dyDescent="0.25">
      <c r="A4673" t="s">
        <v>3857</v>
      </c>
      <c r="B4673" t="s">
        <v>15</v>
      </c>
      <c r="C4673" t="s">
        <v>27</v>
      </c>
      <c r="D4673" t="s">
        <v>17</v>
      </c>
      <c r="E4673" t="s">
        <v>18</v>
      </c>
      <c r="F4673" t="s">
        <v>19</v>
      </c>
      <c r="G4673" t="s">
        <v>20</v>
      </c>
      <c r="J4673" t="s">
        <v>17</v>
      </c>
      <c r="K4673" t="str">
        <f>"345805229"</f>
        <v>345805229</v>
      </c>
      <c r="L4673" t="str">
        <f>"345805229"</f>
        <v>345805229</v>
      </c>
      <c r="M4673" t="s">
        <v>75</v>
      </c>
      <c r="N4673" s="1">
        <v>42872.849305555559</v>
      </c>
      <c r="O4673" t="s">
        <v>19</v>
      </c>
    </row>
    <row r="4674" spans="1:15" x14ac:dyDescent="0.25">
      <c r="A4674" t="s">
        <v>3857</v>
      </c>
      <c r="B4674" t="s">
        <v>15</v>
      </c>
      <c r="C4674" t="s">
        <v>27</v>
      </c>
      <c r="D4674" t="s">
        <v>17</v>
      </c>
      <c r="E4674" t="s">
        <v>18</v>
      </c>
      <c r="F4674" t="s">
        <v>19</v>
      </c>
      <c r="G4674" t="s">
        <v>20</v>
      </c>
      <c r="J4674" t="s">
        <v>17</v>
      </c>
      <c r="K4674" t="str">
        <f>"174805229"</f>
        <v>174805229</v>
      </c>
      <c r="L4674" t="str">
        <f>"174805229"</f>
        <v>174805229</v>
      </c>
      <c r="M4674" t="s">
        <v>75</v>
      </c>
      <c r="N4674" s="1">
        <v>42872.849305555559</v>
      </c>
      <c r="O4674" t="s">
        <v>19</v>
      </c>
    </row>
    <row r="4675" spans="1:15" x14ac:dyDescent="0.25">
      <c r="A4675" t="s">
        <v>3858</v>
      </c>
      <c r="B4675" t="s">
        <v>15</v>
      </c>
      <c r="C4675" t="s">
        <v>27</v>
      </c>
      <c r="D4675" t="s">
        <v>17</v>
      </c>
      <c r="E4675" t="s">
        <v>18</v>
      </c>
      <c r="F4675" t="s">
        <v>19</v>
      </c>
      <c r="G4675" t="s">
        <v>20</v>
      </c>
      <c r="J4675" t="s">
        <v>17</v>
      </c>
      <c r="K4675" t="str">
        <f>"174805317"</f>
        <v>174805317</v>
      </c>
      <c r="L4675" t="str">
        <f>"174805317"</f>
        <v>174805317</v>
      </c>
      <c r="M4675" t="s">
        <v>75</v>
      </c>
      <c r="N4675" s="1">
        <v>42987.682638888888</v>
      </c>
      <c r="O4675" t="s">
        <v>19</v>
      </c>
    </row>
    <row r="4676" spans="1:15" x14ac:dyDescent="0.25">
      <c r="A4676" t="s">
        <v>3858</v>
      </c>
      <c r="B4676" t="s">
        <v>15</v>
      </c>
      <c r="C4676" t="s">
        <v>27</v>
      </c>
      <c r="D4676" t="s">
        <v>17</v>
      </c>
      <c r="E4676" t="s">
        <v>18</v>
      </c>
      <c r="F4676" t="s">
        <v>19</v>
      </c>
      <c r="G4676" t="s">
        <v>20</v>
      </c>
      <c r="J4676" t="s">
        <v>17</v>
      </c>
      <c r="K4676" t="str">
        <f>"174805517"</f>
        <v>174805517</v>
      </c>
      <c r="L4676" t="str">
        <f>"174805517"</f>
        <v>174805517</v>
      </c>
      <c r="M4676" t="s">
        <v>75</v>
      </c>
      <c r="N4676" s="1">
        <v>43220.623611111114</v>
      </c>
      <c r="O4676" t="s">
        <v>19</v>
      </c>
    </row>
    <row r="4677" spans="1:15" x14ac:dyDescent="0.25">
      <c r="A4677" t="s">
        <v>3858</v>
      </c>
      <c r="B4677" t="s">
        <v>15</v>
      </c>
      <c r="C4677" t="s">
        <v>27</v>
      </c>
      <c r="D4677" t="s">
        <v>17</v>
      </c>
      <c r="E4677" t="s">
        <v>18</v>
      </c>
      <c r="F4677" t="s">
        <v>19</v>
      </c>
      <c r="G4677" t="s">
        <v>20</v>
      </c>
      <c r="J4677" t="s">
        <v>17</v>
      </c>
      <c r="K4677" t="str">
        <f>"175105317"</f>
        <v>175105317</v>
      </c>
      <c r="L4677" t="str">
        <f>"175105317"</f>
        <v>175105317</v>
      </c>
      <c r="M4677" t="s">
        <v>84</v>
      </c>
      <c r="N4677" s="1">
        <v>43419.947916666664</v>
      </c>
      <c r="O4677" t="s">
        <v>19</v>
      </c>
    </row>
    <row r="4678" spans="1:15" x14ac:dyDescent="0.25">
      <c r="A4678" t="s">
        <v>3859</v>
      </c>
      <c r="B4678" t="s">
        <v>15</v>
      </c>
      <c r="C4678" t="s">
        <v>27</v>
      </c>
      <c r="D4678" t="s">
        <v>17</v>
      </c>
      <c r="E4678" t="s">
        <v>18</v>
      </c>
      <c r="F4678" t="s">
        <v>19</v>
      </c>
      <c r="G4678" t="s">
        <v>20</v>
      </c>
      <c r="J4678" t="s">
        <v>17</v>
      </c>
      <c r="K4678" t="str">
        <f>"765105306"</f>
        <v>765105306</v>
      </c>
      <c r="L4678" t="str">
        <f>"765105306"</f>
        <v>765105306</v>
      </c>
      <c r="M4678" t="s">
        <v>84</v>
      </c>
      <c r="N4678" s="1">
        <v>43307.71597222222</v>
      </c>
      <c r="O4678" t="s">
        <v>19</v>
      </c>
    </row>
    <row r="4679" spans="1:15" x14ac:dyDescent="0.25">
      <c r="A4679" t="s">
        <v>3859</v>
      </c>
      <c r="B4679" t="s">
        <v>15</v>
      </c>
      <c r="C4679" t="s">
        <v>27</v>
      </c>
      <c r="D4679" t="s">
        <v>17</v>
      </c>
      <c r="E4679" t="s">
        <v>18</v>
      </c>
      <c r="F4679" t="s">
        <v>19</v>
      </c>
      <c r="G4679" t="s">
        <v>20</v>
      </c>
      <c r="J4679" t="s">
        <v>17</v>
      </c>
      <c r="K4679" t="str">
        <f>"685105306"</f>
        <v>685105306</v>
      </c>
      <c r="L4679" t="str">
        <f>"685105306"</f>
        <v>685105306</v>
      </c>
      <c r="M4679" t="s">
        <v>84</v>
      </c>
      <c r="N4679" s="1">
        <v>43420.63958333333</v>
      </c>
      <c r="O4679" t="s">
        <v>19</v>
      </c>
    </row>
    <row r="4680" spans="1:15" x14ac:dyDescent="0.25">
      <c r="A4680" t="s">
        <v>3860</v>
      </c>
      <c r="B4680" t="s">
        <v>15</v>
      </c>
      <c r="C4680" t="s">
        <v>27</v>
      </c>
      <c r="D4680" t="s">
        <v>17</v>
      </c>
      <c r="E4680" t="s">
        <v>18</v>
      </c>
      <c r="F4680" t="s">
        <v>19</v>
      </c>
      <c r="G4680" t="s">
        <v>20</v>
      </c>
      <c r="J4680" t="s">
        <v>17</v>
      </c>
      <c r="K4680" t="str">
        <f>"345805260"</f>
        <v>345805260</v>
      </c>
      <c r="L4680" t="str">
        <f>"345805260"</f>
        <v>345805260</v>
      </c>
      <c r="M4680" t="s">
        <v>75</v>
      </c>
      <c r="N4680" s="1">
        <v>42872.849305555559</v>
      </c>
      <c r="O4680" t="s">
        <v>19</v>
      </c>
    </row>
    <row r="4681" spans="1:15" x14ac:dyDescent="0.25">
      <c r="A4681" t="s">
        <v>3860</v>
      </c>
      <c r="B4681" t="s">
        <v>15</v>
      </c>
      <c r="C4681" t="s">
        <v>27</v>
      </c>
      <c r="D4681" t="s">
        <v>17</v>
      </c>
      <c r="E4681" t="s">
        <v>18</v>
      </c>
      <c r="F4681" t="s">
        <v>19</v>
      </c>
      <c r="G4681" t="s">
        <v>20</v>
      </c>
      <c r="J4681" t="s">
        <v>17</v>
      </c>
      <c r="K4681" t="str">
        <f>"767505260"</f>
        <v>767505260</v>
      </c>
      <c r="L4681" t="str">
        <f>"767505260"</f>
        <v>767505260</v>
      </c>
      <c r="M4681" t="s">
        <v>75</v>
      </c>
      <c r="N4681" s="1">
        <v>42872.849305555559</v>
      </c>
      <c r="O4681" t="s">
        <v>19</v>
      </c>
    </row>
    <row r="4682" spans="1:15" x14ac:dyDescent="0.25">
      <c r="A4682" t="s">
        <v>3860</v>
      </c>
      <c r="B4682" t="s">
        <v>15</v>
      </c>
      <c r="C4682" t="s">
        <v>27</v>
      </c>
      <c r="D4682" t="s">
        <v>17</v>
      </c>
      <c r="E4682" t="s">
        <v>18</v>
      </c>
      <c r="F4682" t="s">
        <v>19</v>
      </c>
      <c r="G4682" t="s">
        <v>20</v>
      </c>
      <c r="J4682" t="s">
        <v>17</v>
      </c>
      <c r="K4682" t="str">
        <f>"764805260"</f>
        <v>764805260</v>
      </c>
      <c r="L4682" t="str">
        <f>"764805260"</f>
        <v>764805260</v>
      </c>
      <c r="M4682" t="s">
        <v>75</v>
      </c>
      <c r="N4682" s="1">
        <v>42933.699305555558</v>
      </c>
      <c r="O4682" t="s">
        <v>19</v>
      </c>
    </row>
    <row r="4683" spans="1:15" x14ac:dyDescent="0.25">
      <c r="A4683" t="s">
        <v>3860</v>
      </c>
      <c r="B4683" t="s">
        <v>15</v>
      </c>
      <c r="C4683" t="s">
        <v>27</v>
      </c>
      <c r="D4683" t="s">
        <v>17</v>
      </c>
      <c r="E4683" t="s">
        <v>18</v>
      </c>
      <c r="F4683" t="s">
        <v>19</v>
      </c>
      <c r="G4683" t="s">
        <v>20</v>
      </c>
      <c r="J4683" t="s">
        <v>17</v>
      </c>
      <c r="K4683" t="str">
        <f>"174705260"</f>
        <v>174705260</v>
      </c>
      <c r="L4683" t="str">
        <f>"174705260"</f>
        <v>174705260</v>
      </c>
      <c r="M4683" t="s">
        <v>75</v>
      </c>
      <c r="N4683" s="1">
        <v>43150.633333333331</v>
      </c>
      <c r="O4683" t="s">
        <v>19</v>
      </c>
    </row>
    <row r="4684" spans="1:15" x14ac:dyDescent="0.25">
      <c r="A4684" t="s">
        <v>3861</v>
      </c>
      <c r="B4684" t="s">
        <v>15</v>
      </c>
      <c r="C4684" t="s">
        <v>27</v>
      </c>
      <c r="D4684" t="s">
        <v>17</v>
      </c>
      <c r="E4684" t="s">
        <v>18</v>
      </c>
      <c r="F4684" t="s">
        <v>19</v>
      </c>
      <c r="G4684" t="s">
        <v>20</v>
      </c>
      <c r="J4684" t="s">
        <v>17</v>
      </c>
      <c r="K4684" t="str">
        <f>"764805317"</f>
        <v>764805317</v>
      </c>
      <c r="L4684" t="str">
        <f>"764805317"</f>
        <v>764805317</v>
      </c>
      <c r="M4684" t="s">
        <v>75</v>
      </c>
      <c r="N4684" s="1">
        <v>42933.700694444444</v>
      </c>
      <c r="O4684" t="s">
        <v>19</v>
      </c>
    </row>
    <row r="4685" spans="1:15" x14ac:dyDescent="0.25">
      <c r="A4685" t="s">
        <v>3862</v>
      </c>
      <c r="B4685" t="s">
        <v>15</v>
      </c>
      <c r="C4685" t="s">
        <v>27</v>
      </c>
      <c r="D4685" t="s">
        <v>17</v>
      </c>
      <c r="E4685" t="s">
        <v>18</v>
      </c>
      <c r="F4685" t="s">
        <v>19</v>
      </c>
      <c r="G4685" t="s">
        <v>20</v>
      </c>
      <c r="J4685" t="s">
        <v>17</v>
      </c>
      <c r="K4685" t="str">
        <f>"174805157"</f>
        <v>174805157</v>
      </c>
      <c r="L4685" t="str">
        <f>"174805157"</f>
        <v>174805157</v>
      </c>
      <c r="M4685" t="s">
        <v>75</v>
      </c>
      <c r="N4685" s="1">
        <v>42872.849305555559</v>
      </c>
      <c r="O4685" t="s">
        <v>19</v>
      </c>
    </row>
    <row r="4686" spans="1:15" x14ac:dyDescent="0.25">
      <c r="A4686" t="s">
        <v>3863</v>
      </c>
      <c r="B4686" t="s">
        <v>15</v>
      </c>
      <c r="C4686" t="s">
        <v>27</v>
      </c>
      <c r="D4686" t="s">
        <v>17</v>
      </c>
      <c r="E4686" t="s">
        <v>18</v>
      </c>
      <c r="F4686" t="s">
        <v>19</v>
      </c>
      <c r="G4686" t="s">
        <v>20</v>
      </c>
      <c r="J4686" t="s">
        <v>17</v>
      </c>
      <c r="K4686" t="str">
        <f>"174805159"</f>
        <v>174805159</v>
      </c>
      <c r="L4686" t="str">
        <f>"174805159"</f>
        <v>174805159</v>
      </c>
      <c r="M4686" t="s">
        <v>75</v>
      </c>
      <c r="N4686" s="1">
        <v>42872.849305555559</v>
      </c>
      <c r="O4686" t="s">
        <v>19</v>
      </c>
    </row>
    <row r="4687" spans="1:15" x14ac:dyDescent="0.25">
      <c r="A4687" t="s">
        <v>3863</v>
      </c>
      <c r="B4687" t="s">
        <v>15</v>
      </c>
      <c r="C4687" t="s">
        <v>27</v>
      </c>
      <c r="D4687" t="s">
        <v>17</v>
      </c>
      <c r="E4687" t="s">
        <v>18</v>
      </c>
      <c r="F4687" t="s">
        <v>19</v>
      </c>
      <c r="G4687" t="s">
        <v>20</v>
      </c>
      <c r="J4687" t="s">
        <v>17</v>
      </c>
      <c r="K4687" t="str">
        <f>"764805159"</f>
        <v>764805159</v>
      </c>
      <c r="L4687" t="str">
        <f>"764805159"</f>
        <v>764805159</v>
      </c>
      <c r="M4687" t="s">
        <v>75</v>
      </c>
      <c r="N4687" s="1">
        <v>42872.849305555559</v>
      </c>
      <c r="O4687" t="s">
        <v>19</v>
      </c>
    </row>
    <row r="4688" spans="1:15" x14ac:dyDescent="0.25">
      <c r="A4688" t="s">
        <v>3864</v>
      </c>
      <c r="B4688" t="s">
        <v>15</v>
      </c>
      <c r="C4688" t="s">
        <v>27</v>
      </c>
      <c r="D4688" t="s">
        <v>17</v>
      </c>
      <c r="E4688" t="s">
        <v>18</v>
      </c>
      <c r="F4688" t="s">
        <v>19</v>
      </c>
      <c r="G4688" t="s">
        <v>20</v>
      </c>
      <c r="J4688" t="s">
        <v>17</v>
      </c>
      <c r="K4688" t="str">
        <f>"345905280"</f>
        <v>345905280</v>
      </c>
      <c r="L4688" t="str">
        <f>"345905280"</f>
        <v>345905280</v>
      </c>
      <c r="M4688" t="s">
        <v>75</v>
      </c>
      <c r="N4688" s="1">
        <v>43131.693055555559</v>
      </c>
      <c r="O4688" t="s">
        <v>19</v>
      </c>
    </row>
    <row r="4689" spans="1:15" x14ac:dyDescent="0.25">
      <c r="A4689" t="s">
        <v>3865</v>
      </c>
      <c r="B4689" t="s">
        <v>15</v>
      </c>
      <c r="C4689" t="s">
        <v>27</v>
      </c>
      <c r="D4689" t="s">
        <v>17</v>
      </c>
      <c r="E4689" t="s">
        <v>18</v>
      </c>
      <c r="F4689" t="s">
        <v>19</v>
      </c>
      <c r="G4689" t="s">
        <v>20</v>
      </c>
      <c r="J4689" t="s">
        <v>17</v>
      </c>
      <c r="K4689" t="str">
        <f>"1000001094915"</f>
        <v>1000001094915</v>
      </c>
      <c r="L4689" t="str">
        <f>"765105282"</f>
        <v>765105282</v>
      </c>
      <c r="M4689" t="s">
        <v>21</v>
      </c>
      <c r="N4689" s="1">
        <v>43231.834722222222</v>
      </c>
      <c r="O4689" t="s">
        <v>19</v>
      </c>
    </row>
    <row r="4690" spans="1:15" x14ac:dyDescent="0.25">
      <c r="A4690" t="s">
        <v>3865</v>
      </c>
      <c r="B4690" t="s">
        <v>15</v>
      </c>
      <c r="C4690" t="s">
        <v>27</v>
      </c>
      <c r="D4690" t="s">
        <v>17</v>
      </c>
      <c r="E4690" t="s">
        <v>18</v>
      </c>
      <c r="F4690" t="s">
        <v>19</v>
      </c>
      <c r="G4690" t="s">
        <v>20</v>
      </c>
      <c r="J4690" t="s">
        <v>17</v>
      </c>
      <c r="K4690" t="str">
        <f>"766205282"</f>
        <v>766205282</v>
      </c>
      <c r="L4690" t="str">
        <f>"766205282"</f>
        <v>766205282</v>
      </c>
      <c r="M4690" t="s">
        <v>84</v>
      </c>
      <c r="N4690" s="1">
        <v>43272.800000000003</v>
      </c>
      <c r="O4690" t="s">
        <v>19</v>
      </c>
    </row>
    <row r="4691" spans="1:15" x14ac:dyDescent="0.25">
      <c r="A4691" t="s">
        <v>3865</v>
      </c>
      <c r="B4691" t="s">
        <v>15</v>
      </c>
      <c r="C4691" t="s">
        <v>27</v>
      </c>
      <c r="D4691" t="s">
        <v>17</v>
      </c>
      <c r="E4691" t="s">
        <v>18</v>
      </c>
      <c r="F4691" t="s">
        <v>19</v>
      </c>
      <c r="G4691" t="s">
        <v>20</v>
      </c>
      <c r="J4691" t="s">
        <v>17</v>
      </c>
      <c r="K4691" t="str">
        <f>"766105282"</f>
        <v>766105282</v>
      </c>
      <c r="L4691" t="str">
        <f>"766105282"</f>
        <v>766105282</v>
      </c>
      <c r="M4691" t="s">
        <v>84</v>
      </c>
      <c r="N4691" s="1">
        <v>43272.802083333336</v>
      </c>
      <c r="O4691" t="s">
        <v>19</v>
      </c>
    </row>
    <row r="4692" spans="1:15" x14ac:dyDescent="0.25">
      <c r="A4692" t="s">
        <v>3865</v>
      </c>
      <c r="B4692" t="s">
        <v>15</v>
      </c>
      <c r="C4692" t="s">
        <v>27</v>
      </c>
      <c r="D4692" t="s">
        <v>17</v>
      </c>
      <c r="E4692" t="s">
        <v>18</v>
      </c>
      <c r="F4692" t="s">
        <v>19</v>
      </c>
      <c r="G4692" t="s">
        <v>20</v>
      </c>
      <c r="J4692" t="s">
        <v>17</v>
      </c>
      <c r="K4692" t="str">
        <f>"175105282"</f>
        <v>175105282</v>
      </c>
      <c r="L4692" t="str">
        <f>"175105282"</f>
        <v>175105282</v>
      </c>
      <c r="M4692" t="s">
        <v>84</v>
      </c>
      <c r="N4692" s="1">
        <v>43308.882638888892</v>
      </c>
      <c r="O4692" t="s">
        <v>19</v>
      </c>
    </row>
    <row r="4693" spans="1:15" x14ac:dyDescent="0.25">
      <c r="A4693" t="s">
        <v>3865</v>
      </c>
      <c r="B4693" t="s">
        <v>15</v>
      </c>
      <c r="C4693" t="s">
        <v>27</v>
      </c>
      <c r="D4693" t="s">
        <v>17</v>
      </c>
      <c r="E4693" t="s">
        <v>18</v>
      </c>
      <c r="F4693" t="s">
        <v>19</v>
      </c>
      <c r="G4693" t="s">
        <v>20</v>
      </c>
      <c r="J4693" t="s">
        <v>17</v>
      </c>
      <c r="K4693" t="str">
        <f>"1000001094229"</f>
        <v>1000001094229</v>
      </c>
      <c r="L4693" t="str">
        <f>"766505282"</f>
        <v>766505282</v>
      </c>
      <c r="M4693" t="s">
        <v>84</v>
      </c>
      <c r="N4693" s="1">
        <v>43320.948611111111</v>
      </c>
      <c r="O4693" t="s">
        <v>19</v>
      </c>
    </row>
    <row r="4694" spans="1:15" x14ac:dyDescent="0.25">
      <c r="A4694" t="s">
        <v>3865</v>
      </c>
      <c r="B4694" t="s">
        <v>15</v>
      </c>
      <c r="C4694" t="s">
        <v>27</v>
      </c>
      <c r="D4694" t="s">
        <v>17</v>
      </c>
      <c r="E4694" t="s">
        <v>18</v>
      </c>
      <c r="F4694" t="s">
        <v>19</v>
      </c>
      <c r="G4694" t="s">
        <v>20</v>
      </c>
      <c r="J4694" t="s">
        <v>17</v>
      </c>
      <c r="K4694" t="str">
        <f>"763905282"</f>
        <v>763905282</v>
      </c>
      <c r="L4694" t="str">
        <f>"763905282"</f>
        <v>763905282</v>
      </c>
      <c r="M4694" t="s">
        <v>84</v>
      </c>
      <c r="N4694" s="1">
        <v>43335.711111111108</v>
      </c>
      <c r="O4694" t="s">
        <v>19</v>
      </c>
    </row>
    <row r="4695" spans="1:15" x14ac:dyDescent="0.25">
      <c r="A4695" t="s">
        <v>3865</v>
      </c>
      <c r="B4695" t="s">
        <v>15</v>
      </c>
      <c r="C4695" t="s">
        <v>27</v>
      </c>
      <c r="D4695" t="s">
        <v>17</v>
      </c>
      <c r="E4695" t="s">
        <v>18</v>
      </c>
      <c r="F4695" t="s">
        <v>19</v>
      </c>
      <c r="G4695" t="s">
        <v>20</v>
      </c>
      <c r="J4695" t="s">
        <v>17</v>
      </c>
      <c r="K4695" t="str">
        <f>"1000001092010"</f>
        <v>1000001092010</v>
      </c>
      <c r="L4695" t="str">
        <f>"767705282"</f>
        <v>767705282</v>
      </c>
      <c r="M4695" t="s">
        <v>84</v>
      </c>
      <c r="N4695" s="1">
        <v>43335.711805555555</v>
      </c>
      <c r="O4695" t="s">
        <v>19</v>
      </c>
    </row>
    <row r="4696" spans="1:15" x14ac:dyDescent="0.25">
      <c r="A4696" t="s">
        <v>3865</v>
      </c>
      <c r="B4696" t="s">
        <v>15</v>
      </c>
      <c r="C4696" t="s">
        <v>27</v>
      </c>
      <c r="D4696" t="s">
        <v>17</v>
      </c>
      <c r="E4696" t="s">
        <v>18</v>
      </c>
      <c r="F4696" t="s">
        <v>19</v>
      </c>
      <c r="G4696" t="s">
        <v>20</v>
      </c>
      <c r="J4696" t="s">
        <v>17</v>
      </c>
      <c r="K4696" t="str">
        <f>"766405282"</f>
        <v>766405282</v>
      </c>
      <c r="L4696" t="str">
        <f>"766405282"</f>
        <v>766405282</v>
      </c>
      <c r="M4696" t="s">
        <v>84</v>
      </c>
      <c r="N4696" s="1">
        <v>43465.648611111108</v>
      </c>
      <c r="O4696" t="s">
        <v>19</v>
      </c>
    </row>
    <row r="4697" spans="1:15" x14ac:dyDescent="0.25">
      <c r="A4697" t="s">
        <v>3865</v>
      </c>
      <c r="B4697" t="s">
        <v>15</v>
      </c>
      <c r="C4697" t="s">
        <v>27</v>
      </c>
      <c r="D4697" t="s">
        <v>17</v>
      </c>
      <c r="E4697" t="s">
        <v>18</v>
      </c>
      <c r="F4697" t="s">
        <v>19</v>
      </c>
      <c r="G4697" t="s">
        <v>20</v>
      </c>
      <c r="J4697" t="s">
        <v>17</v>
      </c>
      <c r="K4697" t="str">
        <f>"768905282"</f>
        <v>768905282</v>
      </c>
      <c r="L4697" t="str">
        <f>"768905282"</f>
        <v>768905282</v>
      </c>
      <c r="M4697" t="s">
        <v>84</v>
      </c>
      <c r="N4697" s="1">
        <v>43528.663888888892</v>
      </c>
      <c r="O4697" t="s">
        <v>19</v>
      </c>
    </row>
    <row r="4698" spans="1:15" x14ac:dyDescent="0.25">
      <c r="A4698" t="s">
        <v>3865</v>
      </c>
      <c r="B4698" t="s">
        <v>15</v>
      </c>
      <c r="C4698" t="s">
        <v>27</v>
      </c>
      <c r="D4698" t="s">
        <v>17</v>
      </c>
      <c r="E4698" t="s">
        <v>18</v>
      </c>
      <c r="F4698" t="s">
        <v>19</v>
      </c>
      <c r="G4698" t="s">
        <v>20</v>
      </c>
      <c r="J4698" t="s">
        <v>17</v>
      </c>
      <c r="K4698" t="str">
        <f>"2019030400214"</f>
        <v>2019030400214</v>
      </c>
      <c r="L4698" t="str">
        <f>"187505317"</f>
        <v>187505317</v>
      </c>
      <c r="M4698" t="s">
        <v>21</v>
      </c>
      <c r="N4698" s="1">
        <v>43603.662499999999</v>
      </c>
      <c r="O4698" t="s">
        <v>19</v>
      </c>
    </row>
    <row r="4699" spans="1:15" x14ac:dyDescent="0.25">
      <c r="A4699" t="s">
        <v>3866</v>
      </c>
      <c r="B4699" t="s">
        <v>15</v>
      </c>
      <c r="C4699" t="s">
        <v>27</v>
      </c>
      <c r="D4699" t="s">
        <v>17</v>
      </c>
      <c r="E4699" t="s">
        <v>18</v>
      </c>
      <c r="F4699" t="s">
        <v>19</v>
      </c>
      <c r="G4699" t="s">
        <v>20</v>
      </c>
      <c r="J4699" t="s">
        <v>17</v>
      </c>
      <c r="K4699" t="str">
        <f>"2019030102323"</f>
        <v>2019030102323</v>
      </c>
      <c r="L4699" t="str">
        <f>"614805317"</f>
        <v>614805317</v>
      </c>
      <c r="M4699" t="s">
        <v>21</v>
      </c>
      <c r="N4699" s="1">
        <v>43603.676388888889</v>
      </c>
      <c r="O4699" t="s">
        <v>19</v>
      </c>
    </row>
    <row r="4700" spans="1:15" x14ac:dyDescent="0.25">
      <c r="A4700" t="s">
        <v>3866</v>
      </c>
      <c r="B4700" t="s">
        <v>15</v>
      </c>
      <c r="C4700" t="s">
        <v>27</v>
      </c>
      <c r="D4700" t="s">
        <v>17</v>
      </c>
      <c r="E4700" t="s">
        <v>18</v>
      </c>
      <c r="F4700" t="s">
        <v>19</v>
      </c>
      <c r="G4700" t="s">
        <v>20</v>
      </c>
      <c r="J4700" t="s">
        <v>17</v>
      </c>
      <c r="K4700" t="str">
        <f>"1000001021263"</f>
        <v>1000001021263</v>
      </c>
      <c r="L4700" t="str">
        <f>"765105317"</f>
        <v>765105317</v>
      </c>
      <c r="M4700" t="s">
        <v>21</v>
      </c>
      <c r="N4700" s="1">
        <v>43666.669444444444</v>
      </c>
      <c r="O4700" t="s">
        <v>19</v>
      </c>
    </row>
    <row r="4701" spans="1:15" x14ac:dyDescent="0.25">
      <c r="A4701" t="s">
        <v>3867</v>
      </c>
      <c r="B4701" t="s">
        <v>15</v>
      </c>
      <c r="C4701" t="s">
        <v>27</v>
      </c>
      <c r="D4701" t="s">
        <v>17</v>
      </c>
      <c r="E4701" t="s">
        <v>18</v>
      </c>
      <c r="F4701" t="s">
        <v>19</v>
      </c>
      <c r="G4701" t="s">
        <v>20</v>
      </c>
      <c r="J4701" t="s">
        <v>17</v>
      </c>
      <c r="K4701" t="str">
        <f>"174805280"</f>
        <v>174805280</v>
      </c>
      <c r="L4701" t="str">
        <f>"174805280"</f>
        <v>174805280</v>
      </c>
      <c r="M4701" t="s">
        <v>75</v>
      </c>
      <c r="N4701" s="1">
        <v>42872.849305555559</v>
      </c>
      <c r="O4701" t="s">
        <v>19</v>
      </c>
    </row>
    <row r="4702" spans="1:15" x14ac:dyDescent="0.25">
      <c r="A4702" t="s">
        <v>3867</v>
      </c>
      <c r="B4702" t="s">
        <v>15</v>
      </c>
      <c r="C4702" t="s">
        <v>27</v>
      </c>
      <c r="D4702" t="s">
        <v>17</v>
      </c>
      <c r="E4702" t="s">
        <v>18</v>
      </c>
      <c r="F4702" t="s">
        <v>19</v>
      </c>
      <c r="G4702" t="s">
        <v>20</v>
      </c>
      <c r="J4702" t="s">
        <v>17</v>
      </c>
      <c r="K4702" t="str">
        <f>"175805280"</f>
        <v>175805280</v>
      </c>
      <c r="L4702" t="str">
        <f>"175805280"</f>
        <v>175805280</v>
      </c>
      <c r="M4702" t="s">
        <v>75</v>
      </c>
      <c r="N4702" s="1">
        <v>42872.849305555559</v>
      </c>
      <c r="O4702" t="s">
        <v>19</v>
      </c>
    </row>
    <row r="4703" spans="1:15" x14ac:dyDescent="0.25">
      <c r="A4703" t="s">
        <v>3867</v>
      </c>
      <c r="B4703" t="s">
        <v>15</v>
      </c>
      <c r="C4703" t="s">
        <v>27</v>
      </c>
      <c r="D4703" t="s">
        <v>17</v>
      </c>
      <c r="E4703" t="s">
        <v>18</v>
      </c>
      <c r="F4703" t="s">
        <v>19</v>
      </c>
      <c r="G4703" t="s">
        <v>20</v>
      </c>
      <c r="J4703" t="s">
        <v>17</v>
      </c>
      <c r="K4703" t="str">
        <f>"764805280"</f>
        <v>764805280</v>
      </c>
      <c r="L4703" t="str">
        <f>"764805280"</f>
        <v>764805280</v>
      </c>
      <c r="M4703" t="s">
        <v>75</v>
      </c>
      <c r="N4703" s="1">
        <v>42959.729861111111</v>
      </c>
      <c r="O4703" t="s">
        <v>19</v>
      </c>
    </row>
    <row r="4704" spans="1:15" x14ac:dyDescent="0.25">
      <c r="A4704" t="s">
        <v>3867</v>
      </c>
      <c r="B4704" t="s">
        <v>15</v>
      </c>
      <c r="C4704" t="s">
        <v>27</v>
      </c>
      <c r="D4704" t="s">
        <v>17</v>
      </c>
      <c r="E4704" t="s">
        <v>18</v>
      </c>
      <c r="F4704" t="s">
        <v>19</v>
      </c>
      <c r="G4704" t="s">
        <v>20</v>
      </c>
      <c r="J4704" t="s">
        <v>17</v>
      </c>
      <c r="K4704" t="str">
        <f>"344805280"</f>
        <v>344805280</v>
      </c>
      <c r="L4704" t="str">
        <f>"344805280"</f>
        <v>344805280</v>
      </c>
      <c r="M4704" t="s">
        <v>75</v>
      </c>
      <c r="N4704" s="1">
        <v>43066.754861111112</v>
      </c>
      <c r="O4704" t="s">
        <v>19</v>
      </c>
    </row>
    <row r="4705" spans="1:15" x14ac:dyDescent="0.25">
      <c r="A4705" t="s">
        <v>3867</v>
      </c>
      <c r="B4705" t="s">
        <v>15</v>
      </c>
      <c r="C4705" t="s">
        <v>27</v>
      </c>
      <c r="D4705" t="s">
        <v>17</v>
      </c>
      <c r="E4705" t="s">
        <v>18</v>
      </c>
      <c r="F4705" t="s">
        <v>19</v>
      </c>
      <c r="G4705" t="s">
        <v>20</v>
      </c>
      <c r="J4705" t="s">
        <v>17</v>
      </c>
      <c r="K4705" t="str">
        <f>"760405280"</f>
        <v>760405280</v>
      </c>
      <c r="L4705" t="str">
        <f>"760405280"</f>
        <v>760405280</v>
      </c>
      <c r="M4705" t="s">
        <v>75</v>
      </c>
      <c r="N4705" s="1">
        <v>43113.634027777778</v>
      </c>
      <c r="O4705" t="s">
        <v>19</v>
      </c>
    </row>
    <row r="4706" spans="1:15" x14ac:dyDescent="0.25">
      <c r="A4706" t="s">
        <v>3867</v>
      </c>
      <c r="B4706" t="s">
        <v>15</v>
      </c>
      <c r="C4706" t="s">
        <v>27</v>
      </c>
      <c r="D4706" t="s">
        <v>17</v>
      </c>
      <c r="E4706" t="s">
        <v>18</v>
      </c>
      <c r="F4706" t="s">
        <v>19</v>
      </c>
      <c r="G4706" t="s">
        <v>20</v>
      </c>
      <c r="J4706" t="s">
        <v>17</v>
      </c>
      <c r="K4706" t="str">
        <f>"765105280"</f>
        <v>765105280</v>
      </c>
      <c r="L4706" t="str">
        <f>"765105280"</f>
        <v>765105280</v>
      </c>
      <c r="M4706" t="s">
        <v>75</v>
      </c>
      <c r="N4706" s="1">
        <v>43148.646527777775</v>
      </c>
      <c r="O4706" t="s">
        <v>19</v>
      </c>
    </row>
    <row r="4707" spans="1:15" x14ac:dyDescent="0.25">
      <c r="A4707" t="s">
        <v>3867</v>
      </c>
      <c r="B4707" t="s">
        <v>15</v>
      </c>
      <c r="C4707" t="s">
        <v>27</v>
      </c>
      <c r="D4707" t="s">
        <v>17</v>
      </c>
      <c r="E4707" t="s">
        <v>18</v>
      </c>
      <c r="F4707" t="s">
        <v>19</v>
      </c>
      <c r="G4707" t="s">
        <v>20</v>
      </c>
      <c r="J4707" t="s">
        <v>17</v>
      </c>
      <c r="K4707" t="str">
        <f>"766405280"</f>
        <v>766405280</v>
      </c>
      <c r="L4707" t="str">
        <f>"766405280"</f>
        <v>766405280</v>
      </c>
      <c r="M4707" t="s">
        <v>84</v>
      </c>
      <c r="N4707" s="1">
        <v>43251.737500000003</v>
      </c>
      <c r="O4707" t="s">
        <v>19</v>
      </c>
    </row>
    <row r="4708" spans="1:15" x14ac:dyDescent="0.25">
      <c r="A4708" t="s">
        <v>3867</v>
      </c>
      <c r="B4708" t="s">
        <v>15</v>
      </c>
      <c r="C4708" t="s">
        <v>27</v>
      </c>
      <c r="D4708" t="s">
        <v>17</v>
      </c>
      <c r="E4708" t="s">
        <v>18</v>
      </c>
      <c r="F4708" t="s">
        <v>19</v>
      </c>
      <c r="G4708" t="s">
        <v>20</v>
      </c>
      <c r="J4708" t="s">
        <v>17</v>
      </c>
      <c r="K4708" t="str">
        <f>"935105280"</f>
        <v>935105280</v>
      </c>
      <c r="L4708" t="str">
        <f>"935105280"</f>
        <v>935105280</v>
      </c>
      <c r="M4708" t="s">
        <v>84</v>
      </c>
      <c r="N4708" s="1">
        <v>43267.790972222225</v>
      </c>
      <c r="O4708" t="s">
        <v>19</v>
      </c>
    </row>
    <row r="4709" spans="1:15" x14ac:dyDescent="0.25">
      <c r="A4709" t="s">
        <v>3867</v>
      </c>
      <c r="B4709" t="s">
        <v>15</v>
      </c>
      <c r="C4709" t="s">
        <v>27</v>
      </c>
      <c r="D4709" t="s">
        <v>17</v>
      </c>
      <c r="E4709" t="s">
        <v>18</v>
      </c>
      <c r="F4709" t="s">
        <v>19</v>
      </c>
      <c r="G4709" t="s">
        <v>20</v>
      </c>
      <c r="J4709" t="s">
        <v>17</v>
      </c>
      <c r="K4709" t="str">
        <f>"766105280"</f>
        <v>766105280</v>
      </c>
      <c r="L4709" t="str">
        <f>"766105280"</f>
        <v>766105280</v>
      </c>
      <c r="M4709" t="s">
        <v>84</v>
      </c>
      <c r="N4709" s="1">
        <v>43286.982638888891</v>
      </c>
      <c r="O4709" t="s">
        <v>19</v>
      </c>
    </row>
    <row r="4710" spans="1:15" x14ac:dyDescent="0.25">
      <c r="A4710" t="s">
        <v>3867</v>
      </c>
      <c r="B4710" t="s">
        <v>15</v>
      </c>
      <c r="C4710" t="s">
        <v>27</v>
      </c>
      <c r="D4710" t="s">
        <v>17</v>
      </c>
      <c r="E4710" t="s">
        <v>18</v>
      </c>
      <c r="F4710" t="s">
        <v>19</v>
      </c>
      <c r="G4710" t="s">
        <v>20</v>
      </c>
      <c r="J4710" t="s">
        <v>17</v>
      </c>
      <c r="K4710" t="str">
        <f>"175105280"</f>
        <v>175105280</v>
      </c>
      <c r="L4710" t="str">
        <f>"175105280"</f>
        <v>175105280</v>
      </c>
      <c r="M4710" t="s">
        <v>84</v>
      </c>
      <c r="N4710" s="1">
        <v>43308.885416666664</v>
      </c>
      <c r="O4710" t="s">
        <v>19</v>
      </c>
    </row>
    <row r="4711" spans="1:15" x14ac:dyDescent="0.25">
      <c r="A4711" t="s">
        <v>3867</v>
      </c>
      <c r="B4711" t="s">
        <v>15</v>
      </c>
      <c r="C4711" t="s">
        <v>27</v>
      </c>
      <c r="D4711" t="s">
        <v>17</v>
      </c>
      <c r="E4711" t="s">
        <v>18</v>
      </c>
      <c r="F4711" t="s">
        <v>19</v>
      </c>
      <c r="G4711" t="s">
        <v>20</v>
      </c>
      <c r="J4711" t="s">
        <v>17</v>
      </c>
      <c r="K4711" t="str">
        <f>"866405280"</f>
        <v>866405280</v>
      </c>
      <c r="L4711" t="str">
        <f>"866405280"</f>
        <v>866405280</v>
      </c>
      <c r="M4711" t="s">
        <v>84</v>
      </c>
      <c r="N4711" s="1">
        <v>43364.93472222222</v>
      </c>
      <c r="O4711" t="s">
        <v>19</v>
      </c>
    </row>
    <row r="4712" spans="1:15" x14ac:dyDescent="0.25">
      <c r="A4712" t="s">
        <v>3868</v>
      </c>
      <c r="B4712" t="s">
        <v>15</v>
      </c>
      <c r="C4712" t="s">
        <v>27</v>
      </c>
      <c r="D4712" t="s">
        <v>17</v>
      </c>
      <c r="E4712" t="s">
        <v>18</v>
      </c>
      <c r="F4712" t="s">
        <v>19</v>
      </c>
      <c r="G4712" t="s">
        <v>20</v>
      </c>
      <c r="J4712" t="s">
        <v>17</v>
      </c>
      <c r="K4712" t="str">
        <f>"174805620"</f>
        <v>174805620</v>
      </c>
      <c r="L4712" t="str">
        <f>"174805620"</f>
        <v>174805620</v>
      </c>
      <c r="M4712" t="s">
        <v>75</v>
      </c>
      <c r="N4712" s="1">
        <v>42872.849305555559</v>
      </c>
      <c r="O4712" t="s">
        <v>19</v>
      </c>
    </row>
    <row r="4713" spans="1:15" x14ac:dyDescent="0.25">
      <c r="A4713" t="s">
        <v>3869</v>
      </c>
      <c r="B4713" t="s">
        <v>15</v>
      </c>
      <c r="C4713" t="s">
        <v>27</v>
      </c>
      <c r="D4713" t="s">
        <v>17</v>
      </c>
      <c r="E4713" t="s">
        <v>18</v>
      </c>
      <c r="F4713" t="s">
        <v>19</v>
      </c>
      <c r="G4713" t="s">
        <v>20</v>
      </c>
      <c r="J4713" t="s">
        <v>17</v>
      </c>
      <c r="K4713" t="str">
        <f>"17470572"</f>
        <v>17470572</v>
      </c>
      <c r="L4713" t="str">
        <f>"17470572"</f>
        <v>17470572</v>
      </c>
      <c r="M4713" t="s">
        <v>75</v>
      </c>
      <c r="N4713" s="1">
        <v>42872.839583333334</v>
      </c>
      <c r="O4713" t="s">
        <v>19</v>
      </c>
    </row>
    <row r="4714" spans="1:15" x14ac:dyDescent="0.25">
      <c r="A4714" t="s">
        <v>3869</v>
      </c>
      <c r="B4714" t="s">
        <v>15</v>
      </c>
      <c r="C4714" t="s">
        <v>27</v>
      </c>
      <c r="D4714" t="s">
        <v>17</v>
      </c>
      <c r="E4714" t="s">
        <v>18</v>
      </c>
      <c r="F4714" t="s">
        <v>19</v>
      </c>
      <c r="G4714" t="s">
        <v>20</v>
      </c>
      <c r="J4714" t="s">
        <v>17</v>
      </c>
      <c r="K4714" t="str">
        <f>"17480572"</f>
        <v>17480572</v>
      </c>
      <c r="L4714" t="str">
        <f>"17480572"</f>
        <v>17480572</v>
      </c>
      <c r="M4714" t="s">
        <v>75</v>
      </c>
      <c r="N4714" s="1">
        <v>42872.839583333334</v>
      </c>
      <c r="O4714" t="s">
        <v>19</v>
      </c>
    </row>
    <row r="4715" spans="1:15" x14ac:dyDescent="0.25">
      <c r="A4715" t="s">
        <v>3869</v>
      </c>
      <c r="B4715" t="s">
        <v>15</v>
      </c>
      <c r="C4715" t="s">
        <v>27</v>
      </c>
      <c r="D4715" t="s">
        <v>17</v>
      </c>
      <c r="E4715" t="s">
        <v>18</v>
      </c>
      <c r="F4715" t="s">
        <v>19</v>
      </c>
      <c r="G4715" t="s">
        <v>20</v>
      </c>
      <c r="J4715" t="s">
        <v>17</v>
      </c>
      <c r="K4715" t="str">
        <f>"17480574"</f>
        <v>17480574</v>
      </c>
      <c r="L4715" t="str">
        <f>"17480574"</f>
        <v>17480574</v>
      </c>
      <c r="M4715" t="s">
        <v>75</v>
      </c>
      <c r="N4715" s="1">
        <v>42872.839583333334</v>
      </c>
      <c r="O4715" t="s">
        <v>19</v>
      </c>
    </row>
    <row r="4716" spans="1:15" x14ac:dyDescent="0.25">
      <c r="A4716" t="s">
        <v>3869</v>
      </c>
      <c r="B4716" t="s">
        <v>15</v>
      </c>
      <c r="C4716" t="s">
        <v>27</v>
      </c>
      <c r="D4716" t="s">
        <v>17</v>
      </c>
      <c r="E4716" t="s">
        <v>18</v>
      </c>
      <c r="F4716" t="s">
        <v>19</v>
      </c>
      <c r="G4716" t="s">
        <v>20</v>
      </c>
      <c r="J4716" t="s">
        <v>17</v>
      </c>
      <c r="K4716" t="str">
        <f>"34480572"</f>
        <v>34480572</v>
      </c>
      <c r="L4716" t="str">
        <f>"34480572"</f>
        <v>34480572</v>
      </c>
      <c r="M4716" t="s">
        <v>75</v>
      </c>
      <c r="N4716" s="1">
        <v>42872.839583333334</v>
      </c>
      <c r="O4716" t="s">
        <v>19</v>
      </c>
    </row>
    <row r="4717" spans="1:15" x14ac:dyDescent="0.25">
      <c r="A4717" t="s">
        <v>3869</v>
      </c>
      <c r="B4717" t="s">
        <v>15</v>
      </c>
      <c r="C4717" t="s">
        <v>27</v>
      </c>
      <c r="D4717" t="s">
        <v>17</v>
      </c>
      <c r="E4717" t="s">
        <v>18</v>
      </c>
      <c r="F4717" t="s">
        <v>19</v>
      </c>
      <c r="G4717" t="s">
        <v>20</v>
      </c>
      <c r="J4717" t="s">
        <v>17</v>
      </c>
      <c r="K4717" t="str">
        <f>"34480574"</f>
        <v>34480574</v>
      </c>
      <c r="L4717" t="str">
        <f>"34480574"</f>
        <v>34480574</v>
      </c>
      <c r="M4717" t="s">
        <v>75</v>
      </c>
      <c r="N4717" s="1">
        <v>42872.839583333334</v>
      </c>
      <c r="O4717" t="s">
        <v>19</v>
      </c>
    </row>
    <row r="4718" spans="1:15" x14ac:dyDescent="0.25">
      <c r="A4718" t="s">
        <v>3869</v>
      </c>
      <c r="B4718" t="s">
        <v>15</v>
      </c>
      <c r="C4718" t="s">
        <v>27</v>
      </c>
      <c r="D4718" t="s">
        <v>17</v>
      </c>
      <c r="E4718" t="s">
        <v>18</v>
      </c>
      <c r="F4718" t="s">
        <v>19</v>
      </c>
      <c r="G4718" t="s">
        <v>20</v>
      </c>
      <c r="J4718" t="s">
        <v>17</v>
      </c>
      <c r="K4718" t="str">
        <f>"76470572"</f>
        <v>76470572</v>
      </c>
      <c r="L4718" t="str">
        <f>"76470572"</f>
        <v>76470572</v>
      </c>
      <c r="M4718" t="s">
        <v>75</v>
      </c>
      <c r="N4718" s="1">
        <v>42872.847222222219</v>
      </c>
      <c r="O4718" t="s">
        <v>19</v>
      </c>
    </row>
    <row r="4719" spans="1:15" x14ac:dyDescent="0.25">
      <c r="A4719" t="s">
        <v>3869</v>
      </c>
      <c r="B4719" t="s">
        <v>15</v>
      </c>
      <c r="C4719" t="s">
        <v>27</v>
      </c>
      <c r="D4719" t="s">
        <v>17</v>
      </c>
      <c r="E4719" t="s">
        <v>18</v>
      </c>
      <c r="F4719" t="s">
        <v>19</v>
      </c>
      <c r="G4719" t="s">
        <v>20</v>
      </c>
      <c r="J4719" t="s">
        <v>17</v>
      </c>
      <c r="K4719" t="str">
        <f>"76480572"</f>
        <v>76480572</v>
      </c>
      <c r="L4719" t="str">
        <f>"76480572"</f>
        <v>76480572</v>
      </c>
      <c r="M4719" t="s">
        <v>75</v>
      </c>
      <c r="N4719" s="1">
        <v>42872.847222222219</v>
      </c>
      <c r="O4719" t="s">
        <v>19</v>
      </c>
    </row>
    <row r="4720" spans="1:15" x14ac:dyDescent="0.25">
      <c r="A4720" t="s">
        <v>3870</v>
      </c>
      <c r="B4720" t="s">
        <v>15</v>
      </c>
      <c r="C4720" t="s">
        <v>27</v>
      </c>
      <c r="D4720" t="s">
        <v>17</v>
      </c>
      <c r="E4720" t="s">
        <v>18</v>
      </c>
      <c r="F4720" t="s">
        <v>19</v>
      </c>
      <c r="G4720" t="s">
        <v>20</v>
      </c>
      <c r="J4720" t="s">
        <v>17</v>
      </c>
      <c r="K4720" t="str">
        <f>"174805118"</f>
        <v>174805118</v>
      </c>
      <c r="L4720" t="str">
        <f>"174805118"</f>
        <v>174805118</v>
      </c>
      <c r="M4720" t="s">
        <v>75</v>
      </c>
      <c r="N4720" s="1">
        <v>42872.849305555559</v>
      </c>
      <c r="O4720" t="s">
        <v>19</v>
      </c>
    </row>
    <row r="4721" spans="1:15" x14ac:dyDescent="0.25">
      <c r="A4721" t="s">
        <v>3870</v>
      </c>
      <c r="B4721" t="s">
        <v>15</v>
      </c>
      <c r="C4721" t="s">
        <v>27</v>
      </c>
      <c r="D4721" t="s">
        <v>17</v>
      </c>
      <c r="E4721" t="s">
        <v>18</v>
      </c>
      <c r="F4721" t="s">
        <v>19</v>
      </c>
      <c r="G4721" t="s">
        <v>20</v>
      </c>
      <c r="J4721" t="s">
        <v>17</v>
      </c>
      <c r="K4721" t="str">
        <f>"344805118"</f>
        <v>344805118</v>
      </c>
      <c r="L4721" t="str">
        <f>"344805118"</f>
        <v>344805118</v>
      </c>
      <c r="M4721" t="s">
        <v>75</v>
      </c>
      <c r="N4721" s="1">
        <v>42872.849305555559</v>
      </c>
      <c r="O4721" t="s">
        <v>19</v>
      </c>
    </row>
    <row r="4722" spans="1:15" x14ac:dyDescent="0.25">
      <c r="A4722" t="s">
        <v>3871</v>
      </c>
      <c r="B4722" t="s">
        <v>15</v>
      </c>
      <c r="C4722" t="s">
        <v>27</v>
      </c>
      <c r="D4722" t="s">
        <v>17</v>
      </c>
      <c r="E4722" t="s">
        <v>18</v>
      </c>
      <c r="F4722" t="s">
        <v>19</v>
      </c>
      <c r="G4722" t="s">
        <v>20</v>
      </c>
      <c r="J4722" t="s">
        <v>17</v>
      </c>
      <c r="K4722" t="str">
        <f>"174805170"</f>
        <v>174805170</v>
      </c>
      <c r="L4722" t="str">
        <f>"174805170"</f>
        <v>174805170</v>
      </c>
      <c r="M4722" t="s">
        <v>75</v>
      </c>
      <c r="N4722" s="1">
        <v>42872.849305555559</v>
      </c>
      <c r="O4722" t="s">
        <v>19</v>
      </c>
    </row>
    <row r="4723" spans="1:15" x14ac:dyDescent="0.25">
      <c r="A4723" t="s">
        <v>3872</v>
      </c>
      <c r="B4723" t="s">
        <v>15</v>
      </c>
      <c r="C4723" t="s">
        <v>27</v>
      </c>
      <c r="D4723" t="s">
        <v>17</v>
      </c>
      <c r="E4723" t="s">
        <v>18</v>
      </c>
      <c r="F4723" t="s">
        <v>19</v>
      </c>
      <c r="G4723" t="s">
        <v>20</v>
      </c>
      <c r="J4723" t="s">
        <v>17</v>
      </c>
      <c r="K4723" t="str">
        <f>"1000001099613"</f>
        <v>1000001099613</v>
      </c>
      <c r="L4723" t="str">
        <f>"765114263"</f>
        <v>765114263</v>
      </c>
      <c r="M4723" t="s">
        <v>84</v>
      </c>
      <c r="N4723" s="1">
        <v>43451.659722222219</v>
      </c>
      <c r="O4723" t="s">
        <v>19</v>
      </c>
    </row>
    <row r="4724" spans="1:15" x14ac:dyDescent="0.25">
      <c r="A4724" t="s">
        <v>3872</v>
      </c>
      <c r="B4724" t="s">
        <v>15</v>
      </c>
      <c r="C4724" t="s">
        <v>27</v>
      </c>
      <c r="D4724" t="s">
        <v>17</v>
      </c>
      <c r="E4724" t="s">
        <v>18</v>
      </c>
      <c r="F4724" t="s">
        <v>19</v>
      </c>
      <c r="G4724" t="s">
        <v>20</v>
      </c>
      <c r="J4724" t="s">
        <v>17</v>
      </c>
      <c r="K4724" t="str">
        <f>"1000001022796"</f>
        <v>1000001022796</v>
      </c>
      <c r="L4724" t="str">
        <f>"768914263"</f>
        <v>768914263</v>
      </c>
      <c r="M4724" t="s">
        <v>21</v>
      </c>
      <c r="N4724" s="1">
        <v>43528.663194444445</v>
      </c>
      <c r="O4724" t="s">
        <v>19</v>
      </c>
    </row>
    <row r="4725" spans="1:15" x14ac:dyDescent="0.25">
      <c r="A4725" t="s">
        <v>3872</v>
      </c>
      <c r="B4725" t="s">
        <v>15</v>
      </c>
      <c r="C4725" t="s">
        <v>27</v>
      </c>
      <c r="D4725" t="s">
        <v>17</v>
      </c>
      <c r="E4725" t="s">
        <v>18</v>
      </c>
      <c r="F4725" t="s">
        <v>19</v>
      </c>
      <c r="G4725" t="s">
        <v>20</v>
      </c>
      <c r="J4725" t="s">
        <v>17</v>
      </c>
      <c r="K4725" t="str">
        <f>"2020060401089"</f>
        <v>2020060401089</v>
      </c>
      <c r="L4725" t="str">
        <f>"185105329"</f>
        <v>185105329</v>
      </c>
      <c r="M4725" t="s">
        <v>21</v>
      </c>
      <c r="N4725" s="1">
        <v>43609.952777777777</v>
      </c>
      <c r="O4725" t="s">
        <v>19</v>
      </c>
    </row>
    <row r="4726" spans="1:15" x14ac:dyDescent="0.25">
      <c r="A4726" t="s">
        <v>3872</v>
      </c>
      <c r="B4726" t="s">
        <v>15</v>
      </c>
      <c r="C4726" t="s">
        <v>27</v>
      </c>
      <c r="D4726" t="s">
        <v>17</v>
      </c>
      <c r="E4726" t="s">
        <v>18</v>
      </c>
      <c r="F4726" t="s">
        <v>19</v>
      </c>
      <c r="G4726" t="s">
        <v>20</v>
      </c>
      <c r="J4726" t="s">
        <v>17</v>
      </c>
      <c r="K4726" t="str">
        <f>"2018110200164"</f>
        <v>2018110200164</v>
      </c>
      <c r="L4726" t="str">
        <f>"187514263"</f>
        <v>187514263</v>
      </c>
      <c r="M4726" t="s">
        <v>21</v>
      </c>
      <c r="N4726" s="1">
        <v>43609.956944444442</v>
      </c>
      <c r="O4726" t="s">
        <v>19</v>
      </c>
    </row>
    <row r="4727" spans="1:15" x14ac:dyDescent="0.25">
      <c r="A4727" t="s">
        <v>3872</v>
      </c>
      <c r="B4727" t="s">
        <v>15</v>
      </c>
      <c r="C4727" t="s">
        <v>27</v>
      </c>
      <c r="D4727" t="s">
        <v>17</v>
      </c>
      <c r="E4727" t="s">
        <v>18</v>
      </c>
      <c r="F4727" t="s">
        <v>19</v>
      </c>
      <c r="G4727" t="s">
        <v>20</v>
      </c>
      <c r="J4727" t="s">
        <v>17</v>
      </c>
      <c r="K4727" t="str">
        <f>"2018110300154"</f>
        <v>2018110300154</v>
      </c>
      <c r="L4727" t="str">
        <f>"186414263"</f>
        <v>186414263</v>
      </c>
      <c r="M4727" t="s">
        <v>21</v>
      </c>
      <c r="N4727" s="1">
        <v>43609.960416666669</v>
      </c>
      <c r="O4727" t="s">
        <v>19</v>
      </c>
    </row>
    <row r="4728" spans="1:15" x14ac:dyDescent="0.25">
      <c r="A4728" t="s">
        <v>3872</v>
      </c>
      <c r="B4728" t="s">
        <v>15</v>
      </c>
      <c r="C4728" t="s">
        <v>27</v>
      </c>
      <c r="D4728" t="s">
        <v>17</v>
      </c>
      <c r="E4728" t="s">
        <v>18</v>
      </c>
      <c r="F4728" t="s">
        <v>19</v>
      </c>
      <c r="G4728" t="s">
        <v>20</v>
      </c>
      <c r="J4728" t="s">
        <v>17</v>
      </c>
      <c r="K4728" t="str">
        <f>"684814263"</f>
        <v>684814263</v>
      </c>
      <c r="L4728" t="str">
        <f>"684814263"</f>
        <v>684814263</v>
      </c>
      <c r="M4728" t="s">
        <v>21</v>
      </c>
      <c r="N4728" s="1">
        <v>43721.591666666667</v>
      </c>
      <c r="O4728" t="s">
        <v>19</v>
      </c>
    </row>
    <row r="4729" spans="1:15" x14ac:dyDescent="0.25">
      <c r="A4729" t="s">
        <v>3873</v>
      </c>
      <c r="B4729" t="s">
        <v>15</v>
      </c>
      <c r="C4729" t="s">
        <v>27</v>
      </c>
      <c r="D4729" t="s">
        <v>17</v>
      </c>
      <c r="E4729" t="s">
        <v>18</v>
      </c>
      <c r="F4729" t="s">
        <v>19</v>
      </c>
      <c r="G4729" t="s">
        <v>20</v>
      </c>
      <c r="J4729" t="s">
        <v>17</v>
      </c>
      <c r="K4729" t="str">
        <f>"174805160"</f>
        <v>174805160</v>
      </c>
      <c r="L4729" t="str">
        <f>"174805160"</f>
        <v>174805160</v>
      </c>
      <c r="M4729" t="s">
        <v>75</v>
      </c>
      <c r="N4729" s="1">
        <v>43096.706250000003</v>
      </c>
      <c r="O4729" t="s">
        <v>19</v>
      </c>
    </row>
    <row r="4730" spans="1:15" x14ac:dyDescent="0.25">
      <c r="A4730" t="s">
        <v>3873</v>
      </c>
      <c r="B4730" t="s">
        <v>15</v>
      </c>
      <c r="C4730" t="s">
        <v>27</v>
      </c>
      <c r="D4730" t="s">
        <v>17</v>
      </c>
      <c r="E4730" t="s">
        <v>18</v>
      </c>
      <c r="F4730" t="s">
        <v>19</v>
      </c>
      <c r="G4730" t="s">
        <v>20</v>
      </c>
      <c r="J4730" t="s">
        <v>17</v>
      </c>
      <c r="K4730" t="str">
        <f>"765105160"</f>
        <v>765105160</v>
      </c>
      <c r="L4730" t="str">
        <f>"765105160"</f>
        <v>765105160</v>
      </c>
      <c r="M4730" t="s">
        <v>75</v>
      </c>
      <c r="N4730" s="1">
        <v>43174.845138888886</v>
      </c>
      <c r="O4730" t="s">
        <v>19</v>
      </c>
    </row>
    <row r="4731" spans="1:15" x14ac:dyDescent="0.25">
      <c r="A4731" t="s">
        <v>3873</v>
      </c>
      <c r="B4731" t="s">
        <v>15</v>
      </c>
      <c r="C4731" t="s">
        <v>27</v>
      </c>
      <c r="D4731" t="s">
        <v>17</v>
      </c>
      <c r="E4731" t="s">
        <v>18</v>
      </c>
      <c r="F4731" t="s">
        <v>19</v>
      </c>
      <c r="G4731" t="s">
        <v>20</v>
      </c>
      <c r="J4731" t="s">
        <v>17</v>
      </c>
      <c r="K4731" t="str">
        <f>"1000001087801"</f>
        <v>1000001087801</v>
      </c>
      <c r="L4731" t="str">
        <f>"764805160"</f>
        <v>764805160</v>
      </c>
      <c r="M4731" t="s">
        <v>84</v>
      </c>
      <c r="N4731" s="1">
        <v>43236.89166666667</v>
      </c>
      <c r="O4731" t="s">
        <v>19</v>
      </c>
    </row>
    <row r="4732" spans="1:15" x14ac:dyDescent="0.25">
      <c r="A4732" t="s">
        <v>3873</v>
      </c>
      <c r="B4732" t="s">
        <v>15</v>
      </c>
      <c r="C4732" t="s">
        <v>27</v>
      </c>
      <c r="D4732" t="s">
        <v>17</v>
      </c>
      <c r="E4732" t="s">
        <v>18</v>
      </c>
      <c r="F4732" t="s">
        <v>19</v>
      </c>
      <c r="G4732" t="s">
        <v>20</v>
      </c>
      <c r="J4732" t="s">
        <v>17</v>
      </c>
      <c r="K4732" t="str">
        <f>"175105160"</f>
        <v>175105160</v>
      </c>
      <c r="L4732" t="str">
        <f>"175105160"</f>
        <v>175105160</v>
      </c>
      <c r="M4732" t="s">
        <v>75</v>
      </c>
      <c r="N4732" s="1">
        <v>43237.732638888891</v>
      </c>
      <c r="O4732" t="s">
        <v>19</v>
      </c>
    </row>
    <row r="4733" spans="1:15" x14ac:dyDescent="0.25">
      <c r="A4733" t="s">
        <v>3873</v>
      </c>
      <c r="B4733" t="s">
        <v>15</v>
      </c>
      <c r="C4733" t="s">
        <v>27</v>
      </c>
      <c r="D4733" t="s">
        <v>17</v>
      </c>
      <c r="E4733" t="s">
        <v>18</v>
      </c>
      <c r="F4733" t="s">
        <v>19</v>
      </c>
      <c r="G4733" t="s">
        <v>20</v>
      </c>
      <c r="J4733" t="s">
        <v>17</v>
      </c>
      <c r="K4733" t="str">
        <f>"766405160"</f>
        <v>766405160</v>
      </c>
      <c r="L4733" t="str">
        <f>"766405160"</f>
        <v>766405160</v>
      </c>
      <c r="M4733" t="s">
        <v>84</v>
      </c>
      <c r="N4733" s="1">
        <v>43251.738194444442</v>
      </c>
      <c r="O4733" t="s">
        <v>19</v>
      </c>
    </row>
    <row r="4734" spans="1:15" x14ac:dyDescent="0.25">
      <c r="A4734" t="s">
        <v>3873</v>
      </c>
      <c r="B4734" t="s">
        <v>15</v>
      </c>
      <c r="C4734" t="s">
        <v>27</v>
      </c>
      <c r="D4734" t="s">
        <v>17</v>
      </c>
      <c r="E4734" t="s">
        <v>18</v>
      </c>
      <c r="F4734" t="s">
        <v>19</v>
      </c>
      <c r="G4734" t="s">
        <v>20</v>
      </c>
      <c r="J4734" t="s">
        <v>17</v>
      </c>
      <c r="K4734" t="str">
        <f>"935105160"</f>
        <v>935105160</v>
      </c>
      <c r="L4734" t="str">
        <f>"935105160"</f>
        <v>935105160</v>
      </c>
      <c r="M4734" t="s">
        <v>84</v>
      </c>
      <c r="N4734" s="1">
        <v>43267.790277777778</v>
      </c>
      <c r="O4734" t="s">
        <v>19</v>
      </c>
    </row>
    <row r="4735" spans="1:15" x14ac:dyDescent="0.25">
      <c r="A4735" t="s">
        <v>3873</v>
      </c>
      <c r="B4735" t="s">
        <v>15</v>
      </c>
      <c r="C4735" t="s">
        <v>27</v>
      </c>
      <c r="D4735" t="s">
        <v>17</v>
      </c>
      <c r="E4735" t="s">
        <v>18</v>
      </c>
      <c r="F4735" t="s">
        <v>19</v>
      </c>
      <c r="G4735" t="s">
        <v>20</v>
      </c>
      <c r="J4735" t="s">
        <v>17</v>
      </c>
      <c r="K4735" t="str">
        <f>"615105160"</f>
        <v>615105160</v>
      </c>
      <c r="L4735" t="str">
        <f>"615105160"</f>
        <v>615105160</v>
      </c>
      <c r="M4735" t="s">
        <v>84</v>
      </c>
      <c r="N4735" s="1">
        <v>43328.625</v>
      </c>
      <c r="O4735" t="s">
        <v>19</v>
      </c>
    </row>
    <row r="4736" spans="1:15" x14ac:dyDescent="0.25">
      <c r="A4736" t="s">
        <v>3874</v>
      </c>
      <c r="B4736" t="s">
        <v>15</v>
      </c>
      <c r="C4736" t="s">
        <v>27</v>
      </c>
      <c r="D4736" t="s">
        <v>17</v>
      </c>
      <c r="E4736" t="s">
        <v>18</v>
      </c>
      <c r="F4736" t="s">
        <v>19</v>
      </c>
      <c r="G4736" t="s">
        <v>20</v>
      </c>
      <c r="J4736" t="s">
        <v>17</v>
      </c>
      <c r="K4736" t="str">
        <f>"1000001094373"</f>
        <v>1000001094373</v>
      </c>
      <c r="L4736" t="str">
        <f>"765105162"</f>
        <v>765105162</v>
      </c>
      <c r="M4736" t="s">
        <v>84</v>
      </c>
      <c r="N4736" s="1">
        <v>43231.834027777775</v>
      </c>
      <c r="O4736" t="s">
        <v>19</v>
      </c>
    </row>
    <row r="4737" spans="1:15" x14ac:dyDescent="0.25">
      <c r="A4737" t="s">
        <v>3874</v>
      </c>
      <c r="B4737" t="s">
        <v>15</v>
      </c>
      <c r="C4737" t="s">
        <v>27</v>
      </c>
      <c r="D4737" t="s">
        <v>17</v>
      </c>
      <c r="E4737" t="s">
        <v>18</v>
      </c>
      <c r="F4737" t="s">
        <v>19</v>
      </c>
      <c r="G4737" t="s">
        <v>20</v>
      </c>
      <c r="J4737" t="s">
        <v>17</v>
      </c>
      <c r="K4737" t="str">
        <f>"764805162"</f>
        <v>764805162</v>
      </c>
      <c r="L4737" t="str">
        <f>"764805162"</f>
        <v>764805162</v>
      </c>
      <c r="M4737" t="s">
        <v>84</v>
      </c>
      <c r="N4737" s="1">
        <v>43287.769444444442</v>
      </c>
      <c r="O4737" t="s">
        <v>19</v>
      </c>
    </row>
    <row r="4738" spans="1:15" x14ac:dyDescent="0.25">
      <c r="A4738" t="s">
        <v>3874</v>
      </c>
      <c r="B4738" t="s">
        <v>15</v>
      </c>
      <c r="C4738" t="s">
        <v>27</v>
      </c>
      <c r="D4738" t="s">
        <v>17</v>
      </c>
      <c r="E4738" t="s">
        <v>18</v>
      </c>
      <c r="F4738" t="s">
        <v>19</v>
      </c>
      <c r="G4738" t="s">
        <v>20</v>
      </c>
      <c r="J4738" t="s">
        <v>17</v>
      </c>
      <c r="K4738" t="str">
        <f>"175105162"</f>
        <v>175105162</v>
      </c>
      <c r="L4738" t="str">
        <f>"175105162"</f>
        <v>175105162</v>
      </c>
      <c r="M4738" t="s">
        <v>84</v>
      </c>
      <c r="N4738" s="1">
        <v>43308.886111111111</v>
      </c>
      <c r="O4738" t="s">
        <v>19</v>
      </c>
    </row>
    <row r="4739" spans="1:15" x14ac:dyDescent="0.25">
      <c r="A4739" t="s">
        <v>3874</v>
      </c>
      <c r="B4739" t="s">
        <v>15</v>
      </c>
      <c r="C4739" t="s">
        <v>27</v>
      </c>
      <c r="D4739" t="s">
        <v>17</v>
      </c>
      <c r="E4739" t="s">
        <v>18</v>
      </c>
      <c r="F4739" t="s">
        <v>19</v>
      </c>
      <c r="G4739" t="s">
        <v>20</v>
      </c>
      <c r="J4739" t="s">
        <v>17</v>
      </c>
      <c r="K4739" t="str">
        <f>"615105162"</f>
        <v>615105162</v>
      </c>
      <c r="L4739" t="str">
        <f>"615105162"</f>
        <v>615105162</v>
      </c>
      <c r="M4739" t="s">
        <v>84</v>
      </c>
      <c r="N4739" s="1">
        <v>43320.710416666669</v>
      </c>
      <c r="O4739" t="s">
        <v>19</v>
      </c>
    </row>
    <row r="4740" spans="1:15" x14ac:dyDescent="0.25">
      <c r="A4740" t="s">
        <v>3874</v>
      </c>
      <c r="B4740" t="s">
        <v>15</v>
      </c>
      <c r="C4740" t="s">
        <v>27</v>
      </c>
      <c r="D4740" t="s">
        <v>17</v>
      </c>
      <c r="E4740" t="s">
        <v>18</v>
      </c>
      <c r="F4740" t="s">
        <v>19</v>
      </c>
      <c r="G4740" t="s">
        <v>20</v>
      </c>
      <c r="J4740" t="s">
        <v>17</v>
      </c>
      <c r="K4740" t="str">
        <f>"1000001094236"</f>
        <v>1000001094236</v>
      </c>
      <c r="L4740" t="str">
        <f>"766505162"</f>
        <v>766505162</v>
      </c>
      <c r="M4740" t="s">
        <v>84</v>
      </c>
      <c r="N4740" s="1">
        <v>43320.945138888892</v>
      </c>
      <c r="O4740" t="s">
        <v>19</v>
      </c>
    </row>
    <row r="4741" spans="1:15" x14ac:dyDescent="0.25">
      <c r="A4741" t="s">
        <v>3874</v>
      </c>
      <c r="B4741" t="s">
        <v>15</v>
      </c>
      <c r="C4741" t="s">
        <v>27</v>
      </c>
      <c r="D4741" t="s">
        <v>17</v>
      </c>
      <c r="E4741" t="s">
        <v>18</v>
      </c>
      <c r="F4741" t="s">
        <v>19</v>
      </c>
      <c r="G4741" t="s">
        <v>20</v>
      </c>
      <c r="J4741" t="s">
        <v>17</v>
      </c>
      <c r="K4741" t="str">
        <f>"1000001098586"</f>
        <v>1000001098586</v>
      </c>
      <c r="L4741" t="str">
        <f>"767705162"</f>
        <v>767705162</v>
      </c>
      <c r="M4741" t="s">
        <v>21</v>
      </c>
      <c r="N4741" s="1">
        <v>43328.942361111112</v>
      </c>
      <c r="O4741" t="s">
        <v>19</v>
      </c>
    </row>
    <row r="4742" spans="1:15" x14ac:dyDescent="0.25">
      <c r="A4742" t="s">
        <v>3874</v>
      </c>
      <c r="B4742" t="s">
        <v>15</v>
      </c>
      <c r="C4742" t="s">
        <v>27</v>
      </c>
      <c r="D4742" t="s">
        <v>17</v>
      </c>
      <c r="E4742" t="s">
        <v>18</v>
      </c>
      <c r="F4742" t="s">
        <v>19</v>
      </c>
      <c r="G4742" t="s">
        <v>20</v>
      </c>
      <c r="J4742" t="s">
        <v>17</v>
      </c>
      <c r="K4742" t="str">
        <f>"415105162"</f>
        <v>415105162</v>
      </c>
      <c r="L4742" t="str">
        <f>"415105162"</f>
        <v>415105162</v>
      </c>
      <c r="M4742" t="s">
        <v>84</v>
      </c>
      <c r="N4742" s="1">
        <v>43350.871527777781</v>
      </c>
      <c r="O4742" t="s">
        <v>19</v>
      </c>
    </row>
    <row r="4743" spans="1:15" x14ac:dyDescent="0.25">
      <c r="A4743" t="s">
        <v>3874</v>
      </c>
      <c r="B4743" t="s">
        <v>15</v>
      </c>
      <c r="C4743" t="s">
        <v>27</v>
      </c>
      <c r="D4743" t="s">
        <v>17</v>
      </c>
      <c r="E4743" t="s">
        <v>18</v>
      </c>
      <c r="F4743" t="s">
        <v>19</v>
      </c>
      <c r="G4743" t="s">
        <v>20</v>
      </c>
      <c r="J4743" t="s">
        <v>17</v>
      </c>
      <c r="K4743" t="str">
        <f>"768905162"</f>
        <v>768905162</v>
      </c>
      <c r="L4743" t="str">
        <f>"768905162"</f>
        <v>768905162</v>
      </c>
      <c r="M4743" t="s">
        <v>84</v>
      </c>
      <c r="N4743" s="1">
        <v>43528.663194444445</v>
      </c>
      <c r="O4743" t="s">
        <v>19</v>
      </c>
    </row>
    <row r="4744" spans="1:15" x14ac:dyDescent="0.25">
      <c r="A4744" t="s">
        <v>3874</v>
      </c>
      <c r="B4744" t="s">
        <v>15</v>
      </c>
      <c r="C4744" t="s">
        <v>27</v>
      </c>
      <c r="D4744" t="s">
        <v>17</v>
      </c>
      <c r="E4744" t="s">
        <v>18</v>
      </c>
      <c r="F4744" t="s">
        <v>19</v>
      </c>
      <c r="G4744" t="s">
        <v>20</v>
      </c>
      <c r="J4744" t="s">
        <v>17</v>
      </c>
      <c r="K4744" t="str">
        <f>"409905162"</f>
        <v>409905162</v>
      </c>
      <c r="L4744" t="str">
        <f>"409905162"</f>
        <v>409905162</v>
      </c>
      <c r="M4744" t="s">
        <v>84</v>
      </c>
      <c r="N4744" s="1">
        <v>43549.600694444445</v>
      </c>
      <c r="O4744" t="s">
        <v>19</v>
      </c>
    </row>
    <row r="4745" spans="1:15" x14ac:dyDescent="0.25">
      <c r="A4745" t="s">
        <v>3875</v>
      </c>
      <c r="B4745" t="s">
        <v>15</v>
      </c>
      <c r="C4745" t="s">
        <v>27</v>
      </c>
      <c r="D4745" t="s">
        <v>17</v>
      </c>
      <c r="E4745" t="s">
        <v>18</v>
      </c>
      <c r="F4745" t="s">
        <v>19</v>
      </c>
      <c r="G4745" t="s">
        <v>20</v>
      </c>
      <c r="J4745" t="s">
        <v>17</v>
      </c>
      <c r="K4745" t="str">
        <f>"797905315"</f>
        <v>797905315</v>
      </c>
      <c r="L4745" t="str">
        <f>"797905315"</f>
        <v>797905315</v>
      </c>
      <c r="M4745" t="s">
        <v>21</v>
      </c>
      <c r="N4745" s="1">
        <v>42872.847222222219</v>
      </c>
      <c r="O4745" t="s">
        <v>19</v>
      </c>
    </row>
    <row r="4746" spans="1:15" x14ac:dyDescent="0.25">
      <c r="A4746" t="s">
        <v>3875</v>
      </c>
      <c r="B4746" t="s">
        <v>15</v>
      </c>
      <c r="C4746" t="s">
        <v>27</v>
      </c>
      <c r="D4746" t="s">
        <v>17</v>
      </c>
      <c r="E4746" t="s">
        <v>18</v>
      </c>
      <c r="F4746" t="s">
        <v>19</v>
      </c>
      <c r="G4746" t="s">
        <v>20</v>
      </c>
      <c r="J4746" t="s">
        <v>17</v>
      </c>
      <c r="K4746" t="str">
        <f>"1000001021256"</f>
        <v>1000001021256</v>
      </c>
      <c r="L4746" t="str">
        <f>"764805315"</f>
        <v>764805315</v>
      </c>
      <c r="M4746" t="s">
        <v>21</v>
      </c>
      <c r="N4746" s="1">
        <v>43567.959722222222</v>
      </c>
      <c r="O4746" t="s">
        <v>19</v>
      </c>
    </row>
    <row r="4747" spans="1:15" x14ac:dyDescent="0.25">
      <c r="A4747" t="s">
        <v>3875</v>
      </c>
      <c r="B4747" t="s">
        <v>15</v>
      </c>
      <c r="C4747" t="s">
        <v>27</v>
      </c>
      <c r="D4747" t="s">
        <v>17</v>
      </c>
      <c r="E4747" t="s">
        <v>18</v>
      </c>
      <c r="F4747" t="s">
        <v>19</v>
      </c>
      <c r="G4747" t="s">
        <v>20</v>
      </c>
      <c r="J4747" t="s">
        <v>17</v>
      </c>
      <c r="K4747" t="str">
        <f>"2019030102330"</f>
        <v>2019030102330</v>
      </c>
      <c r="L4747" t="str">
        <f>"186405315"</f>
        <v>186405315</v>
      </c>
      <c r="M4747" t="s">
        <v>21</v>
      </c>
      <c r="N4747" s="1">
        <v>43603.679166666669</v>
      </c>
      <c r="O4747" t="s">
        <v>19</v>
      </c>
    </row>
    <row r="4748" spans="1:15" x14ac:dyDescent="0.25">
      <c r="A4748" t="s">
        <v>3875</v>
      </c>
      <c r="B4748" t="s">
        <v>15</v>
      </c>
      <c r="C4748" t="s">
        <v>27</v>
      </c>
      <c r="D4748" t="s">
        <v>17</v>
      </c>
      <c r="E4748" t="s">
        <v>18</v>
      </c>
      <c r="F4748" t="s">
        <v>19</v>
      </c>
      <c r="G4748" t="s">
        <v>20</v>
      </c>
      <c r="J4748" t="s">
        <v>17</v>
      </c>
      <c r="K4748" t="str">
        <f>"1578087031579"</f>
        <v>1578087031579</v>
      </c>
      <c r="L4748" t="str">
        <f>"764810555"</f>
        <v>764810555</v>
      </c>
      <c r="M4748" t="s">
        <v>21</v>
      </c>
      <c r="N4748" s="1">
        <v>43833.895833333336</v>
      </c>
      <c r="O4748" t="s">
        <v>19</v>
      </c>
    </row>
    <row r="4749" spans="1:15" x14ac:dyDescent="0.25">
      <c r="A4749" t="s">
        <v>3875</v>
      </c>
      <c r="B4749" t="s">
        <v>15</v>
      </c>
      <c r="C4749" t="s">
        <v>27</v>
      </c>
      <c r="D4749" t="s">
        <v>17</v>
      </c>
      <c r="E4749" t="s">
        <v>18</v>
      </c>
      <c r="F4749" t="s">
        <v>19</v>
      </c>
      <c r="G4749" t="s">
        <v>20</v>
      </c>
      <c r="J4749" t="s">
        <v>17</v>
      </c>
      <c r="K4749" t="str">
        <f>"675105315"</f>
        <v>675105315</v>
      </c>
      <c r="L4749" t="str">
        <f>"675105315"</f>
        <v>675105315</v>
      </c>
      <c r="M4749" t="s">
        <v>21</v>
      </c>
      <c r="N4749" s="1">
        <v>43873.78402777778</v>
      </c>
      <c r="O4749" t="s">
        <v>19</v>
      </c>
    </row>
    <row r="4750" spans="1:15" x14ac:dyDescent="0.25">
      <c r="A4750" t="s">
        <v>3875</v>
      </c>
      <c r="B4750" t="s">
        <v>15</v>
      </c>
      <c r="C4750" t="s">
        <v>27</v>
      </c>
      <c r="D4750" t="s">
        <v>17</v>
      </c>
      <c r="E4750" t="s">
        <v>18</v>
      </c>
      <c r="F4750" t="s">
        <v>19</v>
      </c>
      <c r="G4750" t="s">
        <v>20</v>
      </c>
      <c r="J4750" t="s">
        <v>17</v>
      </c>
      <c r="K4750" t="str">
        <f>"1578087042251"</f>
        <v>1578087042251</v>
      </c>
      <c r="L4750" t="str">
        <f>"1578087042251"</f>
        <v>1578087042251</v>
      </c>
      <c r="M4750" t="s">
        <v>21</v>
      </c>
      <c r="N4750" s="1">
        <v>43833.895833333336</v>
      </c>
      <c r="O4750" t="s">
        <v>33</v>
      </c>
    </row>
    <row r="4751" spans="1:15" x14ac:dyDescent="0.25">
      <c r="A4751" t="s">
        <v>3876</v>
      </c>
      <c r="B4751" t="s">
        <v>15</v>
      </c>
      <c r="C4751" t="s">
        <v>27</v>
      </c>
      <c r="D4751" t="s">
        <v>17</v>
      </c>
      <c r="E4751" t="s">
        <v>18</v>
      </c>
      <c r="F4751" t="s">
        <v>19</v>
      </c>
      <c r="G4751" t="s">
        <v>20</v>
      </c>
      <c r="J4751" t="s">
        <v>17</v>
      </c>
      <c r="K4751" t="str">
        <f>"1000001025667"</f>
        <v>1000001025667</v>
      </c>
      <c r="L4751" t="str">
        <f>"765605324"</f>
        <v>765605324</v>
      </c>
      <c r="M4751" t="s">
        <v>21</v>
      </c>
      <c r="N4751" s="1">
        <v>42872.839583333334</v>
      </c>
      <c r="O4751" t="s">
        <v>19</v>
      </c>
    </row>
    <row r="4752" spans="1:15" x14ac:dyDescent="0.25">
      <c r="A4752" t="s">
        <v>3877</v>
      </c>
      <c r="B4752" t="s">
        <v>15</v>
      </c>
      <c r="C4752" t="s">
        <v>27</v>
      </c>
      <c r="D4752" t="s">
        <v>17</v>
      </c>
      <c r="E4752" t="s">
        <v>18</v>
      </c>
      <c r="F4752" t="s">
        <v>19</v>
      </c>
      <c r="G4752" t="s">
        <v>20</v>
      </c>
      <c r="J4752" t="s">
        <v>17</v>
      </c>
      <c r="K4752" t="str">
        <f>"1000001024936"</f>
        <v>1000001024936</v>
      </c>
      <c r="L4752" t="str">
        <f>"765605325"</f>
        <v>765605325</v>
      </c>
      <c r="M4752" t="s">
        <v>21</v>
      </c>
      <c r="N4752" s="1">
        <v>42872.839583333334</v>
      </c>
      <c r="O4752" t="s">
        <v>19</v>
      </c>
    </row>
    <row r="4753" spans="1:15" x14ac:dyDescent="0.25">
      <c r="A4753" t="s">
        <v>3877</v>
      </c>
      <c r="B4753" t="s">
        <v>15</v>
      </c>
      <c r="C4753" t="s">
        <v>27</v>
      </c>
      <c r="D4753" t="s">
        <v>17</v>
      </c>
      <c r="E4753" t="s">
        <v>18</v>
      </c>
      <c r="F4753" t="s">
        <v>19</v>
      </c>
      <c r="G4753" t="s">
        <v>20</v>
      </c>
      <c r="J4753" t="s">
        <v>17</v>
      </c>
      <c r="K4753" t="str">
        <f>"765105325"</f>
        <v>765105325</v>
      </c>
      <c r="L4753" t="str">
        <f>"765105325"</f>
        <v>765105325</v>
      </c>
      <c r="M4753" t="s">
        <v>21</v>
      </c>
      <c r="N4753" s="1">
        <v>43446.763194444444</v>
      </c>
      <c r="O4753" t="s">
        <v>19</v>
      </c>
    </row>
    <row r="4754" spans="1:15" x14ac:dyDescent="0.25">
      <c r="A4754" t="s">
        <v>3878</v>
      </c>
      <c r="B4754" t="s">
        <v>15</v>
      </c>
      <c r="C4754" t="s">
        <v>27</v>
      </c>
      <c r="D4754" t="s">
        <v>17</v>
      </c>
      <c r="E4754" t="s">
        <v>18</v>
      </c>
      <c r="F4754" t="s">
        <v>19</v>
      </c>
      <c r="G4754" t="s">
        <v>20</v>
      </c>
      <c r="J4754" t="s">
        <v>17</v>
      </c>
      <c r="K4754" t="str">
        <f>"765105161"</f>
        <v>765105161</v>
      </c>
      <c r="L4754" t="str">
        <f>"765105161"</f>
        <v>765105161</v>
      </c>
      <c r="M4754" t="s">
        <v>75</v>
      </c>
      <c r="N4754" s="1">
        <v>43231.836805555555</v>
      </c>
      <c r="O4754" t="s">
        <v>19</v>
      </c>
    </row>
    <row r="4755" spans="1:15" x14ac:dyDescent="0.25">
      <c r="A4755" t="s">
        <v>3878</v>
      </c>
      <c r="B4755" t="s">
        <v>15</v>
      </c>
      <c r="C4755" t="s">
        <v>27</v>
      </c>
      <c r="D4755" t="s">
        <v>17</v>
      </c>
      <c r="E4755" t="s">
        <v>18</v>
      </c>
      <c r="F4755" t="s">
        <v>19</v>
      </c>
      <c r="G4755" t="s">
        <v>20</v>
      </c>
      <c r="J4755" t="s">
        <v>17</v>
      </c>
      <c r="K4755" t="str">
        <f>"764805161"</f>
        <v>764805161</v>
      </c>
      <c r="L4755" t="str">
        <f>"764805161"</f>
        <v>764805161</v>
      </c>
      <c r="M4755" t="s">
        <v>84</v>
      </c>
      <c r="N4755" s="1">
        <v>43251.718055555553</v>
      </c>
      <c r="O4755" t="s">
        <v>19</v>
      </c>
    </row>
    <row r="4756" spans="1:15" x14ac:dyDescent="0.25">
      <c r="A4756" t="s">
        <v>3878</v>
      </c>
      <c r="B4756" t="s">
        <v>15</v>
      </c>
      <c r="C4756" t="s">
        <v>27</v>
      </c>
      <c r="D4756" t="s">
        <v>17</v>
      </c>
      <c r="E4756" t="s">
        <v>18</v>
      </c>
      <c r="F4756" t="s">
        <v>19</v>
      </c>
      <c r="G4756" t="s">
        <v>20</v>
      </c>
      <c r="J4756" t="s">
        <v>17</v>
      </c>
      <c r="K4756" t="str">
        <f>"766205161"</f>
        <v>766205161</v>
      </c>
      <c r="L4756" t="str">
        <f>"766205161"</f>
        <v>766205161</v>
      </c>
      <c r="M4756" t="s">
        <v>84</v>
      </c>
      <c r="N4756" s="1">
        <v>43272.800000000003</v>
      </c>
      <c r="O4756" t="s">
        <v>19</v>
      </c>
    </row>
    <row r="4757" spans="1:15" x14ac:dyDescent="0.25">
      <c r="A4757" t="s">
        <v>3878</v>
      </c>
      <c r="B4757" t="s">
        <v>15</v>
      </c>
      <c r="C4757" t="s">
        <v>27</v>
      </c>
      <c r="D4757" t="s">
        <v>17</v>
      </c>
      <c r="E4757" t="s">
        <v>18</v>
      </c>
      <c r="F4757" t="s">
        <v>19</v>
      </c>
      <c r="G4757" t="s">
        <v>20</v>
      </c>
      <c r="J4757" t="s">
        <v>17</v>
      </c>
      <c r="K4757" t="str">
        <f>"1000001094243"</f>
        <v>1000001094243</v>
      </c>
      <c r="L4757" t="str">
        <f>"766505161"</f>
        <v>766505161</v>
      </c>
      <c r="M4757" t="s">
        <v>84</v>
      </c>
      <c r="N4757" s="1">
        <v>43320.948611111111</v>
      </c>
      <c r="O4757" t="s">
        <v>19</v>
      </c>
    </row>
    <row r="4758" spans="1:15" x14ac:dyDescent="0.25">
      <c r="A4758" t="s">
        <v>3878</v>
      </c>
      <c r="B4758" t="s">
        <v>15</v>
      </c>
      <c r="C4758" t="s">
        <v>27</v>
      </c>
      <c r="D4758" t="s">
        <v>17</v>
      </c>
      <c r="E4758" t="s">
        <v>18</v>
      </c>
      <c r="F4758" t="s">
        <v>19</v>
      </c>
      <c r="G4758" t="s">
        <v>20</v>
      </c>
      <c r="J4758" t="s">
        <v>17</v>
      </c>
      <c r="K4758" t="str">
        <f>"768905310"</f>
        <v>768905310</v>
      </c>
      <c r="L4758" t="str">
        <f>"768905310"</f>
        <v>768905310</v>
      </c>
      <c r="M4758" t="s">
        <v>84</v>
      </c>
      <c r="N4758" s="1">
        <v>43528.664583333331</v>
      </c>
      <c r="O4758" t="s">
        <v>19</v>
      </c>
    </row>
    <row r="4759" spans="1:15" x14ac:dyDescent="0.25">
      <c r="A4759" t="s">
        <v>3879</v>
      </c>
      <c r="B4759" t="s">
        <v>15</v>
      </c>
      <c r="C4759" t="s">
        <v>27</v>
      </c>
      <c r="D4759" t="s">
        <v>17</v>
      </c>
      <c r="E4759" t="s">
        <v>18</v>
      </c>
      <c r="F4759" t="s">
        <v>19</v>
      </c>
      <c r="G4759" t="s">
        <v>20</v>
      </c>
      <c r="J4759" t="s">
        <v>17</v>
      </c>
      <c r="K4759" t="str">
        <f>"1000001022802"</f>
        <v>1000001022802</v>
      </c>
      <c r="L4759" t="str">
        <f>"764805310"</f>
        <v>764805310</v>
      </c>
      <c r="M4759" t="s">
        <v>21</v>
      </c>
      <c r="N4759" s="1">
        <v>43451.67083333333</v>
      </c>
      <c r="O4759" t="s">
        <v>19</v>
      </c>
    </row>
    <row r="4760" spans="1:15" x14ac:dyDescent="0.25">
      <c r="A4760" t="s">
        <v>3879</v>
      </c>
      <c r="B4760" t="s">
        <v>15</v>
      </c>
      <c r="C4760" t="s">
        <v>27</v>
      </c>
      <c r="D4760" t="s">
        <v>17</v>
      </c>
      <c r="E4760" t="s">
        <v>18</v>
      </c>
      <c r="F4760" t="s">
        <v>19</v>
      </c>
      <c r="G4760" t="s">
        <v>20</v>
      </c>
      <c r="J4760" t="s">
        <v>17</v>
      </c>
      <c r="K4760" t="str">
        <f>"675105310"</f>
        <v>675105310</v>
      </c>
      <c r="L4760" t="str">
        <f>"675105310"</f>
        <v>675105310</v>
      </c>
      <c r="M4760" t="s">
        <v>84</v>
      </c>
      <c r="N4760" s="1">
        <v>43502.655555555553</v>
      </c>
      <c r="O4760" t="s">
        <v>19</v>
      </c>
    </row>
    <row r="4761" spans="1:15" x14ac:dyDescent="0.25">
      <c r="A4761" t="s">
        <v>3879</v>
      </c>
      <c r="B4761" t="s">
        <v>15</v>
      </c>
      <c r="C4761" t="s">
        <v>27</v>
      </c>
      <c r="D4761" t="s">
        <v>17</v>
      </c>
      <c r="E4761" t="s">
        <v>18</v>
      </c>
      <c r="F4761" t="s">
        <v>19</v>
      </c>
      <c r="G4761" t="s">
        <v>20</v>
      </c>
      <c r="J4761" t="s">
        <v>17</v>
      </c>
      <c r="K4761" t="str">
        <f>"409905310"</f>
        <v>409905310</v>
      </c>
      <c r="L4761" t="str">
        <f>"409905310"</f>
        <v>409905310</v>
      </c>
      <c r="M4761" t="s">
        <v>84</v>
      </c>
      <c r="N4761" s="1">
        <v>43549.599999999999</v>
      </c>
      <c r="O4761" t="s">
        <v>19</v>
      </c>
    </row>
    <row r="4762" spans="1:15" x14ac:dyDescent="0.25">
      <c r="A4762" t="s">
        <v>3879</v>
      </c>
      <c r="B4762" t="s">
        <v>15</v>
      </c>
      <c r="C4762" t="s">
        <v>27</v>
      </c>
      <c r="D4762" t="s">
        <v>17</v>
      </c>
      <c r="E4762" t="s">
        <v>18</v>
      </c>
      <c r="F4762" t="s">
        <v>19</v>
      </c>
      <c r="G4762" t="s">
        <v>20</v>
      </c>
      <c r="J4762" t="s">
        <v>17</v>
      </c>
      <c r="K4762" t="str">
        <f>"766205310"</f>
        <v>766205310</v>
      </c>
      <c r="L4762" t="str">
        <f>"766205310"</f>
        <v>766205310</v>
      </c>
      <c r="M4762" t="s">
        <v>21</v>
      </c>
      <c r="N4762" s="1">
        <v>44251.85</v>
      </c>
      <c r="O4762" t="s">
        <v>19</v>
      </c>
    </row>
    <row r="4763" spans="1:15" x14ac:dyDescent="0.25">
      <c r="A4763" t="s">
        <v>3879</v>
      </c>
      <c r="B4763" t="s">
        <v>15</v>
      </c>
      <c r="C4763" t="s">
        <v>27</v>
      </c>
      <c r="D4763" t="s">
        <v>17</v>
      </c>
      <c r="E4763" t="s">
        <v>18</v>
      </c>
      <c r="F4763" t="s">
        <v>19</v>
      </c>
      <c r="G4763" t="s">
        <v>20</v>
      </c>
      <c r="J4763" t="s">
        <v>17</v>
      </c>
      <c r="K4763" t="str">
        <f>"614805310"</f>
        <v>614805310</v>
      </c>
      <c r="L4763" t="str">
        <f>"614805310"</f>
        <v>614805310</v>
      </c>
      <c r="M4763" t="s">
        <v>21</v>
      </c>
      <c r="N4763" s="1">
        <v>44252.861111111109</v>
      </c>
      <c r="O4763" t="s">
        <v>19</v>
      </c>
    </row>
    <row r="4764" spans="1:15" x14ac:dyDescent="0.25">
      <c r="A4764" t="s">
        <v>3880</v>
      </c>
      <c r="B4764" t="s">
        <v>15</v>
      </c>
      <c r="C4764" t="s">
        <v>27</v>
      </c>
      <c r="D4764" t="s">
        <v>17</v>
      </c>
      <c r="E4764" t="s">
        <v>18</v>
      </c>
      <c r="F4764" t="s">
        <v>19</v>
      </c>
      <c r="G4764" t="s">
        <v>20</v>
      </c>
      <c r="J4764" t="s">
        <v>17</v>
      </c>
      <c r="K4764" t="str">
        <f>"797905319"</f>
        <v>797905319</v>
      </c>
      <c r="L4764" t="str">
        <f>"797905319"</f>
        <v>797905319</v>
      </c>
      <c r="M4764" t="s">
        <v>21</v>
      </c>
      <c r="N4764" s="1">
        <v>43686.757638888892</v>
      </c>
      <c r="O4764" t="s">
        <v>19</v>
      </c>
    </row>
    <row r="4765" spans="1:15" x14ac:dyDescent="0.25">
      <c r="A4765" t="s">
        <v>3880</v>
      </c>
      <c r="B4765" t="s">
        <v>15</v>
      </c>
      <c r="C4765" t="s">
        <v>27</v>
      </c>
      <c r="D4765" t="s">
        <v>17</v>
      </c>
      <c r="E4765" t="s">
        <v>18</v>
      </c>
      <c r="F4765" t="s">
        <v>19</v>
      </c>
      <c r="G4765" t="s">
        <v>20</v>
      </c>
      <c r="J4765" t="s">
        <v>17</v>
      </c>
      <c r="K4765" t="str">
        <f>"765105319"</f>
        <v>765105319</v>
      </c>
      <c r="L4765" t="str">
        <f>"765105319"</f>
        <v>765105319</v>
      </c>
      <c r="M4765" t="s">
        <v>21</v>
      </c>
      <c r="N4765" s="1">
        <v>43825.85833333333</v>
      </c>
      <c r="O4765" t="s">
        <v>19</v>
      </c>
    </row>
    <row r="4766" spans="1:15" x14ac:dyDescent="0.25">
      <c r="A4766" t="s">
        <v>3881</v>
      </c>
      <c r="B4766" t="s">
        <v>15</v>
      </c>
      <c r="C4766" t="s">
        <v>27</v>
      </c>
      <c r="D4766" t="s">
        <v>17</v>
      </c>
      <c r="E4766" t="s">
        <v>18</v>
      </c>
      <c r="F4766" t="s">
        <v>19</v>
      </c>
      <c r="G4766" t="s">
        <v>20</v>
      </c>
      <c r="J4766" t="s">
        <v>17</v>
      </c>
      <c r="K4766" t="str">
        <f>"1000001025612"</f>
        <v>1000001025612</v>
      </c>
      <c r="L4766" t="str">
        <f>"765605320"</f>
        <v>765605320</v>
      </c>
      <c r="M4766" t="s">
        <v>21</v>
      </c>
      <c r="N4766" s="1">
        <v>42872.839583333334</v>
      </c>
      <c r="O4766" t="s">
        <v>19</v>
      </c>
    </row>
    <row r="4767" spans="1:15" x14ac:dyDescent="0.25">
      <c r="A4767" t="s">
        <v>3881</v>
      </c>
      <c r="B4767" t="s">
        <v>15</v>
      </c>
      <c r="C4767" t="s">
        <v>27</v>
      </c>
      <c r="D4767" t="s">
        <v>17</v>
      </c>
      <c r="E4767" t="s">
        <v>18</v>
      </c>
      <c r="F4767" t="s">
        <v>19</v>
      </c>
      <c r="G4767" t="s">
        <v>20</v>
      </c>
      <c r="J4767" t="s">
        <v>17</v>
      </c>
      <c r="K4767" t="str">
        <f>"765105320"</f>
        <v>765105320</v>
      </c>
      <c r="L4767" t="str">
        <f>"765105320"</f>
        <v>765105320</v>
      </c>
      <c r="M4767" t="s">
        <v>21</v>
      </c>
      <c r="N4767" s="1">
        <v>42872.839583333334</v>
      </c>
      <c r="O4767" t="s">
        <v>19</v>
      </c>
    </row>
    <row r="4768" spans="1:15" x14ac:dyDescent="0.25">
      <c r="A4768" t="s">
        <v>3882</v>
      </c>
      <c r="B4768" t="s">
        <v>15</v>
      </c>
      <c r="C4768" t="s">
        <v>27</v>
      </c>
      <c r="D4768" t="s">
        <v>17</v>
      </c>
      <c r="E4768" t="s">
        <v>18</v>
      </c>
      <c r="F4768" t="s">
        <v>19</v>
      </c>
      <c r="G4768" t="s">
        <v>20</v>
      </c>
      <c r="J4768" t="s">
        <v>17</v>
      </c>
      <c r="K4768" t="str">
        <f>"1000001024363"</f>
        <v>1000001024363</v>
      </c>
      <c r="L4768" t="str">
        <f>"765607601"</f>
        <v>765607601</v>
      </c>
      <c r="M4768" t="s">
        <v>21</v>
      </c>
      <c r="N4768" s="1">
        <v>42872.839583333334</v>
      </c>
      <c r="O4768" t="s">
        <v>19</v>
      </c>
    </row>
    <row r="4769" spans="1:15" x14ac:dyDescent="0.25">
      <c r="A4769" t="s">
        <v>3882</v>
      </c>
      <c r="B4769" t="s">
        <v>15</v>
      </c>
      <c r="C4769" t="s">
        <v>27</v>
      </c>
      <c r="D4769" t="s">
        <v>17</v>
      </c>
      <c r="E4769" t="s">
        <v>18</v>
      </c>
      <c r="F4769" t="s">
        <v>19</v>
      </c>
      <c r="G4769" t="s">
        <v>20</v>
      </c>
      <c r="J4769" t="s">
        <v>17</v>
      </c>
      <c r="K4769" t="str">
        <f>"765114255"</f>
        <v>765114255</v>
      </c>
      <c r="L4769" t="str">
        <f>"765114255"</f>
        <v>765114255</v>
      </c>
      <c r="M4769" t="s">
        <v>84</v>
      </c>
      <c r="N4769" s="1">
        <v>43266.713888888888</v>
      </c>
      <c r="O4769" t="s">
        <v>19</v>
      </c>
    </row>
    <row r="4770" spans="1:15" x14ac:dyDescent="0.25">
      <c r="A4770" t="s">
        <v>3882</v>
      </c>
      <c r="B4770" t="s">
        <v>15</v>
      </c>
      <c r="C4770" t="s">
        <v>27</v>
      </c>
      <c r="D4770" t="s">
        <v>17</v>
      </c>
      <c r="E4770" t="s">
        <v>18</v>
      </c>
      <c r="F4770" t="s">
        <v>19</v>
      </c>
      <c r="G4770" t="s">
        <v>20</v>
      </c>
      <c r="J4770" t="s">
        <v>17</v>
      </c>
      <c r="K4770" t="str">
        <f>"766114255"</f>
        <v>766114255</v>
      </c>
      <c r="L4770" t="str">
        <f>"766114255"</f>
        <v>766114255</v>
      </c>
      <c r="M4770" t="s">
        <v>84</v>
      </c>
      <c r="N4770" s="1">
        <v>43272.79583333333</v>
      </c>
      <c r="O4770" t="s">
        <v>19</v>
      </c>
    </row>
    <row r="4771" spans="1:15" x14ac:dyDescent="0.25">
      <c r="A4771" t="s">
        <v>3882</v>
      </c>
      <c r="B4771" t="s">
        <v>15</v>
      </c>
      <c r="C4771" t="s">
        <v>27</v>
      </c>
      <c r="D4771" t="s">
        <v>17</v>
      </c>
      <c r="E4771" t="s">
        <v>18</v>
      </c>
      <c r="F4771" t="s">
        <v>19</v>
      </c>
      <c r="G4771" t="s">
        <v>20</v>
      </c>
      <c r="J4771" t="s">
        <v>17</v>
      </c>
      <c r="K4771" t="str">
        <f>"764814255"</f>
        <v>764814255</v>
      </c>
      <c r="L4771" t="str">
        <f>"764814255"</f>
        <v>764814255</v>
      </c>
      <c r="M4771" t="s">
        <v>84</v>
      </c>
      <c r="N4771" s="1">
        <v>43286.979861111111</v>
      </c>
      <c r="O4771" t="s">
        <v>19</v>
      </c>
    </row>
    <row r="4772" spans="1:15" x14ac:dyDescent="0.25">
      <c r="A4772" t="s">
        <v>3882</v>
      </c>
      <c r="B4772" t="s">
        <v>15</v>
      </c>
      <c r="C4772" t="s">
        <v>27</v>
      </c>
      <c r="D4772" t="s">
        <v>17</v>
      </c>
      <c r="E4772" t="s">
        <v>18</v>
      </c>
      <c r="F4772" t="s">
        <v>19</v>
      </c>
      <c r="G4772" t="s">
        <v>20</v>
      </c>
      <c r="J4772" t="s">
        <v>17</v>
      </c>
      <c r="K4772" t="str">
        <f>"1000001094335"</f>
        <v>1000001094335</v>
      </c>
      <c r="L4772" t="str">
        <f>"766514255"</f>
        <v>766514255</v>
      </c>
      <c r="M4772" t="s">
        <v>84</v>
      </c>
      <c r="N4772" s="1">
        <v>43320.947222222225</v>
      </c>
      <c r="O4772" t="s">
        <v>19</v>
      </c>
    </row>
    <row r="4773" spans="1:15" x14ac:dyDescent="0.25">
      <c r="A4773" t="s">
        <v>3882</v>
      </c>
      <c r="B4773" t="s">
        <v>15</v>
      </c>
      <c r="C4773" t="s">
        <v>27</v>
      </c>
      <c r="D4773" t="s">
        <v>17</v>
      </c>
      <c r="E4773" t="s">
        <v>18</v>
      </c>
      <c r="F4773" t="s">
        <v>19</v>
      </c>
      <c r="G4773" t="s">
        <v>20</v>
      </c>
      <c r="J4773" t="s">
        <v>17</v>
      </c>
      <c r="K4773" t="str">
        <f>"766414255"</f>
        <v>766414255</v>
      </c>
      <c r="L4773" t="str">
        <f>"766414255"</f>
        <v>766414255</v>
      </c>
      <c r="M4773" t="s">
        <v>84</v>
      </c>
      <c r="N4773" s="1">
        <v>43465.737500000003</v>
      </c>
      <c r="O4773" t="s">
        <v>19</v>
      </c>
    </row>
    <row r="4774" spans="1:15" x14ac:dyDescent="0.25">
      <c r="A4774" t="s">
        <v>3882</v>
      </c>
      <c r="B4774" t="s">
        <v>15</v>
      </c>
      <c r="C4774" t="s">
        <v>27</v>
      </c>
      <c r="D4774" t="s">
        <v>17</v>
      </c>
      <c r="E4774" t="s">
        <v>18</v>
      </c>
      <c r="F4774" t="s">
        <v>19</v>
      </c>
      <c r="G4774" t="s">
        <v>20</v>
      </c>
      <c r="J4774" t="s">
        <v>17</v>
      </c>
      <c r="K4774" t="str">
        <f>"768914255"</f>
        <v>768914255</v>
      </c>
      <c r="L4774" t="str">
        <f>"768914255"</f>
        <v>768914255</v>
      </c>
      <c r="M4774" t="s">
        <v>84</v>
      </c>
      <c r="N4774" s="1">
        <v>43528.661111111112</v>
      </c>
      <c r="O4774" t="s">
        <v>19</v>
      </c>
    </row>
    <row r="4775" spans="1:15" x14ac:dyDescent="0.25">
      <c r="A4775" t="s">
        <v>3882</v>
      </c>
      <c r="B4775" t="s">
        <v>15</v>
      </c>
      <c r="C4775" t="s">
        <v>27</v>
      </c>
      <c r="D4775" t="s">
        <v>17</v>
      </c>
      <c r="E4775" t="s">
        <v>18</v>
      </c>
      <c r="F4775" t="s">
        <v>19</v>
      </c>
      <c r="G4775" t="s">
        <v>20</v>
      </c>
      <c r="J4775" t="s">
        <v>17</v>
      </c>
      <c r="K4775" t="str">
        <f>"409914255"</f>
        <v>409914255</v>
      </c>
      <c r="L4775" t="str">
        <f>"409914255"</f>
        <v>409914255</v>
      </c>
      <c r="M4775" t="s">
        <v>84</v>
      </c>
      <c r="N4775" s="1">
        <v>43549.599999999999</v>
      </c>
      <c r="O4775" t="s">
        <v>19</v>
      </c>
    </row>
    <row r="4776" spans="1:15" x14ac:dyDescent="0.25">
      <c r="A4776" t="s">
        <v>3882</v>
      </c>
      <c r="B4776" t="s">
        <v>15</v>
      </c>
      <c r="C4776" t="s">
        <v>27</v>
      </c>
      <c r="D4776" t="s">
        <v>17</v>
      </c>
      <c r="E4776" t="s">
        <v>18</v>
      </c>
      <c r="F4776" t="s">
        <v>19</v>
      </c>
      <c r="G4776" t="s">
        <v>20</v>
      </c>
      <c r="J4776" t="s">
        <v>17</v>
      </c>
      <c r="K4776" t="str">
        <f>"186414255"</f>
        <v>186414255</v>
      </c>
      <c r="L4776" t="str">
        <f>"186414255"</f>
        <v>186414255</v>
      </c>
      <c r="M4776" t="s">
        <v>21</v>
      </c>
      <c r="N4776" s="1">
        <v>43609.947916666664</v>
      </c>
      <c r="O4776" t="s">
        <v>19</v>
      </c>
    </row>
    <row r="4777" spans="1:15" x14ac:dyDescent="0.25">
      <c r="A4777" t="s">
        <v>3882</v>
      </c>
      <c r="B4777" t="s">
        <v>15</v>
      </c>
      <c r="C4777" t="s">
        <v>27</v>
      </c>
      <c r="D4777" t="s">
        <v>17</v>
      </c>
      <c r="E4777" t="s">
        <v>18</v>
      </c>
      <c r="F4777" t="s">
        <v>19</v>
      </c>
      <c r="G4777" t="s">
        <v>20</v>
      </c>
      <c r="J4777" t="s">
        <v>17</v>
      </c>
      <c r="K4777" t="str">
        <f>"2019081000029"</f>
        <v>2019081000029</v>
      </c>
      <c r="L4777" t="str">
        <f>"185107601"</f>
        <v>185107601</v>
      </c>
      <c r="M4777" t="s">
        <v>21</v>
      </c>
      <c r="N4777" s="1">
        <v>43609.95208333333</v>
      </c>
      <c r="O4777" t="s">
        <v>19</v>
      </c>
    </row>
    <row r="4778" spans="1:15" x14ac:dyDescent="0.25">
      <c r="A4778" t="s">
        <v>3882</v>
      </c>
      <c r="B4778" t="s">
        <v>15</v>
      </c>
      <c r="C4778" t="s">
        <v>27</v>
      </c>
      <c r="D4778" t="s">
        <v>17</v>
      </c>
      <c r="E4778" t="s">
        <v>18</v>
      </c>
      <c r="F4778" t="s">
        <v>19</v>
      </c>
      <c r="G4778" t="s">
        <v>20</v>
      </c>
      <c r="J4778" t="s">
        <v>17</v>
      </c>
      <c r="K4778" t="str">
        <f>"2018110200072"</f>
        <v>2018110200072</v>
      </c>
      <c r="L4778" t="str">
        <f>"187514255"</f>
        <v>187514255</v>
      </c>
      <c r="M4778" t="s">
        <v>21</v>
      </c>
      <c r="N4778" s="1">
        <v>43609.956250000003</v>
      </c>
      <c r="O4778" t="s">
        <v>19</v>
      </c>
    </row>
    <row r="4779" spans="1:15" x14ac:dyDescent="0.25">
      <c r="A4779" t="s">
        <v>3882</v>
      </c>
      <c r="B4779" t="s">
        <v>15</v>
      </c>
      <c r="C4779" t="s">
        <v>27</v>
      </c>
      <c r="D4779" t="s">
        <v>17</v>
      </c>
      <c r="E4779" t="s">
        <v>18</v>
      </c>
      <c r="F4779" t="s">
        <v>19</v>
      </c>
      <c r="G4779" t="s">
        <v>20</v>
      </c>
      <c r="J4779" t="s">
        <v>17</v>
      </c>
      <c r="K4779" t="str">
        <f>"797907601"</f>
        <v>797907601</v>
      </c>
      <c r="L4779" t="str">
        <f>"797907601"</f>
        <v>797907601</v>
      </c>
      <c r="M4779" t="s">
        <v>21</v>
      </c>
      <c r="N4779" s="1">
        <v>43798.862500000003</v>
      </c>
      <c r="O4779" t="s">
        <v>19</v>
      </c>
    </row>
    <row r="4780" spans="1:15" x14ac:dyDescent="0.25">
      <c r="A4780" t="s">
        <v>3882</v>
      </c>
      <c r="B4780" t="s">
        <v>15</v>
      </c>
      <c r="C4780" t="s">
        <v>27</v>
      </c>
      <c r="D4780" t="s">
        <v>17</v>
      </c>
      <c r="E4780" t="s">
        <v>18</v>
      </c>
      <c r="F4780" t="s">
        <v>19</v>
      </c>
      <c r="G4780" t="s">
        <v>20</v>
      </c>
      <c r="J4780" t="s">
        <v>17</v>
      </c>
      <c r="K4780" t="str">
        <f>"764807601"</f>
        <v>764807601</v>
      </c>
      <c r="L4780" t="str">
        <f>"764807601"</f>
        <v>764807601</v>
      </c>
      <c r="M4780" t="s">
        <v>21</v>
      </c>
      <c r="N4780" s="1">
        <v>43825.84375</v>
      </c>
      <c r="O4780" t="s">
        <v>19</v>
      </c>
    </row>
    <row r="4781" spans="1:15" x14ac:dyDescent="0.25">
      <c r="A4781" t="s">
        <v>3882</v>
      </c>
      <c r="B4781" t="s">
        <v>15</v>
      </c>
      <c r="C4781" t="s">
        <v>27</v>
      </c>
      <c r="D4781" t="s">
        <v>17</v>
      </c>
      <c r="E4781" t="s">
        <v>18</v>
      </c>
      <c r="F4781" t="s">
        <v>19</v>
      </c>
      <c r="G4781" t="s">
        <v>20</v>
      </c>
      <c r="J4781" t="s">
        <v>17</v>
      </c>
      <c r="K4781" t="str">
        <f>"4549995030280"</f>
        <v>4549995030280</v>
      </c>
      <c r="L4781" t="str">
        <f>"349907601"</f>
        <v>349907601</v>
      </c>
      <c r="M4781" t="s">
        <v>21</v>
      </c>
      <c r="N4781" s="1">
        <v>43825.92083333333</v>
      </c>
      <c r="O4781" t="s">
        <v>19</v>
      </c>
    </row>
    <row r="4782" spans="1:15" x14ac:dyDescent="0.25">
      <c r="A4782" t="s">
        <v>3882</v>
      </c>
      <c r="B4782" t="s">
        <v>15</v>
      </c>
      <c r="C4782" t="s">
        <v>27</v>
      </c>
      <c r="D4782" t="s">
        <v>17</v>
      </c>
      <c r="E4782" t="s">
        <v>18</v>
      </c>
      <c r="F4782" t="s">
        <v>19</v>
      </c>
      <c r="G4782" t="s">
        <v>20</v>
      </c>
      <c r="J4782" t="s">
        <v>17</v>
      </c>
      <c r="K4782" t="str">
        <f>"764814123"</f>
        <v>764814123</v>
      </c>
      <c r="L4782" t="str">
        <f>"765107601"</f>
        <v>765107601</v>
      </c>
      <c r="M4782" t="s">
        <v>21</v>
      </c>
      <c r="N4782" s="1">
        <v>43833.911111111112</v>
      </c>
      <c r="O4782" t="s">
        <v>19</v>
      </c>
    </row>
    <row r="4783" spans="1:15" x14ac:dyDescent="0.25">
      <c r="A4783" t="s">
        <v>3882</v>
      </c>
      <c r="B4783" t="s">
        <v>15</v>
      </c>
      <c r="C4783" t="s">
        <v>27</v>
      </c>
      <c r="D4783" t="s">
        <v>17</v>
      </c>
      <c r="E4783" t="s">
        <v>18</v>
      </c>
      <c r="F4783" t="s">
        <v>19</v>
      </c>
      <c r="G4783" t="s">
        <v>20</v>
      </c>
      <c r="J4783" t="s">
        <v>17</v>
      </c>
      <c r="K4783" t="str">
        <f>"767907601"</f>
        <v>767907601</v>
      </c>
      <c r="L4783" t="str">
        <f>"767907601"</f>
        <v>767907601</v>
      </c>
      <c r="M4783" t="s">
        <v>21</v>
      </c>
      <c r="N4783" s="1">
        <v>44251.856249999997</v>
      </c>
      <c r="O4783" t="s">
        <v>19</v>
      </c>
    </row>
    <row r="4784" spans="1:15" x14ac:dyDescent="0.25">
      <c r="A4784" t="s">
        <v>3882</v>
      </c>
      <c r="B4784" t="s">
        <v>15</v>
      </c>
      <c r="C4784" t="s">
        <v>27</v>
      </c>
      <c r="D4784" t="s">
        <v>17</v>
      </c>
      <c r="E4784" t="s">
        <v>18</v>
      </c>
      <c r="F4784" t="s">
        <v>19</v>
      </c>
      <c r="G4784" t="s">
        <v>20</v>
      </c>
      <c r="J4784" t="s">
        <v>17</v>
      </c>
      <c r="K4784" t="str">
        <f>"190199269149"</f>
        <v>190199269149</v>
      </c>
      <c r="L4784" t="str">
        <f>"395907601"</f>
        <v>395907601</v>
      </c>
      <c r="M4784" t="s">
        <v>21</v>
      </c>
      <c r="N4784" s="1">
        <v>44351.866666666669</v>
      </c>
      <c r="O4784" t="s">
        <v>19</v>
      </c>
    </row>
    <row r="4785" spans="1:15" x14ac:dyDescent="0.25">
      <c r="A4785" t="s">
        <v>3882</v>
      </c>
      <c r="B4785" t="s">
        <v>15</v>
      </c>
      <c r="C4785" t="s">
        <v>27</v>
      </c>
      <c r="D4785" t="s">
        <v>17</v>
      </c>
      <c r="E4785" t="s">
        <v>18</v>
      </c>
      <c r="F4785" t="s">
        <v>19</v>
      </c>
      <c r="G4785" t="s">
        <v>20</v>
      </c>
      <c r="J4785" t="s">
        <v>17</v>
      </c>
      <c r="K4785" t="str">
        <f>"135107601"</f>
        <v>135107601</v>
      </c>
      <c r="L4785" t="str">
        <f>"135107601"</f>
        <v>135107601</v>
      </c>
      <c r="M4785" t="s">
        <v>21</v>
      </c>
      <c r="N4785" s="1">
        <v>44414.95208333333</v>
      </c>
      <c r="O4785" t="s">
        <v>19</v>
      </c>
    </row>
    <row r="4786" spans="1:15" x14ac:dyDescent="0.25">
      <c r="A4786" t="s">
        <v>3883</v>
      </c>
      <c r="B4786" t="s">
        <v>15</v>
      </c>
      <c r="C4786" t="s">
        <v>27</v>
      </c>
      <c r="D4786" t="s">
        <v>17</v>
      </c>
      <c r="E4786" t="s">
        <v>18</v>
      </c>
      <c r="F4786" t="s">
        <v>19</v>
      </c>
      <c r="G4786" t="s">
        <v>20</v>
      </c>
      <c r="J4786" t="s">
        <v>17</v>
      </c>
      <c r="K4786" t="str">
        <f>"764907602"</f>
        <v>764907602</v>
      </c>
      <c r="L4786" t="str">
        <f>"764807602"</f>
        <v>764807602</v>
      </c>
      <c r="M4786" t="s">
        <v>21</v>
      </c>
      <c r="N4786" s="1">
        <v>43825.853472222225</v>
      </c>
      <c r="O4786" t="s">
        <v>19</v>
      </c>
    </row>
    <row r="4787" spans="1:15" x14ac:dyDescent="0.25">
      <c r="A4787" t="s">
        <v>3883</v>
      </c>
      <c r="B4787" t="s">
        <v>15</v>
      </c>
      <c r="C4787" t="s">
        <v>27</v>
      </c>
      <c r="D4787" t="s">
        <v>17</v>
      </c>
      <c r="E4787" t="s">
        <v>18</v>
      </c>
      <c r="F4787" t="s">
        <v>19</v>
      </c>
      <c r="G4787" t="s">
        <v>20</v>
      </c>
      <c r="J4787" t="s">
        <v>17</v>
      </c>
      <c r="K4787" t="str">
        <f>"4549995030303"</f>
        <v>4549995030303</v>
      </c>
      <c r="L4787" t="str">
        <f>"349907602"</f>
        <v>349907602</v>
      </c>
      <c r="M4787" t="s">
        <v>21</v>
      </c>
      <c r="N4787" s="1">
        <v>43889.643750000003</v>
      </c>
      <c r="O4787" t="s">
        <v>19</v>
      </c>
    </row>
    <row r="4788" spans="1:15" x14ac:dyDescent="0.25">
      <c r="A4788" t="s">
        <v>3884</v>
      </c>
      <c r="B4788" t="s">
        <v>15</v>
      </c>
      <c r="C4788" t="s">
        <v>27</v>
      </c>
      <c r="D4788" t="s">
        <v>17</v>
      </c>
      <c r="E4788" t="s">
        <v>18</v>
      </c>
      <c r="F4788" t="s">
        <v>19</v>
      </c>
      <c r="G4788" t="s">
        <v>20</v>
      </c>
      <c r="J4788" t="s">
        <v>17</v>
      </c>
      <c r="K4788" t="str">
        <f>"766207603"</f>
        <v>766207603</v>
      </c>
      <c r="L4788" t="str">
        <f>"766207603"</f>
        <v>766207603</v>
      </c>
      <c r="M4788" t="s">
        <v>21</v>
      </c>
      <c r="N4788" s="1">
        <v>42872.847222222219</v>
      </c>
      <c r="O4788" t="s">
        <v>19</v>
      </c>
    </row>
    <row r="4789" spans="1:15" x14ac:dyDescent="0.25">
      <c r="A4789" t="s">
        <v>3884</v>
      </c>
      <c r="B4789" t="s">
        <v>15</v>
      </c>
      <c r="C4789" t="s">
        <v>27</v>
      </c>
      <c r="D4789" t="s">
        <v>17</v>
      </c>
      <c r="E4789" t="s">
        <v>18</v>
      </c>
      <c r="F4789" t="s">
        <v>19</v>
      </c>
      <c r="G4789" t="s">
        <v>20</v>
      </c>
      <c r="J4789" t="s">
        <v>17</v>
      </c>
      <c r="K4789" t="str">
        <f>"797907603"</f>
        <v>797907603</v>
      </c>
      <c r="L4789" t="str">
        <f>"797907603"</f>
        <v>797907603</v>
      </c>
      <c r="M4789" t="s">
        <v>21</v>
      </c>
      <c r="N4789" s="1">
        <v>43864.581250000003</v>
      </c>
      <c r="O4789" t="s">
        <v>19</v>
      </c>
    </row>
    <row r="4790" spans="1:15" x14ac:dyDescent="0.25">
      <c r="A4790" t="s">
        <v>3885</v>
      </c>
      <c r="B4790" t="s">
        <v>15</v>
      </c>
      <c r="C4790" t="s">
        <v>27</v>
      </c>
      <c r="D4790" t="s">
        <v>17</v>
      </c>
      <c r="E4790" t="s">
        <v>18</v>
      </c>
      <c r="F4790" t="s">
        <v>19</v>
      </c>
      <c r="G4790" t="s">
        <v>20</v>
      </c>
      <c r="J4790" t="s">
        <v>17</v>
      </c>
      <c r="K4790" t="str">
        <f>"797907606"</f>
        <v>797907606</v>
      </c>
      <c r="L4790" t="str">
        <f>"797907606"</f>
        <v>797907606</v>
      </c>
      <c r="M4790" t="s">
        <v>21</v>
      </c>
      <c r="N4790" s="1">
        <v>42872.849305555559</v>
      </c>
      <c r="O4790" t="s">
        <v>19</v>
      </c>
    </row>
    <row r="4791" spans="1:15" x14ac:dyDescent="0.25">
      <c r="A4791" t="s">
        <v>3886</v>
      </c>
      <c r="B4791" t="s">
        <v>15</v>
      </c>
      <c r="C4791" t="s">
        <v>27</v>
      </c>
      <c r="D4791" t="s">
        <v>17</v>
      </c>
      <c r="E4791" t="s">
        <v>18</v>
      </c>
      <c r="F4791" t="s">
        <v>19</v>
      </c>
      <c r="G4791" t="s">
        <v>20</v>
      </c>
      <c r="J4791" t="s">
        <v>17</v>
      </c>
      <c r="K4791" t="str">
        <f>"797907608"</f>
        <v>797907608</v>
      </c>
      <c r="L4791" t="str">
        <f>"797907608"</f>
        <v>797907608</v>
      </c>
      <c r="M4791" t="s">
        <v>21</v>
      </c>
      <c r="N4791" s="1">
        <v>42878.935416666667</v>
      </c>
      <c r="O4791" t="s">
        <v>19</v>
      </c>
    </row>
    <row r="4792" spans="1:15" x14ac:dyDescent="0.25">
      <c r="A4792" t="s">
        <v>3886</v>
      </c>
      <c r="B4792" t="s">
        <v>15</v>
      </c>
      <c r="C4792" t="s">
        <v>27</v>
      </c>
      <c r="D4792" t="s">
        <v>17</v>
      </c>
      <c r="E4792" t="s">
        <v>18</v>
      </c>
      <c r="F4792" t="s">
        <v>19</v>
      </c>
      <c r="G4792" t="s">
        <v>20</v>
      </c>
      <c r="J4792" t="s">
        <v>17</v>
      </c>
      <c r="K4792" t="str">
        <f>"766207601"</f>
        <v>766207601</v>
      </c>
      <c r="L4792" t="str">
        <f>"766207601"</f>
        <v>766207601</v>
      </c>
      <c r="M4792" t="s">
        <v>21</v>
      </c>
      <c r="N4792" s="1">
        <v>44251.852083333331</v>
      </c>
      <c r="O4792" t="s">
        <v>19</v>
      </c>
    </row>
    <row r="4793" spans="1:15" x14ac:dyDescent="0.25">
      <c r="A4793" t="s">
        <v>3886</v>
      </c>
      <c r="B4793" t="s">
        <v>15</v>
      </c>
      <c r="C4793" t="s">
        <v>27</v>
      </c>
      <c r="D4793" t="s">
        <v>17</v>
      </c>
      <c r="E4793" t="s">
        <v>18</v>
      </c>
      <c r="F4793" t="s">
        <v>19</v>
      </c>
      <c r="G4793" t="s">
        <v>20</v>
      </c>
      <c r="J4793" t="s">
        <v>17</v>
      </c>
      <c r="K4793" t="str">
        <f>"768007608"</f>
        <v>768007608</v>
      </c>
      <c r="L4793" t="str">
        <f>"768007608"</f>
        <v>768007608</v>
      </c>
      <c r="M4793" t="s">
        <v>21</v>
      </c>
      <c r="N4793" s="1">
        <v>44251.857638888891</v>
      </c>
      <c r="O4793" t="s">
        <v>19</v>
      </c>
    </row>
    <row r="4794" spans="1:15" x14ac:dyDescent="0.25">
      <c r="A4794" t="s">
        <v>3886</v>
      </c>
      <c r="B4794" t="s">
        <v>15</v>
      </c>
      <c r="C4794" t="s">
        <v>27</v>
      </c>
      <c r="D4794" t="s">
        <v>17</v>
      </c>
      <c r="E4794" t="s">
        <v>18</v>
      </c>
      <c r="F4794" t="s">
        <v>19</v>
      </c>
      <c r="G4794" t="s">
        <v>20</v>
      </c>
      <c r="J4794" t="s">
        <v>17</v>
      </c>
      <c r="K4794" t="str">
        <f>"764807608"</f>
        <v>764807608</v>
      </c>
      <c r="L4794" t="str">
        <f>"764807608"</f>
        <v>764807608</v>
      </c>
      <c r="M4794" t="s">
        <v>21</v>
      </c>
      <c r="N4794" s="1">
        <v>44251.863194444442</v>
      </c>
      <c r="O4794" t="s">
        <v>19</v>
      </c>
    </row>
    <row r="4795" spans="1:15" x14ac:dyDescent="0.25">
      <c r="A4795" t="s">
        <v>3886</v>
      </c>
      <c r="B4795" t="s">
        <v>15</v>
      </c>
      <c r="C4795" t="s">
        <v>27</v>
      </c>
      <c r="D4795" t="s">
        <v>17</v>
      </c>
      <c r="E4795" t="s">
        <v>18</v>
      </c>
      <c r="F4795" t="s">
        <v>19</v>
      </c>
      <c r="G4795" t="s">
        <v>20</v>
      </c>
      <c r="J4795" t="s">
        <v>17</v>
      </c>
      <c r="K4795" t="str">
        <f>"419907608"</f>
        <v>419907608</v>
      </c>
      <c r="L4795" t="str">
        <f>"395907608"</f>
        <v>395907608</v>
      </c>
      <c r="M4795" t="s">
        <v>21</v>
      </c>
      <c r="N4795" s="1">
        <v>44351.865277777775</v>
      </c>
      <c r="O4795" t="s">
        <v>19</v>
      </c>
    </row>
    <row r="4796" spans="1:15" x14ac:dyDescent="0.25">
      <c r="A4796" t="s">
        <v>3887</v>
      </c>
      <c r="B4796" t="s">
        <v>15</v>
      </c>
      <c r="C4796" t="s">
        <v>27</v>
      </c>
      <c r="D4796" t="s">
        <v>17</v>
      </c>
      <c r="E4796" t="s">
        <v>18</v>
      </c>
      <c r="F4796" t="s">
        <v>19</v>
      </c>
      <c r="G4796" t="s">
        <v>20</v>
      </c>
      <c r="J4796" t="s">
        <v>17</v>
      </c>
      <c r="K4796" t="str">
        <f>"797907605"</f>
        <v>797907605</v>
      </c>
      <c r="L4796" t="str">
        <f>"797907605"</f>
        <v>797907605</v>
      </c>
      <c r="M4796" t="s">
        <v>21</v>
      </c>
      <c r="N4796" s="1">
        <v>42872.847222222219</v>
      </c>
      <c r="O4796" t="s">
        <v>19</v>
      </c>
    </row>
    <row r="4797" spans="1:15" x14ac:dyDescent="0.25">
      <c r="A4797" t="s">
        <v>3888</v>
      </c>
      <c r="B4797" t="s">
        <v>15</v>
      </c>
      <c r="C4797" t="s">
        <v>27</v>
      </c>
      <c r="D4797" t="s">
        <v>17</v>
      </c>
      <c r="E4797" t="s">
        <v>18</v>
      </c>
      <c r="F4797" t="s">
        <v>19</v>
      </c>
      <c r="G4797" t="s">
        <v>20</v>
      </c>
      <c r="J4797" t="s">
        <v>17</v>
      </c>
      <c r="K4797" t="str">
        <f>"17480714"</f>
        <v>17480714</v>
      </c>
      <c r="L4797" t="str">
        <f>"17480714"</f>
        <v>17480714</v>
      </c>
      <c r="M4797" t="s">
        <v>75</v>
      </c>
      <c r="N4797" s="1">
        <v>42872.839583333334</v>
      </c>
      <c r="O4797" t="s">
        <v>19</v>
      </c>
    </row>
    <row r="4798" spans="1:15" x14ac:dyDescent="0.25">
      <c r="A4798" t="s">
        <v>3888</v>
      </c>
      <c r="B4798" t="s">
        <v>15</v>
      </c>
      <c r="C4798" t="s">
        <v>27</v>
      </c>
      <c r="D4798" t="s">
        <v>17</v>
      </c>
      <c r="E4798" t="s">
        <v>18</v>
      </c>
      <c r="F4798" t="s">
        <v>19</v>
      </c>
      <c r="G4798" t="s">
        <v>20</v>
      </c>
      <c r="J4798" t="s">
        <v>17</v>
      </c>
      <c r="K4798" t="str">
        <f>"17580714"</f>
        <v>17580714</v>
      </c>
      <c r="L4798" t="str">
        <f>"17580714"</f>
        <v>17580714</v>
      </c>
      <c r="M4798" t="s">
        <v>75</v>
      </c>
      <c r="N4798" s="1">
        <v>42872.839583333334</v>
      </c>
      <c r="O4798" t="s">
        <v>19</v>
      </c>
    </row>
    <row r="4799" spans="1:15" x14ac:dyDescent="0.25">
      <c r="A4799" t="s">
        <v>3888</v>
      </c>
      <c r="B4799" t="s">
        <v>15</v>
      </c>
      <c r="C4799" t="s">
        <v>27</v>
      </c>
      <c r="D4799" t="s">
        <v>17</v>
      </c>
      <c r="E4799" t="s">
        <v>18</v>
      </c>
      <c r="F4799" t="s">
        <v>19</v>
      </c>
      <c r="G4799" t="s">
        <v>20</v>
      </c>
      <c r="J4799" t="s">
        <v>17</v>
      </c>
      <c r="K4799" t="str">
        <f>"34470714"</f>
        <v>34470714</v>
      </c>
      <c r="L4799" t="str">
        <f>"34470714"</f>
        <v>34470714</v>
      </c>
      <c r="M4799" t="s">
        <v>75</v>
      </c>
      <c r="N4799" s="1">
        <v>42872.839583333334</v>
      </c>
      <c r="O4799" t="s">
        <v>19</v>
      </c>
    </row>
    <row r="4800" spans="1:15" x14ac:dyDescent="0.25">
      <c r="A4800" t="s">
        <v>3888</v>
      </c>
      <c r="B4800" t="s">
        <v>15</v>
      </c>
      <c r="C4800" t="s">
        <v>27</v>
      </c>
      <c r="D4800" t="s">
        <v>17</v>
      </c>
      <c r="E4800" t="s">
        <v>18</v>
      </c>
      <c r="F4800" t="s">
        <v>19</v>
      </c>
      <c r="G4800" t="s">
        <v>20</v>
      </c>
      <c r="J4800" t="s">
        <v>17</v>
      </c>
      <c r="K4800" t="str">
        <f>"76480714"</f>
        <v>76480714</v>
      </c>
      <c r="L4800" t="str">
        <f>"76480714"</f>
        <v>76480714</v>
      </c>
      <c r="M4800" t="s">
        <v>75</v>
      </c>
      <c r="N4800" s="1">
        <v>42872.847222222219</v>
      </c>
      <c r="O4800" t="s">
        <v>19</v>
      </c>
    </row>
    <row r="4801" spans="1:15" x14ac:dyDescent="0.25">
      <c r="A4801" t="s">
        <v>3889</v>
      </c>
      <c r="B4801" t="s">
        <v>15</v>
      </c>
      <c r="C4801" t="s">
        <v>27</v>
      </c>
      <c r="D4801" t="s">
        <v>17</v>
      </c>
      <c r="E4801" t="s">
        <v>18</v>
      </c>
      <c r="F4801" t="s">
        <v>19</v>
      </c>
      <c r="G4801" t="s">
        <v>20</v>
      </c>
      <c r="J4801" t="s">
        <v>17</v>
      </c>
      <c r="K4801" t="str">
        <f>"3401071"</f>
        <v>3401071</v>
      </c>
      <c r="L4801" t="str">
        <f>"3401071"</f>
        <v>3401071</v>
      </c>
      <c r="M4801" t="s">
        <v>75</v>
      </c>
      <c r="N4801" s="1">
        <v>42872.839583333334</v>
      </c>
      <c r="O4801" t="s">
        <v>19</v>
      </c>
    </row>
    <row r="4802" spans="1:15" x14ac:dyDescent="0.25">
      <c r="A4802" t="s">
        <v>3889</v>
      </c>
      <c r="B4802" t="s">
        <v>15</v>
      </c>
      <c r="C4802" t="s">
        <v>27</v>
      </c>
      <c r="D4802" t="s">
        <v>17</v>
      </c>
      <c r="E4802" t="s">
        <v>18</v>
      </c>
      <c r="F4802" t="s">
        <v>19</v>
      </c>
      <c r="G4802" t="s">
        <v>20</v>
      </c>
      <c r="J4802" t="s">
        <v>17</v>
      </c>
      <c r="K4802" t="str">
        <f>"17480715"</f>
        <v>17480715</v>
      </c>
      <c r="L4802" t="str">
        <f>"17480715"</f>
        <v>17480715</v>
      </c>
      <c r="M4802" t="s">
        <v>75</v>
      </c>
      <c r="N4802" s="1">
        <v>42872.839583333334</v>
      </c>
      <c r="O4802" t="s">
        <v>19</v>
      </c>
    </row>
    <row r="4803" spans="1:15" x14ac:dyDescent="0.25">
      <c r="A4803" t="s">
        <v>3889</v>
      </c>
      <c r="B4803" t="s">
        <v>15</v>
      </c>
      <c r="C4803" t="s">
        <v>27</v>
      </c>
      <c r="D4803" t="s">
        <v>17</v>
      </c>
      <c r="E4803" t="s">
        <v>18</v>
      </c>
      <c r="F4803" t="s">
        <v>19</v>
      </c>
      <c r="G4803" t="s">
        <v>20</v>
      </c>
      <c r="J4803" t="s">
        <v>17</v>
      </c>
      <c r="K4803" t="str">
        <f>"17480720"</f>
        <v>17480720</v>
      </c>
      <c r="L4803" t="str">
        <f>"17480720"</f>
        <v>17480720</v>
      </c>
      <c r="M4803" t="s">
        <v>75</v>
      </c>
      <c r="N4803" s="1">
        <v>42872.839583333334</v>
      </c>
      <c r="O4803" t="s">
        <v>19</v>
      </c>
    </row>
    <row r="4804" spans="1:15" x14ac:dyDescent="0.25">
      <c r="A4804" t="s">
        <v>3889</v>
      </c>
      <c r="B4804" t="s">
        <v>15</v>
      </c>
      <c r="C4804" t="s">
        <v>27</v>
      </c>
      <c r="D4804" t="s">
        <v>17</v>
      </c>
      <c r="E4804" t="s">
        <v>18</v>
      </c>
      <c r="F4804" t="s">
        <v>19</v>
      </c>
      <c r="G4804" t="s">
        <v>20</v>
      </c>
      <c r="J4804" t="s">
        <v>17</v>
      </c>
      <c r="K4804" t="str">
        <f>"17580715"</f>
        <v>17580715</v>
      </c>
      <c r="L4804" t="str">
        <f>"17580715"</f>
        <v>17580715</v>
      </c>
      <c r="M4804" t="s">
        <v>75</v>
      </c>
      <c r="N4804" s="1">
        <v>42872.839583333334</v>
      </c>
      <c r="O4804" t="s">
        <v>19</v>
      </c>
    </row>
    <row r="4805" spans="1:15" x14ac:dyDescent="0.25">
      <c r="A4805" t="s">
        <v>3889</v>
      </c>
      <c r="B4805" t="s">
        <v>15</v>
      </c>
      <c r="C4805" t="s">
        <v>27</v>
      </c>
      <c r="D4805" t="s">
        <v>17</v>
      </c>
      <c r="E4805" t="s">
        <v>18</v>
      </c>
      <c r="F4805" t="s">
        <v>19</v>
      </c>
      <c r="G4805" t="s">
        <v>20</v>
      </c>
      <c r="J4805" t="s">
        <v>17</v>
      </c>
      <c r="K4805" t="str">
        <f>"17750715"</f>
        <v>17750715</v>
      </c>
      <c r="L4805" t="str">
        <f>"17750715"</f>
        <v>17750715</v>
      </c>
      <c r="M4805" t="s">
        <v>75</v>
      </c>
      <c r="N4805" s="1">
        <v>42872.839583333334</v>
      </c>
      <c r="O4805" t="s">
        <v>19</v>
      </c>
    </row>
    <row r="4806" spans="1:15" x14ac:dyDescent="0.25">
      <c r="A4806" t="s">
        <v>3889</v>
      </c>
      <c r="B4806" t="s">
        <v>15</v>
      </c>
      <c r="C4806" t="s">
        <v>27</v>
      </c>
      <c r="D4806" t="s">
        <v>17</v>
      </c>
      <c r="E4806" t="s">
        <v>18</v>
      </c>
      <c r="F4806" t="s">
        <v>19</v>
      </c>
      <c r="G4806" t="s">
        <v>20</v>
      </c>
      <c r="J4806" t="s">
        <v>17</v>
      </c>
      <c r="K4806" t="str">
        <f>"34480720"</f>
        <v>34480720</v>
      </c>
      <c r="L4806" t="str">
        <f>"34480720"</f>
        <v>34480720</v>
      </c>
      <c r="M4806" t="s">
        <v>75</v>
      </c>
      <c r="N4806" s="1">
        <v>42872.839583333334</v>
      </c>
      <c r="O4806" t="s">
        <v>19</v>
      </c>
    </row>
    <row r="4807" spans="1:15" x14ac:dyDescent="0.25">
      <c r="A4807" t="s">
        <v>3889</v>
      </c>
      <c r="B4807" t="s">
        <v>15</v>
      </c>
      <c r="C4807" t="s">
        <v>27</v>
      </c>
      <c r="D4807" t="s">
        <v>17</v>
      </c>
      <c r="E4807" t="s">
        <v>18</v>
      </c>
      <c r="F4807" t="s">
        <v>19</v>
      </c>
      <c r="G4807" t="s">
        <v>20</v>
      </c>
      <c r="J4807" t="s">
        <v>17</v>
      </c>
      <c r="K4807" t="str">
        <f>"34580715"</f>
        <v>34580715</v>
      </c>
      <c r="L4807" t="str">
        <f>"34580715"</f>
        <v>34580715</v>
      </c>
      <c r="M4807" t="s">
        <v>75</v>
      </c>
      <c r="N4807" s="1">
        <v>42872.839583333334</v>
      </c>
      <c r="O4807" t="s">
        <v>19</v>
      </c>
    </row>
    <row r="4808" spans="1:15" x14ac:dyDescent="0.25">
      <c r="A4808" t="s">
        <v>3889</v>
      </c>
      <c r="B4808" t="s">
        <v>15</v>
      </c>
      <c r="C4808" t="s">
        <v>27</v>
      </c>
      <c r="D4808" t="s">
        <v>17</v>
      </c>
      <c r="E4808" t="s">
        <v>18</v>
      </c>
      <c r="F4808" t="s">
        <v>19</v>
      </c>
      <c r="G4808" t="s">
        <v>20</v>
      </c>
      <c r="J4808" t="s">
        <v>17</v>
      </c>
      <c r="K4808" t="str">
        <f>"34770715"</f>
        <v>34770715</v>
      </c>
      <c r="L4808" t="str">
        <f>"34770715"</f>
        <v>34770715</v>
      </c>
      <c r="M4808" t="s">
        <v>75</v>
      </c>
      <c r="N4808" s="1">
        <v>42872.839583333334</v>
      </c>
      <c r="O4808" t="s">
        <v>19</v>
      </c>
    </row>
    <row r="4809" spans="1:15" x14ac:dyDescent="0.25">
      <c r="A4809" t="s">
        <v>3889</v>
      </c>
      <c r="B4809" t="s">
        <v>15</v>
      </c>
      <c r="C4809" t="s">
        <v>27</v>
      </c>
      <c r="D4809" t="s">
        <v>17</v>
      </c>
      <c r="E4809" t="s">
        <v>18</v>
      </c>
      <c r="F4809" t="s">
        <v>19</v>
      </c>
      <c r="G4809" t="s">
        <v>20</v>
      </c>
      <c r="J4809" t="s">
        <v>17</v>
      </c>
      <c r="K4809" t="str">
        <f>"76480715"</f>
        <v>76480715</v>
      </c>
      <c r="L4809" t="str">
        <f>"76480715"</f>
        <v>76480715</v>
      </c>
      <c r="M4809" t="s">
        <v>75</v>
      </c>
      <c r="N4809" s="1">
        <v>42872.847222222219</v>
      </c>
      <c r="O4809" t="s">
        <v>19</v>
      </c>
    </row>
    <row r="4810" spans="1:15" x14ac:dyDescent="0.25">
      <c r="A4810" t="s">
        <v>3889</v>
      </c>
      <c r="B4810" t="s">
        <v>15</v>
      </c>
      <c r="C4810" t="s">
        <v>27</v>
      </c>
      <c r="D4810" t="s">
        <v>17</v>
      </c>
      <c r="E4810" t="s">
        <v>18</v>
      </c>
      <c r="F4810" t="s">
        <v>19</v>
      </c>
      <c r="G4810" t="s">
        <v>20</v>
      </c>
      <c r="J4810" t="s">
        <v>17</v>
      </c>
      <c r="K4810" t="str">
        <f>"1000001023991"</f>
        <v>1000001023991</v>
      </c>
      <c r="L4810" t="str">
        <f>"76580715"</f>
        <v>76580715</v>
      </c>
      <c r="M4810" t="s">
        <v>21</v>
      </c>
      <c r="N4810" s="1">
        <v>42872.847222222219</v>
      </c>
      <c r="O4810" t="s">
        <v>19</v>
      </c>
    </row>
    <row r="4811" spans="1:15" x14ac:dyDescent="0.25">
      <c r="A4811" t="s">
        <v>3889</v>
      </c>
      <c r="B4811" t="s">
        <v>15</v>
      </c>
      <c r="C4811" t="s">
        <v>27</v>
      </c>
      <c r="D4811" t="s">
        <v>17</v>
      </c>
      <c r="E4811" t="s">
        <v>18</v>
      </c>
      <c r="F4811" t="s">
        <v>19</v>
      </c>
      <c r="G4811" t="s">
        <v>20</v>
      </c>
      <c r="J4811" t="s">
        <v>17</v>
      </c>
      <c r="K4811" t="str">
        <f>"76580720"</f>
        <v>76580720</v>
      </c>
      <c r="L4811" t="str">
        <f>"76580720"</f>
        <v>76580720</v>
      </c>
      <c r="M4811" t="s">
        <v>75</v>
      </c>
      <c r="N4811" s="1">
        <v>42872.847222222219</v>
      </c>
      <c r="O4811" t="s">
        <v>19</v>
      </c>
    </row>
    <row r="4812" spans="1:15" x14ac:dyDescent="0.25">
      <c r="A4812" t="s">
        <v>3889</v>
      </c>
      <c r="B4812" t="s">
        <v>15</v>
      </c>
      <c r="C4812" t="s">
        <v>27</v>
      </c>
      <c r="D4812" t="s">
        <v>17</v>
      </c>
      <c r="E4812" t="s">
        <v>18</v>
      </c>
      <c r="F4812" t="s">
        <v>19</v>
      </c>
      <c r="G4812" t="s">
        <v>20</v>
      </c>
      <c r="J4812" t="s">
        <v>17</v>
      </c>
      <c r="K4812" t="str">
        <f>"1000001093970"</f>
        <v>1000001093970</v>
      </c>
      <c r="L4812" t="str">
        <f>"76650715"</f>
        <v>76650715</v>
      </c>
      <c r="M4812" t="s">
        <v>84</v>
      </c>
      <c r="N4812" s="1">
        <v>42872.847222222219</v>
      </c>
      <c r="O4812" t="s">
        <v>19</v>
      </c>
    </row>
    <row r="4813" spans="1:15" x14ac:dyDescent="0.25">
      <c r="A4813" t="s">
        <v>3889</v>
      </c>
      <c r="B4813" t="s">
        <v>15</v>
      </c>
      <c r="C4813" t="s">
        <v>27</v>
      </c>
      <c r="D4813" t="s">
        <v>17</v>
      </c>
      <c r="E4813" t="s">
        <v>18</v>
      </c>
      <c r="F4813" t="s">
        <v>19</v>
      </c>
      <c r="G4813" t="s">
        <v>20</v>
      </c>
      <c r="J4813" t="s">
        <v>17</v>
      </c>
      <c r="K4813" t="str">
        <f>"93480715"</f>
        <v>93480715</v>
      </c>
      <c r="L4813" t="str">
        <f>"93480715"</f>
        <v>93480715</v>
      </c>
      <c r="M4813" t="s">
        <v>75</v>
      </c>
      <c r="N4813" s="1">
        <v>42872.847222222219</v>
      </c>
      <c r="O4813" t="s">
        <v>19</v>
      </c>
    </row>
    <row r="4814" spans="1:15" x14ac:dyDescent="0.25">
      <c r="A4814" t="s">
        <v>3889</v>
      </c>
      <c r="B4814" t="s">
        <v>15</v>
      </c>
      <c r="C4814" t="s">
        <v>27</v>
      </c>
      <c r="D4814" t="s">
        <v>17</v>
      </c>
      <c r="E4814" t="s">
        <v>18</v>
      </c>
      <c r="F4814" t="s">
        <v>19</v>
      </c>
      <c r="G4814" t="s">
        <v>20</v>
      </c>
      <c r="J4814" t="s">
        <v>17</v>
      </c>
      <c r="K4814" t="str">
        <f>"68480715"</f>
        <v>68480715</v>
      </c>
      <c r="L4814" t="str">
        <f>"68480715"</f>
        <v>68480715</v>
      </c>
      <c r="M4814" t="s">
        <v>75</v>
      </c>
      <c r="N4814" s="1">
        <v>43007.658333333333</v>
      </c>
      <c r="O4814" t="s">
        <v>19</v>
      </c>
    </row>
    <row r="4815" spans="1:15" x14ac:dyDescent="0.25">
      <c r="A4815" t="s">
        <v>3889</v>
      </c>
      <c r="B4815" t="s">
        <v>15</v>
      </c>
      <c r="C4815" t="s">
        <v>27</v>
      </c>
      <c r="D4815" t="s">
        <v>17</v>
      </c>
      <c r="E4815" t="s">
        <v>18</v>
      </c>
      <c r="F4815" t="s">
        <v>19</v>
      </c>
      <c r="G4815" t="s">
        <v>20</v>
      </c>
      <c r="J4815" t="s">
        <v>17</v>
      </c>
      <c r="K4815" t="str">
        <f>"76510715"</f>
        <v>76510715</v>
      </c>
      <c r="L4815" t="str">
        <f>"76510715"</f>
        <v>76510715</v>
      </c>
      <c r="M4815" t="s">
        <v>75</v>
      </c>
      <c r="N4815" s="1">
        <v>43174.845833333333</v>
      </c>
      <c r="O4815" t="s">
        <v>19</v>
      </c>
    </row>
    <row r="4816" spans="1:15" x14ac:dyDescent="0.25">
      <c r="A4816" t="s">
        <v>3889</v>
      </c>
      <c r="B4816" t="s">
        <v>15</v>
      </c>
      <c r="C4816" t="s">
        <v>27</v>
      </c>
      <c r="D4816" t="s">
        <v>17</v>
      </c>
      <c r="E4816" t="s">
        <v>18</v>
      </c>
      <c r="F4816" t="s">
        <v>19</v>
      </c>
      <c r="G4816" t="s">
        <v>20</v>
      </c>
      <c r="J4816" t="s">
        <v>17</v>
      </c>
      <c r="K4816" t="str">
        <f>"17510715"</f>
        <v>17510715</v>
      </c>
      <c r="L4816" t="str">
        <f>"17510715"</f>
        <v>17510715</v>
      </c>
      <c r="M4816" t="s">
        <v>75</v>
      </c>
      <c r="N4816" s="1">
        <v>43237.729166666664</v>
      </c>
      <c r="O4816" t="s">
        <v>19</v>
      </c>
    </row>
    <row r="4817" spans="1:15" x14ac:dyDescent="0.25">
      <c r="A4817" t="s">
        <v>3889</v>
      </c>
      <c r="B4817" t="s">
        <v>15</v>
      </c>
      <c r="C4817" t="s">
        <v>27</v>
      </c>
      <c r="D4817" t="s">
        <v>17</v>
      </c>
      <c r="E4817" t="s">
        <v>18</v>
      </c>
      <c r="F4817" t="s">
        <v>19</v>
      </c>
      <c r="G4817" t="s">
        <v>20</v>
      </c>
      <c r="J4817" t="s">
        <v>18</v>
      </c>
      <c r="K4817" t="str">
        <f>"76590715"</f>
        <v>76590715</v>
      </c>
      <c r="L4817" t="str">
        <f>"76590715"</f>
        <v>76590715</v>
      </c>
      <c r="M4817" t="s">
        <v>75</v>
      </c>
      <c r="N4817" s="1">
        <v>43237.955555555556</v>
      </c>
      <c r="O4817" t="s">
        <v>19</v>
      </c>
    </row>
    <row r="4818" spans="1:15" x14ac:dyDescent="0.25">
      <c r="A4818" t="s">
        <v>3889</v>
      </c>
      <c r="B4818" t="s">
        <v>15</v>
      </c>
      <c r="C4818" t="s">
        <v>27</v>
      </c>
      <c r="D4818" t="s">
        <v>17</v>
      </c>
      <c r="E4818" t="s">
        <v>18</v>
      </c>
      <c r="F4818" t="s">
        <v>19</v>
      </c>
      <c r="G4818" t="s">
        <v>20</v>
      </c>
      <c r="J4818" t="s">
        <v>17</v>
      </c>
      <c r="K4818" t="str">
        <f>"1000001096285"</f>
        <v>1000001096285</v>
      </c>
      <c r="L4818" t="str">
        <f>"76640715"</f>
        <v>76640715</v>
      </c>
      <c r="M4818" t="s">
        <v>84</v>
      </c>
      <c r="N4818" s="1">
        <v>43244.979166666664</v>
      </c>
      <c r="O4818" t="s">
        <v>19</v>
      </c>
    </row>
    <row r="4819" spans="1:15" x14ac:dyDescent="0.25">
      <c r="A4819" t="s">
        <v>3889</v>
      </c>
      <c r="B4819" t="s">
        <v>15</v>
      </c>
      <c r="C4819" t="s">
        <v>27</v>
      </c>
      <c r="D4819" t="s">
        <v>17</v>
      </c>
      <c r="E4819" t="s">
        <v>18</v>
      </c>
      <c r="F4819" t="s">
        <v>19</v>
      </c>
      <c r="G4819" t="s">
        <v>20</v>
      </c>
      <c r="J4819" t="s">
        <v>17</v>
      </c>
      <c r="K4819" t="str">
        <f>"76390715"</f>
        <v>76390715</v>
      </c>
      <c r="L4819" t="str">
        <f>"76390715"</f>
        <v>76390715</v>
      </c>
      <c r="M4819" t="s">
        <v>84</v>
      </c>
      <c r="N4819" s="1">
        <v>43251.73541666667</v>
      </c>
      <c r="O4819" t="s">
        <v>19</v>
      </c>
    </row>
    <row r="4820" spans="1:15" x14ac:dyDescent="0.25">
      <c r="A4820" t="s">
        <v>3889</v>
      </c>
      <c r="B4820" t="s">
        <v>15</v>
      </c>
      <c r="C4820" t="s">
        <v>27</v>
      </c>
      <c r="D4820" t="s">
        <v>17</v>
      </c>
      <c r="E4820" t="s">
        <v>18</v>
      </c>
      <c r="F4820" t="s">
        <v>19</v>
      </c>
      <c r="G4820" t="s">
        <v>20</v>
      </c>
      <c r="J4820" t="s">
        <v>17</v>
      </c>
      <c r="K4820" t="str">
        <f>"76470715"</f>
        <v>76470715</v>
      </c>
      <c r="L4820" t="str">
        <f>"76470715"</f>
        <v>76470715</v>
      </c>
      <c r="M4820" t="s">
        <v>84</v>
      </c>
      <c r="N4820" s="1">
        <v>43251.743055555555</v>
      </c>
      <c r="O4820" t="s">
        <v>19</v>
      </c>
    </row>
    <row r="4821" spans="1:15" x14ac:dyDescent="0.25">
      <c r="A4821" t="s">
        <v>3889</v>
      </c>
      <c r="B4821" t="s">
        <v>15</v>
      </c>
      <c r="C4821" t="s">
        <v>27</v>
      </c>
      <c r="D4821" t="s">
        <v>17</v>
      </c>
      <c r="E4821" t="s">
        <v>18</v>
      </c>
      <c r="F4821" t="s">
        <v>19</v>
      </c>
      <c r="G4821" t="s">
        <v>20</v>
      </c>
      <c r="J4821" t="s">
        <v>17</v>
      </c>
      <c r="K4821" t="str">
        <f>"17770715"</f>
        <v>17770715</v>
      </c>
      <c r="L4821" t="str">
        <f>"17770715"</f>
        <v>17770715</v>
      </c>
      <c r="M4821" t="s">
        <v>84</v>
      </c>
      <c r="N4821" s="1">
        <v>43251.94027777778</v>
      </c>
      <c r="O4821" t="s">
        <v>19</v>
      </c>
    </row>
    <row r="4822" spans="1:15" x14ac:dyDescent="0.25">
      <c r="A4822" t="s">
        <v>3889</v>
      </c>
      <c r="B4822" t="s">
        <v>15</v>
      </c>
      <c r="C4822" t="s">
        <v>27</v>
      </c>
      <c r="D4822" t="s">
        <v>17</v>
      </c>
      <c r="E4822" t="s">
        <v>18</v>
      </c>
      <c r="F4822" t="s">
        <v>19</v>
      </c>
      <c r="G4822" t="s">
        <v>20</v>
      </c>
      <c r="J4822" t="s">
        <v>17</v>
      </c>
      <c r="K4822" t="str">
        <f>"34480715"</f>
        <v>34480715</v>
      </c>
      <c r="L4822" t="str">
        <f>"34480715"</f>
        <v>34480715</v>
      </c>
      <c r="M4822" t="s">
        <v>84</v>
      </c>
      <c r="N4822" s="1">
        <v>43306.719444444447</v>
      </c>
      <c r="O4822" t="s">
        <v>19</v>
      </c>
    </row>
    <row r="4823" spans="1:15" x14ac:dyDescent="0.25">
      <c r="A4823" t="s">
        <v>3889</v>
      </c>
      <c r="B4823" t="s">
        <v>15</v>
      </c>
      <c r="C4823" t="s">
        <v>27</v>
      </c>
      <c r="D4823" t="s">
        <v>17</v>
      </c>
      <c r="E4823" t="s">
        <v>18</v>
      </c>
      <c r="F4823" t="s">
        <v>19</v>
      </c>
      <c r="G4823" t="s">
        <v>20</v>
      </c>
      <c r="J4823" t="s">
        <v>17</v>
      </c>
      <c r="K4823" t="str">
        <f>"76990715"</f>
        <v>76990715</v>
      </c>
      <c r="L4823" t="str">
        <f>"76990715"</f>
        <v>76990715</v>
      </c>
      <c r="M4823" t="s">
        <v>84</v>
      </c>
      <c r="N4823" s="1">
        <v>43307.618750000001</v>
      </c>
      <c r="O4823" t="s">
        <v>19</v>
      </c>
    </row>
    <row r="4824" spans="1:15" x14ac:dyDescent="0.25">
      <c r="A4824" t="s">
        <v>3889</v>
      </c>
      <c r="B4824" t="s">
        <v>15</v>
      </c>
      <c r="C4824" t="s">
        <v>27</v>
      </c>
      <c r="D4824" t="s">
        <v>17</v>
      </c>
      <c r="E4824" t="s">
        <v>18</v>
      </c>
      <c r="F4824" t="s">
        <v>19</v>
      </c>
      <c r="G4824" t="s">
        <v>20</v>
      </c>
      <c r="J4824" t="s">
        <v>17</v>
      </c>
      <c r="K4824" t="str">
        <f>"2019030400016"</f>
        <v>2019030400016</v>
      </c>
      <c r="L4824" t="str">
        <f>"18750715"</f>
        <v>18750715</v>
      </c>
      <c r="M4824" t="s">
        <v>21</v>
      </c>
      <c r="N4824" s="1">
        <v>43603.665277777778</v>
      </c>
      <c r="O4824" t="s">
        <v>19</v>
      </c>
    </row>
    <row r="4825" spans="1:15" x14ac:dyDescent="0.25">
      <c r="A4825" t="s">
        <v>3889</v>
      </c>
      <c r="B4825" t="s">
        <v>15</v>
      </c>
      <c r="C4825" t="s">
        <v>27</v>
      </c>
      <c r="D4825" t="s">
        <v>17</v>
      </c>
      <c r="E4825" t="s">
        <v>18</v>
      </c>
      <c r="F4825" t="s">
        <v>19</v>
      </c>
      <c r="G4825" t="s">
        <v>20</v>
      </c>
      <c r="H4825" t="s">
        <v>3890</v>
      </c>
      <c r="J4825" t="s">
        <v>17</v>
      </c>
      <c r="K4825" t="str">
        <f>"76760715"</f>
        <v>76760715</v>
      </c>
      <c r="L4825" t="str">
        <f>"76760715"</f>
        <v>76760715</v>
      </c>
      <c r="M4825" t="s">
        <v>75</v>
      </c>
      <c r="N4825" s="1">
        <v>42872.847222222219</v>
      </c>
      <c r="O4825" t="s">
        <v>19</v>
      </c>
    </row>
    <row r="4826" spans="1:15" x14ac:dyDescent="0.25">
      <c r="A4826" t="s">
        <v>3891</v>
      </c>
      <c r="B4826" t="s">
        <v>15</v>
      </c>
      <c r="C4826" t="s">
        <v>27</v>
      </c>
      <c r="D4826" t="s">
        <v>17</v>
      </c>
      <c r="E4826" t="s">
        <v>18</v>
      </c>
      <c r="F4826" t="s">
        <v>19</v>
      </c>
      <c r="G4826" t="s">
        <v>20</v>
      </c>
      <c r="J4826" t="s">
        <v>17</v>
      </c>
      <c r="K4826" t="str">
        <f>"17480716"</f>
        <v>17480716</v>
      </c>
      <c r="L4826" t="str">
        <f>"17480716"</f>
        <v>17480716</v>
      </c>
      <c r="M4826" t="s">
        <v>75</v>
      </c>
      <c r="N4826" s="1">
        <v>42872.839583333334</v>
      </c>
      <c r="O4826" t="s">
        <v>19</v>
      </c>
    </row>
    <row r="4827" spans="1:15" x14ac:dyDescent="0.25">
      <c r="A4827" t="s">
        <v>3891</v>
      </c>
      <c r="B4827" t="s">
        <v>15</v>
      </c>
      <c r="C4827" t="s">
        <v>27</v>
      </c>
      <c r="D4827" t="s">
        <v>17</v>
      </c>
      <c r="E4827" t="s">
        <v>18</v>
      </c>
      <c r="F4827" t="s">
        <v>19</v>
      </c>
      <c r="G4827" t="s">
        <v>20</v>
      </c>
      <c r="J4827" t="s">
        <v>17</v>
      </c>
      <c r="K4827" t="str">
        <f>"17580716"</f>
        <v>17580716</v>
      </c>
      <c r="L4827" t="str">
        <f>"17580716"</f>
        <v>17580716</v>
      </c>
      <c r="M4827" t="s">
        <v>75</v>
      </c>
      <c r="N4827" s="1">
        <v>42872.839583333334</v>
      </c>
      <c r="O4827" t="s">
        <v>19</v>
      </c>
    </row>
    <row r="4828" spans="1:15" x14ac:dyDescent="0.25">
      <c r="A4828" t="s">
        <v>3891</v>
      </c>
      <c r="B4828" t="s">
        <v>15</v>
      </c>
      <c r="C4828" t="s">
        <v>27</v>
      </c>
      <c r="D4828" t="s">
        <v>17</v>
      </c>
      <c r="E4828" t="s">
        <v>18</v>
      </c>
      <c r="F4828" t="s">
        <v>19</v>
      </c>
      <c r="G4828" t="s">
        <v>20</v>
      </c>
      <c r="J4828" t="s">
        <v>17</v>
      </c>
      <c r="K4828" t="str">
        <f>"34480716"</f>
        <v>34480716</v>
      </c>
      <c r="L4828" t="str">
        <f>"34480716"</f>
        <v>34480716</v>
      </c>
      <c r="M4828" t="s">
        <v>75</v>
      </c>
      <c r="N4828" s="1">
        <v>42872.839583333334</v>
      </c>
      <c r="O4828" t="s">
        <v>19</v>
      </c>
    </row>
    <row r="4829" spans="1:15" x14ac:dyDescent="0.25">
      <c r="A4829" t="s">
        <v>3891</v>
      </c>
      <c r="B4829" t="s">
        <v>15</v>
      </c>
      <c r="C4829" t="s">
        <v>27</v>
      </c>
      <c r="D4829" t="s">
        <v>17</v>
      </c>
      <c r="E4829" t="s">
        <v>18</v>
      </c>
      <c r="F4829" t="s">
        <v>19</v>
      </c>
      <c r="G4829" t="s">
        <v>20</v>
      </c>
      <c r="J4829" t="s">
        <v>17</v>
      </c>
      <c r="K4829" t="str">
        <f>"76470716"</f>
        <v>76470716</v>
      </c>
      <c r="L4829" t="str">
        <f>"76470716"</f>
        <v>76470716</v>
      </c>
      <c r="M4829" t="s">
        <v>75</v>
      </c>
      <c r="N4829" s="1">
        <v>42872.847222222219</v>
      </c>
      <c r="O4829" t="s">
        <v>19</v>
      </c>
    </row>
    <row r="4830" spans="1:15" x14ac:dyDescent="0.25">
      <c r="A4830" t="s">
        <v>3891</v>
      </c>
      <c r="B4830" t="s">
        <v>15</v>
      </c>
      <c r="C4830" t="s">
        <v>27</v>
      </c>
      <c r="D4830" t="s">
        <v>17</v>
      </c>
      <c r="E4830" t="s">
        <v>18</v>
      </c>
      <c r="F4830" t="s">
        <v>19</v>
      </c>
      <c r="G4830" t="s">
        <v>20</v>
      </c>
      <c r="J4830" t="s">
        <v>17</v>
      </c>
      <c r="K4830" t="str">
        <f>"76480716"</f>
        <v>76480716</v>
      </c>
      <c r="L4830" t="str">
        <f>"76480716"</f>
        <v>76480716</v>
      </c>
      <c r="M4830" t="s">
        <v>75</v>
      </c>
      <c r="N4830" s="1">
        <v>42872.847222222219</v>
      </c>
      <c r="O4830" t="s">
        <v>19</v>
      </c>
    </row>
    <row r="4831" spans="1:15" x14ac:dyDescent="0.25">
      <c r="A4831" t="s">
        <v>3891</v>
      </c>
      <c r="B4831" t="s">
        <v>15</v>
      </c>
      <c r="C4831" t="s">
        <v>27</v>
      </c>
      <c r="D4831" t="s">
        <v>17</v>
      </c>
      <c r="E4831" t="s">
        <v>18</v>
      </c>
      <c r="F4831" t="s">
        <v>19</v>
      </c>
      <c r="G4831" t="s">
        <v>20</v>
      </c>
      <c r="J4831" t="s">
        <v>17</v>
      </c>
      <c r="K4831" t="str">
        <f>"76580716"</f>
        <v>76580716</v>
      </c>
      <c r="L4831" t="str">
        <f>"76580716"</f>
        <v>76580716</v>
      </c>
      <c r="M4831" t="s">
        <v>75</v>
      </c>
      <c r="N4831" s="1">
        <v>42872.847222222219</v>
      </c>
      <c r="O4831" t="s">
        <v>19</v>
      </c>
    </row>
    <row r="4832" spans="1:15" x14ac:dyDescent="0.25">
      <c r="A4832" t="s">
        <v>3891</v>
      </c>
      <c r="B4832" t="s">
        <v>15</v>
      </c>
      <c r="C4832" t="s">
        <v>27</v>
      </c>
      <c r="D4832" t="s">
        <v>17</v>
      </c>
      <c r="E4832" t="s">
        <v>18</v>
      </c>
      <c r="F4832" t="s">
        <v>19</v>
      </c>
      <c r="G4832" t="s">
        <v>20</v>
      </c>
      <c r="J4832" t="s">
        <v>17</v>
      </c>
      <c r="K4832" t="str">
        <f>"1000001093987"</f>
        <v>1000001093987</v>
      </c>
      <c r="L4832" t="str">
        <f>"76650716"</f>
        <v>76650716</v>
      </c>
      <c r="M4832" t="s">
        <v>84</v>
      </c>
      <c r="N4832" s="1">
        <v>42872.847222222219</v>
      </c>
      <c r="O4832" t="s">
        <v>19</v>
      </c>
    </row>
    <row r="4833" spans="1:15" x14ac:dyDescent="0.25">
      <c r="A4833" t="s">
        <v>3891</v>
      </c>
      <c r="B4833" t="s">
        <v>15</v>
      </c>
      <c r="C4833" t="s">
        <v>27</v>
      </c>
      <c r="D4833" t="s">
        <v>17</v>
      </c>
      <c r="E4833" t="s">
        <v>18</v>
      </c>
      <c r="F4833" t="s">
        <v>19</v>
      </c>
      <c r="G4833" t="s">
        <v>20</v>
      </c>
      <c r="J4833" t="s">
        <v>17</v>
      </c>
      <c r="K4833" t="str">
        <f>"79790716"</f>
        <v>79790716</v>
      </c>
      <c r="L4833" t="str">
        <f>"79790716"</f>
        <v>79790716</v>
      </c>
      <c r="M4833" t="s">
        <v>21</v>
      </c>
      <c r="N4833" s="1">
        <v>42872.847222222219</v>
      </c>
      <c r="O4833" t="s">
        <v>19</v>
      </c>
    </row>
    <row r="4834" spans="1:15" x14ac:dyDescent="0.25">
      <c r="A4834" t="s">
        <v>3891</v>
      </c>
      <c r="B4834" t="s">
        <v>15</v>
      </c>
      <c r="C4834" t="s">
        <v>27</v>
      </c>
      <c r="D4834" t="s">
        <v>17</v>
      </c>
      <c r="E4834" t="s">
        <v>18</v>
      </c>
      <c r="F4834" t="s">
        <v>19</v>
      </c>
      <c r="G4834" t="s">
        <v>20</v>
      </c>
      <c r="J4834" t="s">
        <v>17</v>
      </c>
      <c r="K4834" t="str">
        <f>"76790716"</f>
        <v>76790716</v>
      </c>
      <c r="L4834" t="str">
        <f>"76790716"</f>
        <v>76790716</v>
      </c>
      <c r="M4834" t="s">
        <v>75</v>
      </c>
      <c r="N4834" s="1">
        <v>42933.736111111109</v>
      </c>
      <c r="O4834" t="s">
        <v>19</v>
      </c>
    </row>
    <row r="4835" spans="1:15" x14ac:dyDescent="0.25">
      <c r="A4835" t="s">
        <v>3891</v>
      </c>
      <c r="B4835" t="s">
        <v>15</v>
      </c>
      <c r="C4835" t="s">
        <v>27</v>
      </c>
      <c r="D4835" t="s">
        <v>17</v>
      </c>
      <c r="E4835" t="s">
        <v>18</v>
      </c>
      <c r="F4835" t="s">
        <v>19</v>
      </c>
      <c r="G4835" t="s">
        <v>20</v>
      </c>
      <c r="J4835" t="s">
        <v>17</v>
      </c>
      <c r="K4835" t="str">
        <f>"17770716"</f>
        <v>17770716</v>
      </c>
      <c r="L4835" t="str">
        <f>"17770716"</f>
        <v>17770716</v>
      </c>
      <c r="M4835" t="s">
        <v>75</v>
      </c>
      <c r="N4835" s="1">
        <v>42956.938888888886</v>
      </c>
      <c r="O4835" t="s">
        <v>19</v>
      </c>
    </row>
    <row r="4836" spans="1:15" x14ac:dyDescent="0.25">
      <c r="A4836" t="s">
        <v>3891</v>
      </c>
      <c r="B4836" t="s">
        <v>15</v>
      </c>
      <c r="C4836" t="s">
        <v>27</v>
      </c>
      <c r="D4836" t="s">
        <v>17</v>
      </c>
      <c r="E4836" t="s">
        <v>18</v>
      </c>
      <c r="F4836" t="s">
        <v>19</v>
      </c>
      <c r="G4836" t="s">
        <v>20</v>
      </c>
      <c r="J4836" t="s">
        <v>17</v>
      </c>
      <c r="K4836" t="str">
        <f>"76010716"</f>
        <v>76010716</v>
      </c>
      <c r="L4836" t="str">
        <f>"76010716"</f>
        <v>76010716</v>
      </c>
      <c r="M4836" t="s">
        <v>75</v>
      </c>
      <c r="N4836" s="1">
        <v>42999.711805555555</v>
      </c>
      <c r="O4836" t="s">
        <v>19</v>
      </c>
    </row>
    <row r="4837" spans="1:15" x14ac:dyDescent="0.25">
      <c r="A4837" t="s">
        <v>3891</v>
      </c>
      <c r="B4837" t="s">
        <v>15</v>
      </c>
      <c r="C4837" t="s">
        <v>27</v>
      </c>
      <c r="D4837" t="s">
        <v>17</v>
      </c>
      <c r="E4837" t="s">
        <v>18</v>
      </c>
      <c r="F4837" t="s">
        <v>19</v>
      </c>
      <c r="G4837" t="s">
        <v>20</v>
      </c>
      <c r="J4837" t="s">
        <v>17</v>
      </c>
      <c r="K4837" t="str">
        <f>"34790716"</f>
        <v>34790716</v>
      </c>
      <c r="L4837" t="str">
        <f>"34790716"</f>
        <v>34790716</v>
      </c>
      <c r="M4837" t="s">
        <v>75</v>
      </c>
      <c r="N4837" s="1">
        <v>43116.70208333333</v>
      </c>
      <c r="O4837" t="s">
        <v>19</v>
      </c>
    </row>
    <row r="4838" spans="1:15" x14ac:dyDescent="0.25">
      <c r="A4838" t="s">
        <v>3891</v>
      </c>
      <c r="B4838" t="s">
        <v>15</v>
      </c>
      <c r="C4838" t="s">
        <v>27</v>
      </c>
      <c r="D4838" t="s">
        <v>17</v>
      </c>
      <c r="E4838" t="s">
        <v>18</v>
      </c>
      <c r="F4838" t="s">
        <v>19</v>
      </c>
      <c r="G4838" t="s">
        <v>20</v>
      </c>
      <c r="J4838" t="s">
        <v>17</v>
      </c>
      <c r="K4838" t="str">
        <f>"76510716"</f>
        <v>76510716</v>
      </c>
      <c r="L4838" t="str">
        <f>"76510716"</f>
        <v>76510716</v>
      </c>
      <c r="M4838" t="s">
        <v>75</v>
      </c>
      <c r="N4838" s="1">
        <v>43174.845138888886</v>
      </c>
      <c r="O4838" t="s">
        <v>19</v>
      </c>
    </row>
    <row r="4839" spans="1:15" x14ac:dyDescent="0.25">
      <c r="A4839" t="s">
        <v>3891</v>
      </c>
      <c r="B4839" t="s">
        <v>15</v>
      </c>
      <c r="C4839" t="s">
        <v>27</v>
      </c>
      <c r="D4839" t="s">
        <v>17</v>
      </c>
      <c r="E4839" t="s">
        <v>18</v>
      </c>
      <c r="F4839" t="s">
        <v>19</v>
      </c>
      <c r="G4839" t="s">
        <v>20</v>
      </c>
      <c r="J4839" t="s">
        <v>17</v>
      </c>
      <c r="K4839" t="str">
        <f>"27510716"</f>
        <v>27510716</v>
      </c>
      <c r="L4839" t="str">
        <f>"27510716"</f>
        <v>27510716</v>
      </c>
      <c r="M4839" t="s">
        <v>75</v>
      </c>
      <c r="N4839" s="1">
        <v>43236.72152777778</v>
      </c>
      <c r="O4839" t="s">
        <v>19</v>
      </c>
    </row>
    <row r="4840" spans="1:15" x14ac:dyDescent="0.25">
      <c r="A4840" t="s">
        <v>3891</v>
      </c>
      <c r="B4840" t="s">
        <v>15</v>
      </c>
      <c r="C4840" t="s">
        <v>27</v>
      </c>
      <c r="D4840" t="s">
        <v>17</v>
      </c>
      <c r="E4840" t="s">
        <v>18</v>
      </c>
      <c r="F4840" t="s">
        <v>19</v>
      </c>
      <c r="G4840" t="s">
        <v>20</v>
      </c>
      <c r="J4840" t="s">
        <v>17</v>
      </c>
      <c r="K4840" t="str">
        <f>"1000001094946"</f>
        <v>1000001094946</v>
      </c>
      <c r="L4840" t="str">
        <f>"76590716"</f>
        <v>76590716</v>
      </c>
      <c r="M4840" t="s">
        <v>84</v>
      </c>
      <c r="N4840" s="1">
        <v>43236.912499999999</v>
      </c>
      <c r="O4840" t="s">
        <v>19</v>
      </c>
    </row>
    <row r="4841" spans="1:15" x14ac:dyDescent="0.25">
      <c r="A4841" t="s">
        <v>3891</v>
      </c>
      <c r="B4841" t="s">
        <v>15</v>
      </c>
      <c r="C4841" t="s">
        <v>27</v>
      </c>
      <c r="D4841" t="s">
        <v>17</v>
      </c>
      <c r="E4841" t="s">
        <v>18</v>
      </c>
      <c r="F4841" t="s">
        <v>19</v>
      </c>
      <c r="G4841" t="s">
        <v>20</v>
      </c>
      <c r="J4841" t="s">
        <v>17</v>
      </c>
      <c r="K4841" t="str">
        <f>"17510716"</f>
        <v>17510716</v>
      </c>
      <c r="L4841" t="str">
        <f>"17510716"</f>
        <v>17510716</v>
      </c>
      <c r="M4841" t="s">
        <v>75</v>
      </c>
      <c r="N4841" s="1">
        <v>43237.730555555558</v>
      </c>
      <c r="O4841" t="s">
        <v>19</v>
      </c>
    </row>
    <row r="4842" spans="1:15" x14ac:dyDescent="0.25">
      <c r="A4842" t="s">
        <v>3891</v>
      </c>
      <c r="B4842" t="s">
        <v>15</v>
      </c>
      <c r="C4842" t="s">
        <v>27</v>
      </c>
      <c r="D4842" t="s">
        <v>17</v>
      </c>
      <c r="E4842" t="s">
        <v>18</v>
      </c>
      <c r="F4842" t="s">
        <v>19</v>
      </c>
      <c r="G4842" t="s">
        <v>20</v>
      </c>
      <c r="J4842" t="s">
        <v>17</v>
      </c>
      <c r="K4842" t="str">
        <f>"76390716"</f>
        <v>76390716</v>
      </c>
      <c r="L4842" t="str">
        <f>"76390716"</f>
        <v>76390716</v>
      </c>
      <c r="M4842" t="s">
        <v>75</v>
      </c>
      <c r="N4842" s="1">
        <v>43237.959027777775</v>
      </c>
      <c r="O4842" t="s">
        <v>19</v>
      </c>
    </row>
    <row r="4843" spans="1:15" x14ac:dyDescent="0.25">
      <c r="A4843" t="s">
        <v>3891</v>
      </c>
      <c r="B4843" t="s">
        <v>15</v>
      </c>
      <c r="C4843" t="s">
        <v>27</v>
      </c>
      <c r="D4843" t="s">
        <v>17</v>
      </c>
      <c r="E4843" t="s">
        <v>18</v>
      </c>
      <c r="F4843" t="s">
        <v>19</v>
      </c>
      <c r="G4843" t="s">
        <v>20</v>
      </c>
      <c r="J4843" t="s">
        <v>17</v>
      </c>
      <c r="K4843" t="str">
        <f>"99480716"</f>
        <v>99480716</v>
      </c>
      <c r="L4843" t="str">
        <f>"99480716"</f>
        <v>99480716</v>
      </c>
      <c r="M4843" t="s">
        <v>75</v>
      </c>
      <c r="N4843" s="1">
        <v>43244.875</v>
      </c>
      <c r="O4843" t="s">
        <v>19</v>
      </c>
    </row>
    <row r="4844" spans="1:15" x14ac:dyDescent="0.25">
      <c r="A4844" t="s">
        <v>3891</v>
      </c>
      <c r="B4844" t="s">
        <v>15</v>
      </c>
      <c r="C4844" t="s">
        <v>27</v>
      </c>
      <c r="D4844" t="s">
        <v>17</v>
      </c>
      <c r="E4844" t="s">
        <v>18</v>
      </c>
      <c r="F4844" t="s">
        <v>19</v>
      </c>
      <c r="G4844" t="s">
        <v>20</v>
      </c>
      <c r="J4844" t="s">
        <v>17</v>
      </c>
      <c r="K4844" t="str">
        <f>"76640716"</f>
        <v>76640716</v>
      </c>
      <c r="L4844" t="str">
        <f>"76640716"</f>
        <v>76640716</v>
      </c>
      <c r="M4844" t="s">
        <v>84</v>
      </c>
      <c r="N4844" s="1">
        <v>43251.730555555558</v>
      </c>
      <c r="O4844" t="s">
        <v>19</v>
      </c>
    </row>
    <row r="4845" spans="1:15" x14ac:dyDescent="0.25">
      <c r="A4845" t="s">
        <v>3891</v>
      </c>
      <c r="B4845" t="s">
        <v>15</v>
      </c>
      <c r="C4845" t="s">
        <v>27</v>
      </c>
      <c r="D4845" t="s">
        <v>17</v>
      </c>
      <c r="E4845" t="s">
        <v>18</v>
      </c>
      <c r="F4845" t="s">
        <v>19</v>
      </c>
      <c r="G4845" t="s">
        <v>20</v>
      </c>
      <c r="J4845" t="s">
        <v>17</v>
      </c>
      <c r="K4845" t="str">
        <f>"1000001024004"</f>
        <v>1000001024004</v>
      </c>
      <c r="L4845" t="str">
        <f>"76610716"</f>
        <v>76610716</v>
      </c>
      <c r="M4845" t="s">
        <v>21</v>
      </c>
      <c r="N4845" s="1">
        <v>43272.801388888889</v>
      </c>
      <c r="O4845" t="s">
        <v>19</v>
      </c>
    </row>
    <row r="4846" spans="1:15" x14ac:dyDescent="0.25">
      <c r="A4846" t="s">
        <v>3891</v>
      </c>
      <c r="B4846" t="s">
        <v>15</v>
      </c>
      <c r="C4846" t="s">
        <v>27</v>
      </c>
      <c r="D4846" t="s">
        <v>17</v>
      </c>
      <c r="E4846" t="s">
        <v>18</v>
      </c>
      <c r="F4846" t="s">
        <v>19</v>
      </c>
      <c r="G4846" t="s">
        <v>20</v>
      </c>
      <c r="J4846" t="s">
        <v>17</v>
      </c>
      <c r="K4846" t="str">
        <f>"86480716"</f>
        <v>86480716</v>
      </c>
      <c r="L4846" t="str">
        <f>"86480716"</f>
        <v>86480716</v>
      </c>
      <c r="M4846" t="s">
        <v>84</v>
      </c>
      <c r="N4846" s="1">
        <v>43280.711111111108</v>
      </c>
      <c r="O4846" t="s">
        <v>19</v>
      </c>
    </row>
    <row r="4847" spans="1:15" x14ac:dyDescent="0.25">
      <c r="A4847" t="s">
        <v>3891</v>
      </c>
      <c r="B4847" t="s">
        <v>15</v>
      </c>
      <c r="C4847" t="s">
        <v>27</v>
      </c>
      <c r="D4847" t="s">
        <v>17</v>
      </c>
      <c r="E4847" t="s">
        <v>18</v>
      </c>
      <c r="F4847" t="s">
        <v>19</v>
      </c>
      <c r="G4847" t="s">
        <v>20</v>
      </c>
      <c r="J4847" t="s">
        <v>17</v>
      </c>
      <c r="K4847" t="str">
        <f>"34510716"</f>
        <v>34510716</v>
      </c>
      <c r="L4847" t="str">
        <f>"34510716"</f>
        <v>34510716</v>
      </c>
      <c r="M4847" t="s">
        <v>84</v>
      </c>
      <c r="N4847" s="1">
        <v>43306.709027777775</v>
      </c>
      <c r="O4847" t="s">
        <v>19</v>
      </c>
    </row>
    <row r="4848" spans="1:15" x14ac:dyDescent="0.25">
      <c r="A4848" t="s">
        <v>3891</v>
      </c>
      <c r="B4848" t="s">
        <v>15</v>
      </c>
      <c r="C4848" t="s">
        <v>27</v>
      </c>
      <c r="D4848" t="s">
        <v>17</v>
      </c>
      <c r="E4848" t="s">
        <v>18</v>
      </c>
      <c r="F4848" t="s">
        <v>19</v>
      </c>
      <c r="G4848" t="s">
        <v>20</v>
      </c>
      <c r="J4848" t="s">
        <v>17</v>
      </c>
      <c r="K4848" t="str">
        <f>"34590716"</f>
        <v>34590716</v>
      </c>
      <c r="L4848" t="str">
        <f>"34590716"</f>
        <v>34590716</v>
      </c>
      <c r="M4848" t="s">
        <v>84</v>
      </c>
      <c r="N4848" s="1">
        <v>43306.720138888886</v>
      </c>
      <c r="O4848" t="s">
        <v>19</v>
      </c>
    </row>
    <row r="4849" spans="1:15" x14ac:dyDescent="0.25">
      <c r="A4849" t="s">
        <v>3891</v>
      </c>
      <c r="B4849" t="s">
        <v>15</v>
      </c>
      <c r="C4849" t="s">
        <v>27</v>
      </c>
      <c r="D4849" t="s">
        <v>17</v>
      </c>
      <c r="E4849" t="s">
        <v>18</v>
      </c>
      <c r="F4849" t="s">
        <v>19</v>
      </c>
      <c r="G4849" t="s">
        <v>20</v>
      </c>
      <c r="J4849" t="s">
        <v>17</v>
      </c>
      <c r="K4849" t="str">
        <f>"1000001025148"</f>
        <v>1000001025148</v>
      </c>
      <c r="L4849" t="str">
        <f>"76990716"</f>
        <v>76990716</v>
      </c>
      <c r="M4849" t="s">
        <v>21</v>
      </c>
      <c r="N4849" s="1">
        <v>43306.915972222225</v>
      </c>
      <c r="O4849" t="s">
        <v>19</v>
      </c>
    </row>
    <row r="4850" spans="1:15" x14ac:dyDescent="0.25">
      <c r="A4850" t="s">
        <v>3891</v>
      </c>
      <c r="B4850" t="s">
        <v>15</v>
      </c>
      <c r="C4850" t="s">
        <v>27</v>
      </c>
      <c r="D4850" t="s">
        <v>17</v>
      </c>
      <c r="E4850" t="s">
        <v>18</v>
      </c>
      <c r="F4850" t="s">
        <v>19</v>
      </c>
      <c r="G4850" t="s">
        <v>20</v>
      </c>
      <c r="J4850" t="s">
        <v>17</v>
      </c>
      <c r="K4850" t="str">
        <f>"17590716"</f>
        <v>17590716</v>
      </c>
      <c r="L4850" t="str">
        <f>"17590716"</f>
        <v>17590716</v>
      </c>
      <c r="M4850" t="s">
        <v>84</v>
      </c>
      <c r="N4850" s="1">
        <v>43308.881944444445</v>
      </c>
      <c r="O4850" t="s">
        <v>19</v>
      </c>
    </row>
    <row r="4851" spans="1:15" x14ac:dyDescent="0.25">
      <c r="A4851" t="s">
        <v>3891</v>
      </c>
      <c r="B4851" t="s">
        <v>15</v>
      </c>
      <c r="C4851" t="s">
        <v>27</v>
      </c>
      <c r="D4851" t="s">
        <v>17</v>
      </c>
      <c r="E4851" t="s">
        <v>18</v>
      </c>
      <c r="F4851" t="s">
        <v>19</v>
      </c>
      <c r="G4851" t="s">
        <v>20</v>
      </c>
      <c r="J4851" t="s">
        <v>17</v>
      </c>
      <c r="K4851" t="str">
        <f>"41510716"</f>
        <v>41510716</v>
      </c>
      <c r="L4851" t="str">
        <f>"41510716"</f>
        <v>41510716</v>
      </c>
      <c r="M4851" t="s">
        <v>84</v>
      </c>
      <c r="N4851" s="1">
        <v>43328.585416666669</v>
      </c>
      <c r="O4851" t="s">
        <v>19</v>
      </c>
    </row>
    <row r="4852" spans="1:15" x14ac:dyDescent="0.25">
      <c r="A4852" t="s">
        <v>3891</v>
      </c>
      <c r="B4852" t="s">
        <v>15</v>
      </c>
      <c r="C4852" t="s">
        <v>27</v>
      </c>
      <c r="D4852" t="s">
        <v>17</v>
      </c>
      <c r="E4852" t="s">
        <v>18</v>
      </c>
      <c r="F4852" t="s">
        <v>19</v>
      </c>
      <c r="G4852" t="s">
        <v>20</v>
      </c>
      <c r="J4852" t="s">
        <v>17</v>
      </c>
      <c r="K4852" t="str">
        <f>"69400716"</f>
        <v>69400716</v>
      </c>
      <c r="L4852" t="str">
        <f>"69400716"</f>
        <v>69400716</v>
      </c>
      <c r="M4852" t="s">
        <v>84</v>
      </c>
      <c r="N4852" s="1">
        <v>43328.676388888889</v>
      </c>
      <c r="O4852" t="s">
        <v>19</v>
      </c>
    </row>
    <row r="4853" spans="1:15" x14ac:dyDescent="0.25">
      <c r="A4853" t="s">
        <v>3891</v>
      </c>
      <c r="B4853" t="s">
        <v>15</v>
      </c>
      <c r="C4853" t="s">
        <v>27</v>
      </c>
      <c r="D4853" t="s">
        <v>17</v>
      </c>
      <c r="E4853" t="s">
        <v>18</v>
      </c>
      <c r="F4853" t="s">
        <v>19</v>
      </c>
      <c r="G4853" t="s">
        <v>20</v>
      </c>
      <c r="J4853" t="s">
        <v>17</v>
      </c>
      <c r="K4853" t="str">
        <f>"69510716"</f>
        <v>69510716</v>
      </c>
      <c r="L4853" t="str">
        <f>"69510716"</f>
        <v>69510716</v>
      </c>
      <c r="M4853" t="s">
        <v>84</v>
      </c>
      <c r="N4853" s="1">
        <v>43328.841666666667</v>
      </c>
      <c r="O4853" t="s">
        <v>19</v>
      </c>
    </row>
    <row r="4854" spans="1:15" x14ac:dyDescent="0.25">
      <c r="A4854" t="s">
        <v>3891</v>
      </c>
      <c r="B4854" t="s">
        <v>15</v>
      </c>
      <c r="C4854" t="s">
        <v>27</v>
      </c>
      <c r="D4854" t="s">
        <v>17</v>
      </c>
      <c r="E4854" t="s">
        <v>18</v>
      </c>
      <c r="F4854" t="s">
        <v>19</v>
      </c>
      <c r="G4854" t="s">
        <v>20</v>
      </c>
      <c r="J4854" t="s">
        <v>17</v>
      </c>
      <c r="K4854" t="str">
        <f>"1000001096056"</f>
        <v>1000001096056</v>
      </c>
      <c r="L4854" t="str">
        <f>"76980716"</f>
        <v>76980716</v>
      </c>
      <c r="M4854" t="s">
        <v>84</v>
      </c>
      <c r="N4854" s="1">
        <v>43335.768055555556</v>
      </c>
      <c r="O4854" t="s">
        <v>19</v>
      </c>
    </row>
    <row r="4855" spans="1:15" x14ac:dyDescent="0.25">
      <c r="A4855" t="s">
        <v>3891</v>
      </c>
      <c r="B4855" t="s">
        <v>15</v>
      </c>
      <c r="C4855" t="s">
        <v>27</v>
      </c>
      <c r="D4855" t="s">
        <v>17</v>
      </c>
      <c r="E4855" t="s">
        <v>18</v>
      </c>
      <c r="F4855" t="s">
        <v>19</v>
      </c>
      <c r="G4855" t="s">
        <v>20</v>
      </c>
      <c r="J4855" t="s">
        <v>17</v>
      </c>
      <c r="K4855" t="str">
        <f>"4001166040035"</f>
        <v>4001166040035</v>
      </c>
      <c r="L4855" t="str">
        <f>"41480716"</f>
        <v>41480716</v>
      </c>
      <c r="M4855" t="s">
        <v>84</v>
      </c>
      <c r="N4855" s="1">
        <v>43350.874305555553</v>
      </c>
      <c r="O4855" t="s">
        <v>19</v>
      </c>
    </row>
    <row r="4856" spans="1:15" x14ac:dyDescent="0.25">
      <c r="A4856" t="s">
        <v>3891</v>
      </c>
      <c r="B4856" t="s">
        <v>15</v>
      </c>
      <c r="C4856" t="s">
        <v>27</v>
      </c>
      <c r="D4856" t="s">
        <v>17</v>
      </c>
      <c r="E4856" t="s">
        <v>18</v>
      </c>
      <c r="F4856" t="s">
        <v>19</v>
      </c>
      <c r="G4856" t="s">
        <v>20</v>
      </c>
      <c r="J4856" t="s">
        <v>17</v>
      </c>
      <c r="K4856" t="str">
        <f>"86640716"</f>
        <v>86640716</v>
      </c>
      <c r="L4856" t="str">
        <f>"86640716"</f>
        <v>86640716</v>
      </c>
      <c r="M4856" t="s">
        <v>84</v>
      </c>
      <c r="N4856" s="1">
        <v>43364.933333333334</v>
      </c>
      <c r="O4856" t="s">
        <v>19</v>
      </c>
    </row>
    <row r="4857" spans="1:15" x14ac:dyDescent="0.25">
      <c r="A4857" t="s">
        <v>3891</v>
      </c>
      <c r="B4857" t="s">
        <v>15</v>
      </c>
      <c r="C4857" t="s">
        <v>27</v>
      </c>
      <c r="D4857" t="s">
        <v>17</v>
      </c>
      <c r="E4857" t="s">
        <v>18</v>
      </c>
      <c r="F4857" t="s">
        <v>19</v>
      </c>
      <c r="G4857" t="s">
        <v>20</v>
      </c>
      <c r="J4857" t="s">
        <v>17</v>
      </c>
      <c r="K4857" t="str">
        <f>"86780716"</f>
        <v>86780716</v>
      </c>
      <c r="L4857" t="str">
        <f>"86780716"</f>
        <v>86780716</v>
      </c>
      <c r="M4857" t="s">
        <v>84</v>
      </c>
      <c r="N4857" s="1">
        <v>43367.578472222223</v>
      </c>
      <c r="O4857" t="s">
        <v>19</v>
      </c>
    </row>
    <row r="4858" spans="1:15" x14ac:dyDescent="0.25">
      <c r="A4858" t="s">
        <v>3891</v>
      </c>
      <c r="B4858" t="s">
        <v>15</v>
      </c>
      <c r="C4858" t="s">
        <v>27</v>
      </c>
      <c r="D4858" t="s">
        <v>17</v>
      </c>
      <c r="E4858" t="s">
        <v>18</v>
      </c>
      <c r="F4858" t="s">
        <v>19</v>
      </c>
      <c r="G4858" t="s">
        <v>20</v>
      </c>
      <c r="J4858" t="s">
        <v>17</v>
      </c>
      <c r="K4858" t="str">
        <f>"34990716"</f>
        <v>34990716</v>
      </c>
      <c r="L4858" t="str">
        <f>"34990716"</f>
        <v>34990716</v>
      </c>
      <c r="M4858" t="s">
        <v>21</v>
      </c>
      <c r="N4858" s="1">
        <v>43370.87222222222</v>
      </c>
      <c r="O4858" t="s">
        <v>19</v>
      </c>
    </row>
    <row r="4859" spans="1:15" x14ac:dyDescent="0.25">
      <c r="A4859" t="s">
        <v>3891</v>
      </c>
      <c r="B4859" t="s">
        <v>15</v>
      </c>
      <c r="C4859" t="s">
        <v>27</v>
      </c>
      <c r="D4859" t="s">
        <v>17</v>
      </c>
      <c r="E4859" t="s">
        <v>18</v>
      </c>
      <c r="F4859" t="s">
        <v>19</v>
      </c>
      <c r="G4859" t="s">
        <v>20</v>
      </c>
      <c r="J4859" t="s">
        <v>17</v>
      </c>
      <c r="K4859" t="str">
        <f>"86920716"</f>
        <v>86920716</v>
      </c>
      <c r="L4859" t="str">
        <f>"86920716"</f>
        <v>86920716</v>
      </c>
      <c r="M4859" t="s">
        <v>84</v>
      </c>
      <c r="N4859" s="1">
        <v>43374.647222222222</v>
      </c>
      <c r="O4859" t="s">
        <v>19</v>
      </c>
    </row>
    <row r="4860" spans="1:15" x14ac:dyDescent="0.25">
      <c r="A4860" t="s">
        <v>3891</v>
      </c>
      <c r="B4860" t="s">
        <v>15</v>
      </c>
      <c r="C4860" t="s">
        <v>27</v>
      </c>
      <c r="D4860" t="s">
        <v>17</v>
      </c>
      <c r="E4860" t="s">
        <v>18</v>
      </c>
      <c r="F4860" t="s">
        <v>19</v>
      </c>
      <c r="G4860" t="s">
        <v>20</v>
      </c>
      <c r="J4860" t="s">
        <v>17</v>
      </c>
      <c r="K4860" t="str">
        <f>"76890716"</f>
        <v>76890716</v>
      </c>
      <c r="L4860" t="str">
        <f>"76890716"</f>
        <v>76890716</v>
      </c>
      <c r="M4860" t="s">
        <v>84</v>
      </c>
      <c r="N4860" s="1">
        <v>43528.662499999999</v>
      </c>
      <c r="O4860" t="s">
        <v>19</v>
      </c>
    </row>
    <row r="4861" spans="1:15" x14ac:dyDescent="0.25">
      <c r="A4861" t="s">
        <v>3891</v>
      </c>
      <c r="B4861" t="s">
        <v>15</v>
      </c>
      <c r="C4861" t="s">
        <v>27</v>
      </c>
      <c r="D4861" t="s">
        <v>17</v>
      </c>
      <c r="E4861" t="s">
        <v>18</v>
      </c>
      <c r="F4861" t="s">
        <v>19</v>
      </c>
      <c r="G4861" t="s">
        <v>20</v>
      </c>
      <c r="J4861" t="s">
        <v>17</v>
      </c>
      <c r="K4861" t="str">
        <f>"2019030101104"</f>
        <v>2019030101104</v>
      </c>
      <c r="L4861" t="str">
        <f>"18640716"</f>
        <v>18640716</v>
      </c>
      <c r="M4861" t="s">
        <v>21</v>
      </c>
      <c r="N4861" s="1">
        <v>43603.677083333336</v>
      </c>
      <c r="O4861" t="s">
        <v>19</v>
      </c>
    </row>
    <row r="4862" spans="1:15" x14ac:dyDescent="0.25">
      <c r="A4862" t="s">
        <v>3891</v>
      </c>
      <c r="B4862" t="s">
        <v>15</v>
      </c>
      <c r="C4862" t="s">
        <v>27</v>
      </c>
      <c r="D4862" t="s">
        <v>17</v>
      </c>
      <c r="E4862" t="s">
        <v>18</v>
      </c>
      <c r="F4862" t="s">
        <v>19</v>
      </c>
      <c r="G4862" t="s">
        <v>20</v>
      </c>
      <c r="J4862" t="s">
        <v>17</v>
      </c>
      <c r="K4862" t="str">
        <f>"54480716"</f>
        <v>54480716</v>
      </c>
      <c r="L4862" t="str">
        <f>"54480716"</f>
        <v>54480716</v>
      </c>
      <c r="M4862" t="s">
        <v>21</v>
      </c>
      <c r="N4862" s="1">
        <v>43609.813888888886</v>
      </c>
      <c r="O4862" t="s">
        <v>19</v>
      </c>
    </row>
    <row r="4863" spans="1:15" x14ac:dyDescent="0.25">
      <c r="A4863" t="s">
        <v>3891</v>
      </c>
      <c r="B4863" t="s">
        <v>15</v>
      </c>
      <c r="C4863" t="s">
        <v>27</v>
      </c>
      <c r="D4863" t="s">
        <v>17</v>
      </c>
      <c r="E4863" t="s">
        <v>18</v>
      </c>
      <c r="F4863" t="s">
        <v>19</v>
      </c>
      <c r="G4863" t="s">
        <v>20</v>
      </c>
      <c r="J4863" t="s">
        <v>17</v>
      </c>
      <c r="K4863" t="str">
        <f>"2019040100012"</f>
        <v>2019040100012</v>
      </c>
      <c r="L4863" t="str">
        <f>"18480716"</f>
        <v>18480716</v>
      </c>
      <c r="M4863" t="s">
        <v>21</v>
      </c>
      <c r="N4863" s="1">
        <v>43649.664583333331</v>
      </c>
      <c r="O4863" t="s">
        <v>19</v>
      </c>
    </row>
    <row r="4864" spans="1:15" x14ac:dyDescent="0.25">
      <c r="A4864" t="s">
        <v>3891</v>
      </c>
      <c r="B4864" t="s">
        <v>15</v>
      </c>
      <c r="C4864" t="s">
        <v>27</v>
      </c>
      <c r="D4864" t="s">
        <v>17</v>
      </c>
      <c r="E4864" t="s">
        <v>18</v>
      </c>
      <c r="F4864" t="s">
        <v>19</v>
      </c>
      <c r="G4864" t="s">
        <v>20</v>
      </c>
      <c r="J4864" t="s">
        <v>17</v>
      </c>
      <c r="K4864" t="str">
        <f>"13510716"</f>
        <v>13510716</v>
      </c>
      <c r="L4864" t="str">
        <f>"13510716"</f>
        <v>13510716</v>
      </c>
      <c r="M4864" t="s">
        <v>21</v>
      </c>
      <c r="N4864" s="1">
        <v>44348.838888888888</v>
      </c>
      <c r="O4864" t="s">
        <v>19</v>
      </c>
    </row>
    <row r="4865" spans="1:15" x14ac:dyDescent="0.25">
      <c r="A4865" t="s">
        <v>3891</v>
      </c>
      <c r="B4865" t="s">
        <v>15</v>
      </c>
      <c r="C4865" t="s">
        <v>27</v>
      </c>
      <c r="D4865" t="s">
        <v>17</v>
      </c>
      <c r="E4865" t="s">
        <v>18</v>
      </c>
      <c r="F4865" t="s">
        <v>19</v>
      </c>
      <c r="G4865" t="s">
        <v>20</v>
      </c>
      <c r="J4865" t="s">
        <v>17</v>
      </c>
      <c r="K4865" t="str">
        <f>"4547597934296"</f>
        <v>4547597934296</v>
      </c>
      <c r="L4865" t="str">
        <f>"39590716"</f>
        <v>39590716</v>
      </c>
      <c r="M4865" t="s">
        <v>21</v>
      </c>
      <c r="N4865" s="1">
        <v>44351.863194444442</v>
      </c>
      <c r="O4865" t="s">
        <v>19</v>
      </c>
    </row>
    <row r="4866" spans="1:15" x14ac:dyDescent="0.25">
      <c r="A4866" t="s">
        <v>3892</v>
      </c>
      <c r="B4866" t="s">
        <v>15</v>
      </c>
      <c r="C4866" t="s">
        <v>27</v>
      </c>
      <c r="D4866" t="s">
        <v>17</v>
      </c>
      <c r="E4866" t="s">
        <v>18</v>
      </c>
      <c r="F4866" t="s">
        <v>19</v>
      </c>
      <c r="G4866" t="s">
        <v>20</v>
      </c>
      <c r="J4866" t="s">
        <v>17</v>
      </c>
      <c r="K4866" t="str">
        <f>"110170744"</f>
        <v>110170744</v>
      </c>
      <c r="L4866" t="str">
        <f>"110170744"</f>
        <v>110170744</v>
      </c>
      <c r="M4866" t="s">
        <v>75</v>
      </c>
      <c r="N4866" s="1">
        <v>42872.847222222219</v>
      </c>
      <c r="O4866" t="s">
        <v>19</v>
      </c>
    </row>
    <row r="4867" spans="1:15" x14ac:dyDescent="0.25">
      <c r="A4867" t="s">
        <v>3892</v>
      </c>
      <c r="B4867" t="s">
        <v>15</v>
      </c>
      <c r="C4867" t="s">
        <v>27</v>
      </c>
      <c r="D4867" t="s">
        <v>17</v>
      </c>
      <c r="E4867" t="s">
        <v>18</v>
      </c>
      <c r="F4867" t="s">
        <v>19</v>
      </c>
      <c r="G4867" t="s">
        <v>20</v>
      </c>
      <c r="J4867" t="s">
        <v>17</v>
      </c>
      <c r="K4867" t="str">
        <f>"110171713"</f>
        <v>110171713</v>
      </c>
      <c r="L4867" t="str">
        <f>"110171713"</f>
        <v>110171713</v>
      </c>
      <c r="M4867" t="s">
        <v>75</v>
      </c>
      <c r="N4867" s="1">
        <v>42872.847222222219</v>
      </c>
      <c r="O4867" t="s">
        <v>19</v>
      </c>
    </row>
    <row r="4868" spans="1:15" x14ac:dyDescent="0.25">
      <c r="A4868" t="s">
        <v>3893</v>
      </c>
      <c r="B4868" t="s">
        <v>15</v>
      </c>
      <c r="C4868" t="s">
        <v>27</v>
      </c>
      <c r="D4868" t="s">
        <v>17</v>
      </c>
      <c r="E4868" t="s">
        <v>18</v>
      </c>
      <c r="F4868" t="s">
        <v>19</v>
      </c>
      <c r="G4868" t="s">
        <v>20</v>
      </c>
      <c r="J4868" t="s">
        <v>17</v>
      </c>
      <c r="K4868" t="str">
        <f>"17480717"</f>
        <v>17480717</v>
      </c>
      <c r="L4868" t="str">
        <f>"17480717"</f>
        <v>17480717</v>
      </c>
      <c r="M4868" t="s">
        <v>75</v>
      </c>
      <c r="N4868" s="1">
        <v>42872.839583333334</v>
      </c>
      <c r="O4868" t="s">
        <v>19</v>
      </c>
    </row>
    <row r="4869" spans="1:15" x14ac:dyDescent="0.25">
      <c r="A4869" t="s">
        <v>3893</v>
      </c>
      <c r="B4869" t="s">
        <v>15</v>
      </c>
      <c r="C4869" t="s">
        <v>27</v>
      </c>
      <c r="D4869" t="s">
        <v>17</v>
      </c>
      <c r="E4869" t="s">
        <v>18</v>
      </c>
      <c r="F4869" t="s">
        <v>19</v>
      </c>
      <c r="G4869" t="s">
        <v>20</v>
      </c>
      <c r="J4869" t="s">
        <v>17</v>
      </c>
      <c r="K4869" t="str">
        <f>"17580717"</f>
        <v>17580717</v>
      </c>
      <c r="L4869" t="str">
        <f>"17580717"</f>
        <v>17580717</v>
      </c>
      <c r="M4869" t="s">
        <v>75</v>
      </c>
      <c r="N4869" s="1">
        <v>42872.839583333334</v>
      </c>
      <c r="O4869" t="s">
        <v>19</v>
      </c>
    </row>
    <row r="4870" spans="1:15" x14ac:dyDescent="0.25">
      <c r="A4870" t="s">
        <v>3893</v>
      </c>
      <c r="B4870" t="s">
        <v>15</v>
      </c>
      <c r="C4870" t="s">
        <v>27</v>
      </c>
      <c r="D4870" t="s">
        <v>17</v>
      </c>
      <c r="E4870" t="s">
        <v>18</v>
      </c>
      <c r="F4870" t="s">
        <v>19</v>
      </c>
      <c r="G4870" t="s">
        <v>20</v>
      </c>
      <c r="J4870" t="s">
        <v>17</v>
      </c>
      <c r="K4870" t="str">
        <f>"27580717"</f>
        <v>27580717</v>
      </c>
      <c r="L4870" t="str">
        <f>"27580717"</f>
        <v>27580717</v>
      </c>
      <c r="M4870" t="s">
        <v>75</v>
      </c>
      <c r="N4870" s="1">
        <v>42872.839583333334</v>
      </c>
      <c r="O4870" t="s">
        <v>19</v>
      </c>
    </row>
    <row r="4871" spans="1:15" x14ac:dyDescent="0.25">
      <c r="A4871" t="s">
        <v>3893</v>
      </c>
      <c r="B4871" t="s">
        <v>15</v>
      </c>
      <c r="C4871" t="s">
        <v>27</v>
      </c>
      <c r="D4871" t="s">
        <v>17</v>
      </c>
      <c r="E4871" t="s">
        <v>18</v>
      </c>
      <c r="F4871" t="s">
        <v>19</v>
      </c>
      <c r="G4871" t="s">
        <v>20</v>
      </c>
      <c r="J4871" t="s">
        <v>17</v>
      </c>
      <c r="K4871" t="str">
        <f>"76260717"</f>
        <v>76260717</v>
      </c>
      <c r="L4871" t="str">
        <f>"76260717"</f>
        <v>76260717</v>
      </c>
      <c r="M4871" t="s">
        <v>75</v>
      </c>
      <c r="N4871" s="1">
        <v>42872.847222222219</v>
      </c>
      <c r="O4871" t="s">
        <v>19</v>
      </c>
    </row>
    <row r="4872" spans="1:15" x14ac:dyDescent="0.25">
      <c r="A4872" t="s">
        <v>3893</v>
      </c>
      <c r="B4872" t="s">
        <v>15</v>
      </c>
      <c r="C4872" t="s">
        <v>27</v>
      </c>
      <c r="D4872" t="s">
        <v>17</v>
      </c>
      <c r="E4872" t="s">
        <v>18</v>
      </c>
      <c r="F4872" t="s">
        <v>19</v>
      </c>
      <c r="G4872" t="s">
        <v>20</v>
      </c>
      <c r="J4872" t="s">
        <v>17</v>
      </c>
      <c r="K4872" t="str">
        <f>"76470717"</f>
        <v>76470717</v>
      </c>
      <c r="L4872" t="str">
        <f>"76470717"</f>
        <v>76470717</v>
      </c>
      <c r="M4872" t="s">
        <v>75</v>
      </c>
      <c r="N4872" s="1">
        <v>42872.847222222219</v>
      </c>
      <c r="O4872" t="s">
        <v>19</v>
      </c>
    </row>
    <row r="4873" spans="1:15" x14ac:dyDescent="0.25">
      <c r="A4873" t="s">
        <v>3893</v>
      </c>
      <c r="B4873" t="s">
        <v>15</v>
      </c>
      <c r="C4873" t="s">
        <v>27</v>
      </c>
      <c r="D4873" t="s">
        <v>17</v>
      </c>
      <c r="E4873" t="s">
        <v>18</v>
      </c>
      <c r="F4873" t="s">
        <v>19</v>
      </c>
      <c r="G4873" t="s">
        <v>20</v>
      </c>
      <c r="J4873" t="s">
        <v>17</v>
      </c>
      <c r="K4873" t="str">
        <f>"76580717"</f>
        <v>76580717</v>
      </c>
      <c r="L4873" t="str">
        <f>"76580717"</f>
        <v>76580717</v>
      </c>
      <c r="M4873" t="s">
        <v>75</v>
      </c>
      <c r="N4873" s="1">
        <v>42872.847222222219</v>
      </c>
      <c r="O4873" t="s">
        <v>19</v>
      </c>
    </row>
    <row r="4874" spans="1:15" x14ac:dyDescent="0.25">
      <c r="A4874" t="s">
        <v>3893</v>
      </c>
      <c r="B4874" t="s">
        <v>15</v>
      </c>
      <c r="C4874" t="s">
        <v>27</v>
      </c>
      <c r="D4874" t="s">
        <v>17</v>
      </c>
      <c r="E4874" t="s">
        <v>18</v>
      </c>
      <c r="F4874" t="s">
        <v>19</v>
      </c>
      <c r="G4874" t="s">
        <v>20</v>
      </c>
      <c r="J4874" t="s">
        <v>17</v>
      </c>
      <c r="K4874" t="str">
        <f>"76750717"</f>
        <v>76750717</v>
      </c>
      <c r="L4874" t="str">
        <f>"76750717"</f>
        <v>76750717</v>
      </c>
      <c r="M4874" t="s">
        <v>75</v>
      </c>
      <c r="N4874" s="1">
        <v>42872.847222222219</v>
      </c>
      <c r="O4874" t="s">
        <v>19</v>
      </c>
    </row>
    <row r="4875" spans="1:15" x14ac:dyDescent="0.25">
      <c r="A4875" t="s">
        <v>3893</v>
      </c>
      <c r="B4875" t="s">
        <v>15</v>
      </c>
      <c r="C4875" t="s">
        <v>27</v>
      </c>
      <c r="D4875" t="s">
        <v>17</v>
      </c>
      <c r="E4875" t="s">
        <v>18</v>
      </c>
      <c r="F4875" t="s">
        <v>19</v>
      </c>
      <c r="G4875" t="s">
        <v>20</v>
      </c>
      <c r="J4875" t="s">
        <v>17</v>
      </c>
      <c r="K4875" t="str">
        <f>"110171712"</f>
        <v>110171712</v>
      </c>
      <c r="L4875" t="str">
        <f>"110171712"</f>
        <v>110171712</v>
      </c>
      <c r="M4875" t="s">
        <v>75</v>
      </c>
      <c r="N4875" s="1">
        <v>42872.847222222219</v>
      </c>
      <c r="O4875" t="s">
        <v>19</v>
      </c>
    </row>
    <row r="4876" spans="1:15" x14ac:dyDescent="0.25">
      <c r="A4876" t="s">
        <v>3893</v>
      </c>
      <c r="B4876" t="s">
        <v>15</v>
      </c>
      <c r="C4876" t="s">
        <v>27</v>
      </c>
      <c r="D4876" t="s">
        <v>17</v>
      </c>
      <c r="E4876" t="s">
        <v>18</v>
      </c>
      <c r="F4876" t="s">
        <v>19</v>
      </c>
      <c r="G4876" t="s">
        <v>20</v>
      </c>
      <c r="J4876" t="s">
        <v>17</v>
      </c>
      <c r="K4876" t="str">
        <f>"110561713"</f>
        <v>110561713</v>
      </c>
      <c r="L4876" t="str">
        <f>"110561713"</f>
        <v>110561713</v>
      </c>
      <c r="M4876" t="s">
        <v>75</v>
      </c>
      <c r="N4876" s="1">
        <v>42872.847222222219</v>
      </c>
      <c r="O4876" t="s">
        <v>19</v>
      </c>
    </row>
    <row r="4877" spans="1:15" x14ac:dyDescent="0.25">
      <c r="A4877" t="s">
        <v>3893</v>
      </c>
      <c r="B4877" t="s">
        <v>15</v>
      </c>
      <c r="C4877" t="s">
        <v>27</v>
      </c>
      <c r="D4877" t="s">
        <v>17</v>
      </c>
      <c r="E4877" t="s">
        <v>18</v>
      </c>
      <c r="F4877" t="s">
        <v>19</v>
      </c>
      <c r="G4877" t="s">
        <v>20</v>
      </c>
      <c r="J4877" t="s">
        <v>17</v>
      </c>
      <c r="K4877" t="str">
        <f>"17900717"</f>
        <v>17900717</v>
      </c>
      <c r="L4877" t="str">
        <f>"17900717"</f>
        <v>17900717</v>
      </c>
      <c r="M4877" t="s">
        <v>75</v>
      </c>
      <c r="N4877" s="1">
        <v>42872.847222222219</v>
      </c>
      <c r="O4877" t="s">
        <v>19</v>
      </c>
    </row>
    <row r="4878" spans="1:15" x14ac:dyDescent="0.25">
      <c r="A4878" t="s">
        <v>3893</v>
      </c>
      <c r="B4878" t="s">
        <v>15</v>
      </c>
      <c r="C4878" t="s">
        <v>27</v>
      </c>
      <c r="D4878" t="s">
        <v>17</v>
      </c>
      <c r="E4878" t="s">
        <v>18</v>
      </c>
      <c r="F4878" t="s">
        <v>19</v>
      </c>
      <c r="G4878" t="s">
        <v>20</v>
      </c>
      <c r="J4878" t="s">
        <v>17</v>
      </c>
      <c r="K4878" t="str">
        <f>"68480717"</f>
        <v>68480717</v>
      </c>
      <c r="L4878" t="str">
        <f>"68480717"</f>
        <v>68480717</v>
      </c>
      <c r="M4878" t="s">
        <v>75</v>
      </c>
      <c r="N4878" s="1">
        <v>43007.660416666666</v>
      </c>
      <c r="O4878" t="s">
        <v>19</v>
      </c>
    </row>
    <row r="4879" spans="1:15" x14ac:dyDescent="0.25">
      <c r="A4879" t="s">
        <v>3893</v>
      </c>
      <c r="B4879" t="s">
        <v>15</v>
      </c>
      <c r="C4879" t="s">
        <v>27</v>
      </c>
      <c r="D4879" t="s">
        <v>17</v>
      </c>
      <c r="E4879" t="s">
        <v>18</v>
      </c>
      <c r="F4879" t="s">
        <v>19</v>
      </c>
      <c r="G4879" t="s">
        <v>20</v>
      </c>
      <c r="J4879" t="s">
        <v>17</v>
      </c>
      <c r="K4879" t="str">
        <f>"76510717"</f>
        <v>76510717</v>
      </c>
      <c r="L4879" t="str">
        <f>"76510717"</f>
        <v>76510717</v>
      </c>
      <c r="M4879" t="s">
        <v>75</v>
      </c>
      <c r="N4879" s="1">
        <v>43174.847222222219</v>
      </c>
      <c r="O4879" t="s">
        <v>19</v>
      </c>
    </row>
    <row r="4880" spans="1:15" x14ac:dyDescent="0.25">
      <c r="A4880" t="s">
        <v>3893</v>
      </c>
      <c r="B4880" t="s">
        <v>15</v>
      </c>
      <c r="C4880" t="s">
        <v>27</v>
      </c>
      <c r="D4880" t="s">
        <v>17</v>
      </c>
      <c r="E4880" t="s">
        <v>18</v>
      </c>
      <c r="F4880" t="s">
        <v>19</v>
      </c>
      <c r="G4880" t="s">
        <v>20</v>
      </c>
      <c r="J4880" t="s">
        <v>17</v>
      </c>
      <c r="K4880" t="str">
        <f>"79790717"</f>
        <v>79790717</v>
      </c>
      <c r="L4880" t="str">
        <f>"79790717"</f>
        <v>79790717</v>
      </c>
      <c r="M4880" t="s">
        <v>21</v>
      </c>
      <c r="N4880" s="1">
        <v>43328.670138888891</v>
      </c>
      <c r="O4880" t="s">
        <v>19</v>
      </c>
    </row>
    <row r="4881" spans="1:15" x14ac:dyDescent="0.25">
      <c r="A4881" t="s">
        <v>3893</v>
      </c>
      <c r="B4881" t="s">
        <v>15</v>
      </c>
      <c r="C4881" t="s">
        <v>27</v>
      </c>
      <c r="D4881" t="s">
        <v>17</v>
      </c>
      <c r="E4881" t="s">
        <v>18</v>
      </c>
      <c r="F4881" t="s">
        <v>19</v>
      </c>
      <c r="G4881" t="s">
        <v>20</v>
      </c>
      <c r="J4881" t="s">
        <v>17</v>
      </c>
      <c r="K4881" t="str">
        <f>"1000001096773"</f>
        <v>1000001096773</v>
      </c>
      <c r="L4881" t="str">
        <f>"76980717"</f>
        <v>76980717</v>
      </c>
      <c r="M4881" t="s">
        <v>84</v>
      </c>
      <c r="N4881" s="1">
        <v>43357.701388888891</v>
      </c>
      <c r="O4881" t="s">
        <v>19</v>
      </c>
    </row>
    <row r="4882" spans="1:15" x14ac:dyDescent="0.25">
      <c r="A4882" t="s">
        <v>3893</v>
      </c>
      <c r="B4882" t="s">
        <v>15</v>
      </c>
      <c r="C4882" t="s">
        <v>27</v>
      </c>
      <c r="D4882" t="s">
        <v>17</v>
      </c>
      <c r="E4882" t="s">
        <v>18</v>
      </c>
      <c r="F4882" t="s">
        <v>19</v>
      </c>
      <c r="G4882" t="s">
        <v>20</v>
      </c>
      <c r="J4882" t="s">
        <v>17</v>
      </c>
      <c r="K4882" t="str">
        <f>"86780717"</f>
        <v>86780717</v>
      </c>
      <c r="L4882" t="str">
        <f>"86780717"</f>
        <v>86780717</v>
      </c>
      <c r="M4882" t="s">
        <v>84</v>
      </c>
      <c r="N4882" s="1">
        <v>43367.579861111109</v>
      </c>
      <c r="O4882" t="s">
        <v>19</v>
      </c>
    </row>
    <row r="4883" spans="1:15" x14ac:dyDescent="0.25">
      <c r="A4883" t="s">
        <v>3893</v>
      </c>
      <c r="B4883" t="s">
        <v>15</v>
      </c>
      <c r="C4883" t="s">
        <v>27</v>
      </c>
      <c r="D4883" t="s">
        <v>17</v>
      </c>
      <c r="E4883" t="s">
        <v>18</v>
      </c>
      <c r="F4883" t="s">
        <v>19</v>
      </c>
      <c r="G4883" t="s">
        <v>20</v>
      </c>
      <c r="J4883" t="s">
        <v>17</v>
      </c>
      <c r="K4883" t="str">
        <f>"86920717"</f>
        <v>86920717</v>
      </c>
      <c r="L4883" t="str">
        <f>"86920717"</f>
        <v>86920717</v>
      </c>
      <c r="M4883" t="s">
        <v>84</v>
      </c>
      <c r="N4883" s="1">
        <v>43374.647916666669</v>
      </c>
      <c r="O4883" t="s">
        <v>19</v>
      </c>
    </row>
    <row r="4884" spans="1:15" x14ac:dyDescent="0.25">
      <c r="A4884" t="s">
        <v>3894</v>
      </c>
      <c r="B4884" t="s">
        <v>15</v>
      </c>
      <c r="C4884" t="s">
        <v>27</v>
      </c>
      <c r="D4884" t="s">
        <v>17</v>
      </c>
      <c r="E4884" t="s">
        <v>18</v>
      </c>
      <c r="F4884" t="s">
        <v>19</v>
      </c>
      <c r="G4884" t="s">
        <v>20</v>
      </c>
      <c r="J4884" t="s">
        <v>17</v>
      </c>
      <c r="K4884" t="str">
        <f>"174714266"</f>
        <v>174714266</v>
      </c>
      <c r="L4884" t="str">
        <f>"174714266"</f>
        <v>174714266</v>
      </c>
      <c r="M4884" t="s">
        <v>75</v>
      </c>
      <c r="N4884" s="1">
        <v>42872.849305555559</v>
      </c>
      <c r="O4884" t="s">
        <v>19</v>
      </c>
    </row>
    <row r="4885" spans="1:15" x14ac:dyDescent="0.25">
      <c r="A4885" t="s">
        <v>3894</v>
      </c>
      <c r="B4885" t="s">
        <v>15</v>
      </c>
      <c r="C4885" t="s">
        <v>27</v>
      </c>
      <c r="D4885" t="s">
        <v>17</v>
      </c>
      <c r="E4885" t="s">
        <v>18</v>
      </c>
      <c r="F4885" t="s">
        <v>19</v>
      </c>
      <c r="G4885" t="s">
        <v>20</v>
      </c>
      <c r="J4885" t="s">
        <v>17</v>
      </c>
      <c r="K4885" t="str">
        <f>"174807253"</f>
        <v>174807253</v>
      </c>
      <c r="L4885" t="str">
        <f>"174807253"</f>
        <v>174807253</v>
      </c>
      <c r="M4885" t="s">
        <v>75</v>
      </c>
      <c r="N4885" s="1">
        <v>42872.849305555559</v>
      </c>
      <c r="O4885" t="s">
        <v>19</v>
      </c>
    </row>
    <row r="4886" spans="1:15" x14ac:dyDescent="0.25">
      <c r="A4886" t="s">
        <v>3894</v>
      </c>
      <c r="B4886" t="s">
        <v>15</v>
      </c>
      <c r="C4886" t="s">
        <v>1607</v>
      </c>
      <c r="D4886" t="s">
        <v>17</v>
      </c>
      <c r="E4886" t="s">
        <v>18</v>
      </c>
      <c r="F4886" t="s">
        <v>19</v>
      </c>
      <c r="G4886" t="s">
        <v>20</v>
      </c>
      <c r="J4886" t="s">
        <v>17</v>
      </c>
      <c r="K4886" t="str">
        <f>"764807253"</f>
        <v>764807253</v>
      </c>
      <c r="L4886" t="str">
        <f>"764807253"</f>
        <v>764807253</v>
      </c>
      <c r="M4886" t="s">
        <v>75</v>
      </c>
      <c r="N4886" s="1">
        <v>42872.849305555559</v>
      </c>
      <c r="O4886" t="s">
        <v>19</v>
      </c>
    </row>
    <row r="4887" spans="1:15" x14ac:dyDescent="0.25">
      <c r="A4887" t="s">
        <v>3894</v>
      </c>
      <c r="B4887" t="s">
        <v>15</v>
      </c>
      <c r="C4887" t="s">
        <v>27</v>
      </c>
      <c r="D4887" t="s">
        <v>17</v>
      </c>
      <c r="E4887" t="s">
        <v>18</v>
      </c>
      <c r="F4887" t="s">
        <v>19</v>
      </c>
      <c r="G4887" t="s">
        <v>20</v>
      </c>
      <c r="J4887" t="s">
        <v>17</v>
      </c>
      <c r="K4887" t="str">
        <f>"765807253"</f>
        <v>765807253</v>
      </c>
      <c r="L4887" t="str">
        <f>"765807253"</f>
        <v>765807253</v>
      </c>
      <c r="M4887" t="s">
        <v>75</v>
      </c>
      <c r="N4887" s="1">
        <v>42872.849305555559</v>
      </c>
      <c r="O4887" t="s">
        <v>19</v>
      </c>
    </row>
    <row r="4888" spans="1:15" x14ac:dyDescent="0.25">
      <c r="A4888" t="s">
        <v>3894</v>
      </c>
      <c r="B4888" t="s">
        <v>15</v>
      </c>
      <c r="C4888" t="s">
        <v>27</v>
      </c>
      <c r="D4888" t="s">
        <v>17</v>
      </c>
      <c r="E4888" t="s">
        <v>18</v>
      </c>
      <c r="F4888" t="s">
        <v>19</v>
      </c>
      <c r="G4888" t="s">
        <v>20</v>
      </c>
      <c r="J4888" t="s">
        <v>17</v>
      </c>
      <c r="K4888" t="str">
        <f>"767507253"</f>
        <v>767507253</v>
      </c>
      <c r="L4888" t="str">
        <f>"767507253"</f>
        <v>767507253</v>
      </c>
      <c r="M4888" t="s">
        <v>75</v>
      </c>
      <c r="N4888" s="1">
        <v>42872.849305555559</v>
      </c>
      <c r="O4888" t="s">
        <v>19</v>
      </c>
    </row>
    <row r="4889" spans="1:15" x14ac:dyDescent="0.25">
      <c r="A4889" t="s">
        <v>3894</v>
      </c>
      <c r="B4889" t="s">
        <v>15</v>
      </c>
      <c r="C4889" t="s">
        <v>27</v>
      </c>
      <c r="D4889" t="s">
        <v>17</v>
      </c>
      <c r="E4889" t="s">
        <v>18</v>
      </c>
      <c r="F4889" t="s">
        <v>19</v>
      </c>
      <c r="G4889" t="s">
        <v>20</v>
      </c>
      <c r="J4889" t="s">
        <v>17</v>
      </c>
      <c r="K4889" t="str">
        <f>"1000001085869"</f>
        <v>1000001085869</v>
      </c>
      <c r="L4889" t="str">
        <f>"760107253"</f>
        <v>760107253</v>
      </c>
      <c r="M4889" t="s">
        <v>84</v>
      </c>
      <c r="N4889" s="1">
        <v>42959.751388888886</v>
      </c>
      <c r="O4889" t="s">
        <v>19</v>
      </c>
    </row>
    <row r="4890" spans="1:15" x14ac:dyDescent="0.25">
      <c r="A4890" t="s">
        <v>3894</v>
      </c>
      <c r="B4890" t="s">
        <v>15</v>
      </c>
      <c r="C4890" t="s">
        <v>27</v>
      </c>
      <c r="D4890" t="s">
        <v>17</v>
      </c>
      <c r="E4890" t="s">
        <v>18</v>
      </c>
      <c r="F4890" t="s">
        <v>19</v>
      </c>
      <c r="G4890" t="s">
        <v>20</v>
      </c>
      <c r="J4890" t="s">
        <v>17</v>
      </c>
      <c r="K4890" t="str">
        <f>"767607253"</f>
        <v>767607253</v>
      </c>
      <c r="L4890" t="str">
        <f>"767607253"</f>
        <v>767607253</v>
      </c>
      <c r="M4890" t="s">
        <v>75</v>
      </c>
      <c r="N4890" s="1">
        <v>42986.711111111108</v>
      </c>
      <c r="O4890" t="s">
        <v>19</v>
      </c>
    </row>
    <row r="4891" spans="1:15" x14ac:dyDescent="0.25">
      <c r="A4891" t="s">
        <v>3894</v>
      </c>
      <c r="B4891" t="s">
        <v>15</v>
      </c>
      <c r="C4891" t="s">
        <v>27</v>
      </c>
      <c r="D4891" t="s">
        <v>17</v>
      </c>
      <c r="E4891" t="s">
        <v>18</v>
      </c>
      <c r="F4891" t="s">
        <v>19</v>
      </c>
      <c r="G4891" t="s">
        <v>20</v>
      </c>
      <c r="J4891" t="s">
        <v>17</v>
      </c>
      <c r="K4891" t="str">
        <f>"764707253"</f>
        <v>764707253</v>
      </c>
      <c r="L4891" t="str">
        <f>"764707253"</f>
        <v>764707253</v>
      </c>
      <c r="M4891" t="s">
        <v>75</v>
      </c>
      <c r="N4891" s="1">
        <v>43196.595138888886</v>
      </c>
      <c r="O4891" t="s">
        <v>19</v>
      </c>
    </row>
    <row r="4892" spans="1:15" x14ac:dyDescent="0.25">
      <c r="A4892" t="s">
        <v>3894</v>
      </c>
      <c r="B4892" t="s">
        <v>15</v>
      </c>
      <c r="C4892" t="s">
        <v>27</v>
      </c>
      <c r="D4892" t="s">
        <v>17</v>
      </c>
      <c r="E4892" t="s">
        <v>18</v>
      </c>
      <c r="F4892" t="s">
        <v>19</v>
      </c>
      <c r="G4892" t="s">
        <v>20</v>
      </c>
      <c r="J4892" t="s">
        <v>17</v>
      </c>
      <c r="K4892" t="str">
        <f>"765107253"</f>
        <v>765107253</v>
      </c>
      <c r="L4892" t="str">
        <f>"765107253"</f>
        <v>765107253</v>
      </c>
      <c r="M4892" t="s">
        <v>75</v>
      </c>
      <c r="N4892" s="1">
        <v>43196.714583333334</v>
      </c>
      <c r="O4892" t="s">
        <v>19</v>
      </c>
    </row>
    <row r="4893" spans="1:15" x14ac:dyDescent="0.25">
      <c r="A4893" t="s">
        <v>3894</v>
      </c>
      <c r="B4893" t="s">
        <v>15</v>
      </c>
      <c r="C4893" t="s">
        <v>27</v>
      </c>
      <c r="D4893" t="s">
        <v>17</v>
      </c>
      <c r="E4893" t="s">
        <v>18</v>
      </c>
      <c r="F4893" t="s">
        <v>19</v>
      </c>
      <c r="G4893" t="s">
        <v>20</v>
      </c>
      <c r="J4893" t="s">
        <v>17</v>
      </c>
      <c r="K4893" t="str">
        <f>"765914266"</f>
        <v>765914266</v>
      </c>
      <c r="L4893" t="str">
        <f>"765914266"</f>
        <v>765914266</v>
      </c>
      <c r="M4893" t="s">
        <v>75</v>
      </c>
      <c r="N4893" s="1">
        <v>43236.856944444444</v>
      </c>
      <c r="O4893" t="s">
        <v>19</v>
      </c>
    </row>
    <row r="4894" spans="1:15" x14ac:dyDescent="0.25">
      <c r="A4894" t="s">
        <v>3894</v>
      </c>
      <c r="B4894" t="s">
        <v>15</v>
      </c>
      <c r="C4894" t="s">
        <v>27</v>
      </c>
      <c r="D4894" t="s">
        <v>17</v>
      </c>
      <c r="E4894" t="s">
        <v>18</v>
      </c>
      <c r="F4894" t="s">
        <v>19</v>
      </c>
      <c r="G4894" t="s">
        <v>20</v>
      </c>
      <c r="J4894" t="s">
        <v>17</v>
      </c>
      <c r="K4894" t="str">
        <f>"766414266"</f>
        <v>766414266</v>
      </c>
      <c r="L4894" t="str">
        <f>"766414266"</f>
        <v>766414266</v>
      </c>
      <c r="M4894" t="s">
        <v>75</v>
      </c>
      <c r="N4894" s="1">
        <v>43236.914583333331</v>
      </c>
      <c r="O4894" t="s">
        <v>19</v>
      </c>
    </row>
    <row r="4895" spans="1:15" x14ac:dyDescent="0.25">
      <c r="A4895" t="s">
        <v>3894</v>
      </c>
      <c r="B4895" t="s">
        <v>15</v>
      </c>
      <c r="C4895" t="s">
        <v>27</v>
      </c>
      <c r="D4895" t="s">
        <v>17</v>
      </c>
      <c r="E4895" t="s">
        <v>18</v>
      </c>
      <c r="F4895" t="s">
        <v>19</v>
      </c>
      <c r="G4895" t="s">
        <v>20</v>
      </c>
      <c r="J4895" t="s">
        <v>17</v>
      </c>
      <c r="K4895" t="str">
        <f>"766407253"</f>
        <v>766407253</v>
      </c>
      <c r="L4895" t="str">
        <f>"766407253"</f>
        <v>766407253</v>
      </c>
      <c r="M4895" t="s">
        <v>84</v>
      </c>
      <c r="N4895" s="1">
        <v>43251.734722222223</v>
      </c>
      <c r="O4895" t="s">
        <v>19</v>
      </c>
    </row>
    <row r="4896" spans="1:15" x14ac:dyDescent="0.25">
      <c r="A4896" t="s">
        <v>3894</v>
      </c>
      <c r="B4896" t="s">
        <v>15</v>
      </c>
      <c r="C4896" t="s">
        <v>27</v>
      </c>
      <c r="D4896" t="s">
        <v>17</v>
      </c>
      <c r="E4896" t="s">
        <v>18</v>
      </c>
      <c r="F4896" t="s">
        <v>19</v>
      </c>
      <c r="G4896" t="s">
        <v>20</v>
      </c>
      <c r="J4896" t="s">
        <v>17</v>
      </c>
      <c r="K4896" t="str">
        <f>"765907253"</f>
        <v>765907253</v>
      </c>
      <c r="L4896" t="str">
        <f>"765907253"</f>
        <v>765907253</v>
      </c>
      <c r="M4896" t="s">
        <v>84</v>
      </c>
      <c r="N4896" s="1">
        <v>43251.749305555553</v>
      </c>
      <c r="O4896" t="s">
        <v>19</v>
      </c>
    </row>
    <row r="4897" spans="1:15" x14ac:dyDescent="0.25">
      <c r="A4897" t="s">
        <v>3894</v>
      </c>
      <c r="B4897" t="s">
        <v>15</v>
      </c>
      <c r="C4897" t="s">
        <v>27</v>
      </c>
      <c r="D4897" t="s">
        <v>17</v>
      </c>
      <c r="E4897" t="s">
        <v>18</v>
      </c>
      <c r="F4897" t="s">
        <v>19</v>
      </c>
      <c r="G4897" t="s">
        <v>20</v>
      </c>
      <c r="J4897" t="s">
        <v>17</v>
      </c>
      <c r="K4897" t="str">
        <f>"177707253"</f>
        <v>177707253</v>
      </c>
      <c r="L4897" t="str">
        <f>"177707253"</f>
        <v>177707253</v>
      </c>
      <c r="M4897" t="s">
        <v>84</v>
      </c>
      <c r="N4897" s="1">
        <v>43251.941666666666</v>
      </c>
      <c r="O4897" t="s">
        <v>19</v>
      </c>
    </row>
    <row r="4898" spans="1:15" x14ac:dyDescent="0.25">
      <c r="A4898" t="s">
        <v>3894</v>
      </c>
      <c r="B4898" t="s">
        <v>15</v>
      </c>
      <c r="C4898" t="s">
        <v>27</v>
      </c>
      <c r="D4898" t="s">
        <v>17</v>
      </c>
      <c r="E4898" t="s">
        <v>18</v>
      </c>
      <c r="F4898" t="s">
        <v>19</v>
      </c>
      <c r="G4898" t="s">
        <v>20</v>
      </c>
      <c r="J4898" t="s">
        <v>17</v>
      </c>
      <c r="K4898" t="str">
        <f>"934814266"</f>
        <v>934814266</v>
      </c>
      <c r="L4898" t="str">
        <f>"934814266"</f>
        <v>934814266</v>
      </c>
      <c r="M4898" t="s">
        <v>84</v>
      </c>
      <c r="N4898" s="1">
        <v>43267.792361111111</v>
      </c>
      <c r="O4898" t="s">
        <v>19</v>
      </c>
    </row>
    <row r="4899" spans="1:15" x14ac:dyDescent="0.25">
      <c r="A4899" t="s">
        <v>3894</v>
      </c>
      <c r="B4899" t="s">
        <v>15</v>
      </c>
      <c r="C4899" t="s">
        <v>27</v>
      </c>
      <c r="D4899" t="s">
        <v>17</v>
      </c>
      <c r="E4899" t="s">
        <v>18</v>
      </c>
      <c r="F4899" t="s">
        <v>19</v>
      </c>
      <c r="G4899" t="s">
        <v>20</v>
      </c>
      <c r="J4899" t="s">
        <v>17</v>
      </c>
      <c r="K4899" t="str">
        <f>"766114266"</f>
        <v>766114266</v>
      </c>
      <c r="L4899" t="str">
        <f>"766114266"</f>
        <v>766114266</v>
      </c>
      <c r="M4899" t="s">
        <v>84</v>
      </c>
      <c r="N4899" s="1">
        <v>43272.79791666667</v>
      </c>
      <c r="O4899" t="s">
        <v>19</v>
      </c>
    </row>
    <row r="4900" spans="1:15" x14ac:dyDescent="0.25">
      <c r="A4900" t="s">
        <v>3894</v>
      </c>
      <c r="B4900" t="s">
        <v>15</v>
      </c>
      <c r="C4900" t="s">
        <v>27</v>
      </c>
      <c r="D4900" t="s">
        <v>17</v>
      </c>
      <c r="E4900" t="s">
        <v>18</v>
      </c>
      <c r="F4900" t="s">
        <v>19</v>
      </c>
      <c r="G4900" t="s">
        <v>20</v>
      </c>
      <c r="J4900" t="s">
        <v>17</v>
      </c>
      <c r="K4900" t="str">
        <f>"766214266"</f>
        <v>766214266</v>
      </c>
      <c r="L4900" t="str">
        <f>"766214266"</f>
        <v>766214266</v>
      </c>
      <c r="M4900" t="s">
        <v>84</v>
      </c>
      <c r="N4900" s="1">
        <v>43272.800000000003</v>
      </c>
      <c r="O4900" t="s">
        <v>19</v>
      </c>
    </row>
    <row r="4901" spans="1:15" x14ac:dyDescent="0.25">
      <c r="A4901" t="s">
        <v>3894</v>
      </c>
      <c r="B4901" t="s">
        <v>15</v>
      </c>
      <c r="C4901" t="s">
        <v>27</v>
      </c>
      <c r="D4901" t="s">
        <v>17</v>
      </c>
      <c r="E4901" t="s">
        <v>18</v>
      </c>
      <c r="F4901" t="s">
        <v>19</v>
      </c>
      <c r="G4901" t="s">
        <v>20</v>
      </c>
      <c r="J4901" t="s">
        <v>17</v>
      </c>
      <c r="K4901" t="str">
        <f>"345114266"</f>
        <v>345114266</v>
      </c>
      <c r="L4901" t="str">
        <f>"345114266"</f>
        <v>345114266</v>
      </c>
      <c r="M4901" t="s">
        <v>84</v>
      </c>
      <c r="N4901" s="1">
        <v>43306.709027777775</v>
      </c>
      <c r="O4901" t="s">
        <v>19</v>
      </c>
    </row>
    <row r="4902" spans="1:15" x14ac:dyDescent="0.25">
      <c r="A4902" t="s">
        <v>3894</v>
      </c>
      <c r="B4902" t="s">
        <v>15</v>
      </c>
      <c r="C4902" t="s">
        <v>27</v>
      </c>
      <c r="D4902" t="s">
        <v>17</v>
      </c>
      <c r="E4902" t="s">
        <v>18</v>
      </c>
      <c r="F4902" t="s">
        <v>19</v>
      </c>
      <c r="G4902" t="s">
        <v>20</v>
      </c>
      <c r="J4902" t="s">
        <v>17</v>
      </c>
      <c r="K4902" t="str">
        <f>"345107253"</f>
        <v>345107253</v>
      </c>
      <c r="L4902" t="str">
        <f>"345107253"</f>
        <v>345107253</v>
      </c>
      <c r="M4902" t="s">
        <v>84</v>
      </c>
      <c r="N4902" s="1">
        <v>43306.709722222222</v>
      </c>
      <c r="O4902" t="s">
        <v>19</v>
      </c>
    </row>
    <row r="4903" spans="1:15" x14ac:dyDescent="0.25">
      <c r="A4903" t="s">
        <v>3894</v>
      </c>
      <c r="B4903" t="s">
        <v>15</v>
      </c>
      <c r="C4903" t="s">
        <v>27</v>
      </c>
      <c r="D4903" t="s">
        <v>17</v>
      </c>
      <c r="E4903" t="s">
        <v>18</v>
      </c>
      <c r="F4903" t="s">
        <v>19</v>
      </c>
      <c r="G4903" t="s">
        <v>20</v>
      </c>
      <c r="J4903" t="s">
        <v>17</v>
      </c>
      <c r="K4903" t="str">
        <f>"344807253"</f>
        <v>344807253</v>
      </c>
      <c r="L4903" t="str">
        <f>"344807253"</f>
        <v>344807253</v>
      </c>
      <c r="M4903" t="s">
        <v>84</v>
      </c>
      <c r="N4903" s="1">
        <v>43306.71875</v>
      </c>
      <c r="O4903" t="s">
        <v>19</v>
      </c>
    </row>
    <row r="4904" spans="1:15" x14ac:dyDescent="0.25">
      <c r="A4904" t="s">
        <v>3894</v>
      </c>
      <c r="B4904" t="s">
        <v>15</v>
      </c>
      <c r="C4904" t="s">
        <v>27</v>
      </c>
      <c r="D4904" t="s">
        <v>17</v>
      </c>
      <c r="E4904" t="s">
        <v>18</v>
      </c>
      <c r="F4904" t="s">
        <v>19</v>
      </c>
      <c r="G4904" t="s">
        <v>20</v>
      </c>
      <c r="J4904" t="s">
        <v>17</v>
      </c>
      <c r="K4904" t="str">
        <f>"345907253"</f>
        <v>345907253</v>
      </c>
      <c r="L4904" t="str">
        <f>"345907253"</f>
        <v>345907253</v>
      </c>
      <c r="M4904" t="s">
        <v>84</v>
      </c>
      <c r="N4904" s="1">
        <v>43306.722222222219</v>
      </c>
      <c r="O4904" t="s">
        <v>19</v>
      </c>
    </row>
    <row r="4905" spans="1:15" x14ac:dyDescent="0.25">
      <c r="A4905" t="s">
        <v>3894</v>
      </c>
      <c r="B4905" t="s">
        <v>15</v>
      </c>
      <c r="C4905" t="s">
        <v>27</v>
      </c>
      <c r="D4905" t="s">
        <v>17</v>
      </c>
      <c r="E4905" t="s">
        <v>18</v>
      </c>
      <c r="F4905" t="s">
        <v>19</v>
      </c>
      <c r="G4905" t="s">
        <v>20</v>
      </c>
      <c r="J4905" t="s">
        <v>17</v>
      </c>
      <c r="K4905" t="str">
        <f>"763907253"</f>
        <v>763907253</v>
      </c>
      <c r="L4905" t="str">
        <f>"763907253"</f>
        <v>763907253</v>
      </c>
      <c r="M4905" t="s">
        <v>84</v>
      </c>
      <c r="N4905" s="1">
        <v>43306.915972222225</v>
      </c>
      <c r="O4905" t="s">
        <v>19</v>
      </c>
    </row>
    <row r="4906" spans="1:15" x14ac:dyDescent="0.25">
      <c r="A4906" t="s">
        <v>3894</v>
      </c>
      <c r="B4906" t="s">
        <v>15</v>
      </c>
      <c r="C4906" t="s">
        <v>27</v>
      </c>
      <c r="D4906" t="s">
        <v>17</v>
      </c>
      <c r="E4906" t="s">
        <v>18</v>
      </c>
      <c r="F4906" t="s">
        <v>19</v>
      </c>
      <c r="G4906" t="s">
        <v>20</v>
      </c>
      <c r="J4906" t="s">
        <v>17</v>
      </c>
      <c r="K4906" t="str">
        <f>"175114266"</f>
        <v>175114266</v>
      </c>
      <c r="L4906" t="str">
        <f>"175114266"</f>
        <v>175114266</v>
      </c>
      <c r="M4906" t="s">
        <v>84</v>
      </c>
      <c r="N4906" s="1">
        <v>43308.882638888892</v>
      </c>
      <c r="O4906" t="s">
        <v>19</v>
      </c>
    </row>
    <row r="4907" spans="1:15" x14ac:dyDescent="0.25">
      <c r="A4907" t="s">
        <v>3894</v>
      </c>
      <c r="B4907" t="s">
        <v>15</v>
      </c>
      <c r="C4907" t="s">
        <v>27</v>
      </c>
      <c r="D4907" t="s">
        <v>17</v>
      </c>
      <c r="E4907" t="s">
        <v>18</v>
      </c>
      <c r="F4907" t="s">
        <v>19</v>
      </c>
      <c r="G4907" t="s">
        <v>20</v>
      </c>
      <c r="J4907" t="s">
        <v>17</v>
      </c>
      <c r="K4907" t="str">
        <f>"175107253"</f>
        <v>175107253</v>
      </c>
      <c r="L4907" t="str">
        <f>"175107253"</f>
        <v>175107253</v>
      </c>
      <c r="M4907" t="s">
        <v>84</v>
      </c>
      <c r="N4907" s="1">
        <v>43308.883333333331</v>
      </c>
      <c r="O4907" t="s">
        <v>19</v>
      </c>
    </row>
    <row r="4908" spans="1:15" x14ac:dyDescent="0.25">
      <c r="A4908" t="s">
        <v>3894</v>
      </c>
      <c r="B4908" t="s">
        <v>15</v>
      </c>
      <c r="C4908" t="s">
        <v>1607</v>
      </c>
      <c r="D4908" t="s">
        <v>17</v>
      </c>
      <c r="E4908" t="s">
        <v>18</v>
      </c>
      <c r="F4908" t="s">
        <v>19</v>
      </c>
      <c r="G4908" t="s">
        <v>20</v>
      </c>
      <c r="J4908" t="s">
        <v>17</v>
      </c>
      <c r="K4908" t="str">
        <f>"866807253"</f>
        <v>866807253</v>
      </c>
      <c r="L4908" t="str">
        <f>"866807253"</f>
        <v>866807253</v>
      </c>
      <c r="M4908" t="s">
        <v>84</v>
      </c>
      <c r="N4908" s="1">
        <v>43314.932638888888</v>
      </c>
      <c r="O4908" t="s">
        <v>19</v>
      </c>
    </row>
    <row r="4909" spans="1:15" x14ac:dyDescent="0.25">
      <c r="A4909" t="s">
        <v>3894</v>
      </c>
      <c r="B4909" t="s">
        <v>15</v>
      </c>
      <c r="C4909" t="s">
        <v>27</v>
      </c>
      <c r="D4909" t="s">
        <v>17</v>
      </c>
      <c r="E4909" t="s">
        <v>18</v>
      </c>
      <c r="F4909" t="s">
        <v>19</v>
      </c>
      <c r="G4909" t="s">
        <v>20</v>
      </c>
      <c r="J4909" t="s">
        <v>17</v>
      </c>
      <c r="K4909" t="str">
        <f>"864807253"</f>
        <v>864807253</v>
      </c>
      <c r="L4909" t="str">
        <f>"864807253"</f>
        <v>864807253</v>
      </c>
      <c r="M4909" t="s">
        <v>84</v>
      </c>
      <c r="N4909" s="1">
        <v>43316.777777777781</v>
      </c>
      <c r="O4909" t="s">
        <v>19</v>
      </c>
    </row>
    <row r="4910" spans="1:15" x14ac:dyDescent="0.25">
      <c r="A4910" t="s">
        <v>3894</v>
      </c>
      <c r="B4910" t="s">
        <v>15</v>
      </c>
      <c r="C4910" t="s">
        <v>27</v>
      </c>
      <c r="D4910" t="s">
        <v>17</v>
      </c>
      <c r="E4910" t="s">
        <v>18</v>
      </c>
      <c r="F4910" t="s">
        <v>19</v>
      </c>
      <c r="G4910" t="s">
        <v>20</v>
      </c>
      <c r="J4910" t="s">
        <v>17</v>
      </c>
      <c r="K4910" t="str">
        <f>"1000001094007"</f>
        <v>1000001094007</v>
      </c>
      <c r="L4910" t="str">
        <f>"766507253"</f>
        <v>766507253</v>
      </c>
      <c r="M4910" t="s">
        <v>84</v>
      </c>
      <c r="N4910" s="1">
        <v>43320.949305555558</v>
      </c>
      <c r="O4910" t="s">
        <v>19</v>
      </c>
    </row>
    <row r="4911" spans="1:15" x14ac:dyDescent="0.25">
      <c r="A4911" t="s">
        <v>3894</v>
      </c>
      <c r="B4911" t="s">
        <v>15</v>
      </c>
      <c r="C4911" t="s">
        <v>27</v>
      </c>
      <c r="D4911" t="s">
        <v>17</v>
      </c>
      <c r="E4911" t="s">
        <v>18</v>
      </c>
      <c r="F4911" t="s">
        <v>19</v>
      </c>
      <c r="G4911" t="s">
        <v>20</v>
      </c>
      <c r="J4911" t="s">
        <v>17</v>
      </c>
      <c r="K4911" t="str">
        <f>"415107253"</f>
        <v>415107253</v>
      </c>
      <c r="L4911" t="str">
        <f>"415107253"</f>
        <v>415107253</v>
      </c>
      <c r="M4911" t="s">
        <v>84</v>
      </c>
      <c r="N4911" s="1">
        <v>43328.585416666669</v>
      </c>
      <c r="O4911" t="s">
        <v>19</v>
      </c>
    </row>
    <row r="4912" spans="1:15" x14ac:dyDescent="0.25">
      <c r="A4912" t="s">
        <v>3894</v>
      </c>
      <c r="B4912" t="s">
        <v>15</v>
      </c>
      <c r="C4912" t="s">
        <v>27</v>
      </c>
      <c r="D4912" t="s">
        <v>17</v>
      </c>
      <c r="E4912" t="s">
        <v>18</v>
      </c>
      <c r="F4912" t="s">
        <v>19</v>
      </c>
      <c r="G4912" t="s">
        <v>20</v>
      </c>
      <c r="J4912" t="s">
        <v>17</v>
      </c>
      <c r="K4912" t="str">
        <f>"415114266"</f>
        <v>415114266</v>
      </c>
      <c r="L4912" t="str">
        <f>"415114266"</f>
        <v>415114266</v>
      </c>
      <c r="M4912" t="s">
        <v>84</v>
      </c>
      <c r="N4912" s="1">
        <v>43328.586111111108</v>
      </c>
      <c r="O4912" t="s">
        <v>19</v>
      </c>
    </row>
    <row r="4913" spans="1:15" x14ac:dyDescent="0.25">
      <c r="A4913" t="s">
        <v>3894</v>
      </c>
      <c r="B4913" t="s">
        <v>15</v>
      </c>
      <c r="C4913" t="s">
        <v>27</v>
      </c>
      <c r="D4913" t="s">
        <v>17</v>
      </c>
      <c r="E4913" t="s">
        <v>18</v>
      </c>
      <c r="F4913" t="s">
        <v>19</v>
      </c>
      <c r="G4913" t="s">
        <v>20</v>
      </c>
      <c r="J4913" t="s">
        <v>17</v>
      </c>
      <c r="K4913" t="str">
        <f>"1000001096063"</f>
        <v>1000001096063</v>
      </c>
      <c r="L4913" t="str">
        <f>"769807253"</f>
        <v>769807253</v>
      </c>
      <c r="M4913" t="s">
        <v>84</v>
      </c>
      <c r="N4913" s="1">
        <v>43335.768750000003</v>
      </c>
      <c r="O4913" t="s">
        <v>19</v>
      </c>
    </row>
    <row r="4914" spans="1:15" x14ac:dyDescent="0.25">
      <c r="A4914" t="s">
        <v>3894</v>
      </c>
      <c r="B4914" t="s">
        <v>15</v>
      </c>
      <c r="C4914" t="s">
        <v>27</v>
      </c>
      <c r="D4914" t="s">
        <v>17</v>
      </c>
      <c r="E4914" t="s">
        <v>18</v>
      </c>
      <c r="F4914" t="s">
        <v>19</v>
      </c>
      <c r="G4914" t="s">
        <v>20</v>
      </c>
      <c r="J4914" t="s">
        <v>17</v>
      </c>
      <c r="K4914" t="str">
        <f>"4001166010557"</f>
        <v>4001166010557</v>
      </c>
      <c r="L4914" t="str">
        <f>"414814266"</f>
        <v>414814266</v>
      </c>
      <c r="M4914" t="s">
        <v>84</v>
      </c>
      <c r="N4914" s="1">
        <v>43350.87222222222</v>
      </c>
      <c r="O4914" t="s">
        <v>19</v>
      </c>
    </row>
    <row r="4915" spans="1:15" x14ac:dyDescent="0.25">
      <c r="A4915" t="s">
        <v>3894</v>
      </c>
      <c r="B4915" t="s">
        <v>15</v>
      </c>
      <c r="C4915" t="s">
        <v>27</v>
      </c>
      <c r="D4915" t="s">
        <v>17</v>
      </c>
      <c r="E4915" t="s">
        <v>18</v>
      </c>
      <c r="F4915" t="s">
        <v>19</v>
      </c>
      <c r="G4915" t="s">
        <v>20</v>
      </c>
      <c r="J4915" t="s">
        <v>17</v>
      </c>
      <c r="K4915" t="str">
        <f>"866414266"</f>
        <v>866414266</v>
      </c>
      <c r="L4915" t="str">
        <f>"866414266"</f>
        <v>866414266</v>
      </c>
      <c r="M4915" t="s">
        <v>84</v>
      </c>
      <c r="N4915" s="1">
        <v>43364.933333333334</v>
      </c>
      <c r="O4915" t="s">
        <v>19</v>
      </c>
    </row>
    <row r="4916" spans="1:15" x14ac:dyDescent="0.25">
      <c r="A4916" t="s">
        <v>3894</v>
      </c>
      <c r="B4916" t="s">
        <v>15</v>
      </c>
      <c r="C4916" t="s">
        <v>27</v>
      </c>
      <c r="D4916" t="s">
        <v>17</v>
      </c>
      <c r="E4916" t="s">
        <v>18</v>
      </c>
      <c r="F4916" t="s">
        <v>19</v>
      </c>
      <c r="G4916" t="s">
        <v>20</v>
      </c>
      <c r="J4916" t="s">
        <v>17</v>
      </c>
      <c r="K4916" t="str">
        <f>"866407253"</f>
        <v>866407253</v>
      </c>
      <c r="L4916" t="str">
        <f>"866407253"</f>
        <v>866407253</v>
      </c>
      <c r="M4916" t="s">
        <v>84</v>
      </c>
      <c r="N4916" s="1">
        <v>43364.936111111114</v>
      </c>
      <c r="O4916" t="s">
        <v>19</v>
      </c>
    </row>
    <row r="4917" spans="1:15" x14ac:dyDescent="0.25">
      <c r="A4917" t="s">
        <v>3894</v>
      </c>
      <c r="B4917" t="s">
        <v>15</v>
      </c>
      <c r="C4917" t="s">
        <v>27</v>
      </c>
      <c r="D4917" t="s">
        <v>17</v>
      </c>
      <c r="E4917" t="s">
        <v>18</v>
      </c>
      <c r="F4917" t="s">
        <v>19</v>
      </c>
      <c r="G4917" t="s">
        <v>20</v>
      </c>
      <c r="J4917" t="s">
        <v>17</v>
      </c>
      <c r="K4917" t="str">
        <f>"867807253"</f>
        <v>867807253</v>
      </c>
      <c r="L4917" t="str">
        <f>"867807253"</f>
        <v>867807253</v>
      </c>
      <c r="M4917" t="s">
        <v>84</v>
      </c>
      <c r="N4917" s="1">
        <v>43367.57916666667</v>
      </c>
      <c r="O4917" t="s">
        <v>19</v>
      </c>
    </row>
    <row r="4918" spans="1:15" x14ac:dyDescent="0.25">
      <c r="A4918" t="s">
        <v>3894</v>
      </c>
      <c r="B4918" t="s">
        <v>15</v>
      </c>
      <c r="C4918" t="s">
        <v>27</v>
      </c>
      <c r="D4918" t="s">
        <v>17</v>
      </c>
      <c r="E4918" t="s">
        <v>18</v>
      </c>
      <c r="F4918" t="s">
        <v>19</v>
      </c>
      <c r="G4918" t="s">
        <v>20</v>
      </c>
      <c r="J4918" t="s">
        <v>17</v>
      </c>
      <c r="K4918" t="str">
        <f>"349914266"</f>
        <v>349914266</v>
      </c>
      <c r="L4918" t="str">
        <f>"349914266"</f>
        <v>349914266</v>
      </c>
      <c r="M4918" t="s">
        <v>84</v>
      </c>
      <c r="N4918" s="1">
        <v>43370.874305555553</v>
      </c>
      <c r="O4918" t="s">
        <v>19</v>
      </c>
    </row>
    <row r="4919" spans="1:15" x14ac:dyDescent="0.25">
      <c r="A4919" t="s">
        <v>3894</v>
      </c>
      <c r="B4919" t="s">
        <v>15</v>
      </c>
      <c r="C4919" t="s">
        <v>27</v>
      </c>
      <c r="D4919" t="s">
        <v>17</v>
      </c>
      <c r="E4919" t="s">
        <v>18</v>
      </c>
      <c r="F4919" t="s">
        <v>19</v>
      </c>
      <c r="G4919" t="s">
        <v>20</v>
      </c>
      <c r="J4919" t="s">
        <v>17</v>
      </c>
      <c r="K4919" t="str">
        <f>"349907253"</f>
        <v>349907253</v>
      </c>
      <c r="L4919" t="str">
        <f>"349907253"</f>
        <v>349907253</v>
      </c>
      <c r="M4919" t="s">
        <v>21</v>
      </c>
      <c r="N4919" s="1">
        <v>43370.878472222219</v>
      </c>
      <c r="O4919" t="s">
        <v>19</v>
      </c>
    </row>
    <row r="4920" spans="1:15" x14ac:dyDescent="0.25">
      <c r="A4920" t="s">
        <v>3894</v>
      </c>
      <c r="B4920" t="s">
        <v>15</v>
      </c>
      <c r="C4920" t="s">
        <v>27</v>
      </c>
      <c r="D4920" t="s">
        <v>17</v>
      </c>
      <c r="E4920" t="s">
        <v>18</v>
      </c>
      <c r="F4920" t="s">
        <v>19</v>
      </c>
      <c r="G4920" t="s">
        <v>20</v>
      </c>
      <c r="J4920" t="s">
        <v>17</v>
      </c>
      <c r="K4920" t="str">
        <f>"869207253"</f>
        <v>869207253</v>
      </c>
      <c r="L4920" t="str">
        <f>"869207253"</f>
        <v>869207253</v>
      </c>
      <c r="M4920" t="s">
        <v>84</v>
      </c>
      <c r="N4920" s="1">
        <v>43374.65</v>
      </c>
      <c r="O4920" t="s">
        <v>19</v>
      </c>
    </row>
    <row r="4921" spans="1:15" x14ac:dyDescent="0.25">
      <c r="A4921" t="s">
        <v>3894</v>
      </c>
      <c r="B4921" t="s">
        <v>15</v>
      </c>
      <c r="C4921" t="s">
        <v>27</v>
      </c>
      <c r="D4921" t="s">
        <v>17</v>
      </c>
      <c r="E4921" t="s">
        <v>18</v>
      </c>
      <c r="F4921" t="s">
        <v>19</v>
      </c>
      <c r="G4921" t="s">
        <v>20</v>
      </c>
      <c r="J4921" t="s">
        <v>17</v>
      </c>
      <c r="K4921" t="str">
        <f>"347707253"</f>
        <v>347707253</v>
      </c>
      <c r="L4921" t="str">
        <f>"347707253"</f>
        <v>347707253</v>
      </c>
      <c r="M4921" t="s">
        <v>84</v>
      </c>
      <c r="N4921" s="1">
        <v>43463.969444444447</v>
      </c>
      <c r="O4921" t="s">
        <v>19</v>
      </c>
    </row>
    <row r="4922" spans="1:15" x14ac:dyDescent="0.25">
      <c r="A4922" t="s">
        <v>3894</v>
      </c>
      <c r="B4922" t="s">
        <v>15</v>
      </c>
      <c r="C4922" t="s">
        <v>27</v>
      </c>
      <c r="D4922" t="s">
        <v>17</v>
      </c>
      <c r="E4922" t="s">
        <v>18</v>
      </c>
      <c r="F4922" t="s">
        <v>19</v>
      </c>
      <c r="G4922" t="s">
        <v>20</v>
      </c>
      <c r="J4922" t="s">
        <v>17</v>
      </c>
      <c r="K4922" t="str">
        <f>"2020060401010"</f>
        <v>2020060401010</v>
      </c>
      <c r="L4922" t="str">
        <f>"185107253"</f>
        <v>185107253</v>
      </c>
      <c r="M4922" t="s">
        <v>21</v>
      </c>
      <c r="N4922" s="1">
        <v>43609.953472222223</v>
      </c>
      <c r="O4922" t="s">
        <v>19</v>
      </c>
    </row>
    <row r="4923" spans="1:15" x14ac:dyDescent="0.25">
      <c r="A4923" t="s">
        <v>3894</v>
      </c>
      <c r="B4923" t="s">
        <v>15</v>
      </c>
      <c r="C4923" t="s">
        <v>1607</v>
      </c>
      <c r="D4923" t="s">
        <v>17</v>
      </c>
      <c r="E4923" t="s">
        <v>18</v>
      </c>
      <c r="F4923" t="s">
        <v>19</v>
      </c>
      <c r="G4923" t="s">
        <v>20</v>
      </c>
      <c r="J4923" t="s">
        <v>17</v>
      </c>
      <c r="K4923" t="str">
        <f>"2019512588035"</f>
        <v>2019512588035</v>
      </c>
      <c r="L4923" t="str">
        <f>"344907253"</f>
        <v>344907253</v>
      </c>
      <c r="M4923" t="s">
        <v>21</v>
      </c>
      <c r="N4923" s="1">
        <v>43799.587500000001</v>
      </c>
      <c r="O4923" t="s">
        <v>19</v>
      </c>
    </row>
    <row r="4924" spans="1:15" x14ac:dyDescent="0.25">
      <c r="A4924" t="s">
        <v>3894</v>
      </c>
      <c r="B4924" t="s">
        <v>15</v>
      </c>
      <c r="C4924" t="s">
        <v>27</v>
      </c>
      <c r="D4924" t="s">
        <v>17</v>
      </c>
      <c r="E4924" t="s">
        <v>18</v>
      </c>
      <c r="F4924" t="s">
        <v>19</v>
      </c>
      <c r="G4924" t="s">
        <v>20</v>
      </c>
      <c r="J4924" t="s">
        <v>17</v>
      </c>
      <c r="K4924" t="str">
        <f>"614807253"</f>
        <v>614807253</v>
      </c>
      <c r="L4924" t="str">
        <f>"614807253"</f>
        <v>614807253</v>
      </c>
      <c r="M4924" t="s">
        <v>21</v>
      </c>
      <c r="N4924" s="1">
        <v>44252.861111111109</v>
      </c>
      <c r="O4924" t="s">
        <v>19</v>
      </c>
    </row>
    <row r="4925" spans="1:15" x14ac:dyDescent="0.25">
      <c r="A4925" t="s">
        <v>3894</v>
      </c>
      <c r="B4925" t="s">
        <v>15</v>
      </c>
      <c r="C4925" t="s">
        <v>27</v>
      </c>
      <c r="D4925" t="s">
        <v>17</v>
      </c>
      <c r="E4925" t="s">
        <v>18</v>
      </c>
      <c r="F4925" t="s">
        <v>19</v>
      </c>
      <c r="G4925" t="s">
        <v>20</v>
      </c>
      <c r="J4925" t="s">
        <v>17</v>
      </c>
      <c r="K4925" t="str">
        <f>"134807253"</f>
        <v>134807253</v>
      </c>
      <c r="L4925" t="str">
        <f>"134807253"</f>
        <v>134807253</v>
      </c>
      <c r="M4925" t="s">
        <v>21</v>
      </c>
      <c r="N4925" s="1">
        <v>44348.90902777778</v>
      </c>
      <c r="O4925" t="s">
        <v>19</v>
      </c>
    </row>
    <row r="4926" spans="1:15" x14ac:dyDescent="0.25">
      <c r="A4926" t="s">
        <v>3894</v>
      </c>
      <c r="B4926" t="s">
        <v>15</v>
      </c>
      <c r="C4926" t="s">
        <v>27</v>
      </c>
      <c r="D4926" t="s">
        <v>17</v>
      </c>
      <c r="E4926" t="s">
        <v>18</v>
      </c>
      <c r="F4926" t="s">
        <v>19</v>
      </c>
      <c r="G4926" t="s">
        <v>20</v>
      </c>
      <c r="J4926" t="s">
        <v>17</v>
      </c>
      <c r="K4926" t="str">
        <f>"395907253"</f>
        <v>395907253</v>
      </c>
      <c r="L4926" t="str">
        <f>"395907253"</f>
        <v>395907253</v>
      </c>
      <c r="M4926" t="s">
        <v>21</v>
      </c>
      <c r="N4926" s="1">
        <v>44351.863888888889</v>
      </c>
      <c r="O4926" t="s">
        <v>19</v>
      </c>
    </row>
    <row r="4927" spans="1:15" x14ac:dyDescent="0.25">
      <c r="A4927" t="s">
        <v>3894</v>
      </c>
      <c r="B4927" t="s">
        <v>15</v>
      </c>
      <c r="C4927" t="s">
        <v>27</v>
      </c>
      <c r="D4927" t="s">
        <v>17</v>
      </c>
      <c r="E4927" t="s">
        <v>18</v>
      </c>
      <c r="F4927" t="s">
        <v>19</v>
      </c>
      <c r="G4927" t="s">
        <v>20</v>
      </c>
      <c r="H4927" t="s">
        <v>3895</v>
      </c>
      <c r="J4927" t="s">
        <v>17</v>
      </c>
      <c r="K4927" t="str">
        <f>"694407253"</f>
        <v>694407253</v>
      </c>
      <c r="L4927" t="str">
        <f>"694407253"</f>
        <v>694407253</v>
      </c>
      <c r="M4927" t="s">
        <v>84</v>
      </c>
      <c r="N4927" s="1">
        <v>43328.670138888891</v>
      </c>
      <c r="O4927" t="s">
        <v>19</v>
      </c>
    </row>
    <row r="4928" spans="1:15" x14ac:dyDescent="0.25">
      <c r="A4928" t="s">
        <v>3896</v>
      </c>
      <c r="B4928" t="s">
        <v>15</v>
      </c>
      <c r="C4928" t="s">
        <v>27</v>
      </c>
      <c r="D4928" t="s">
        <v>17</v>
      </c>
      <c r="E4928" t="s">
        <v>18</v>
      </c>
      <c r="F4928" t="s">
        <v>19</v>
      </c>
      <c r="G4928" t="s">
        <v>20</v>
      </c>
      <c r="J4928" t="s">
        <v>17</v>
      </c>
      <c r="K4928" t="str">
        <f>"797907254"</f>
        <v>797907254</v>
      </c>
      <c r="L4928" t="str">
        <f>"797907254"</f>
        <v>797907254</v>
      </c>
      <c r="M4928" t="s">
        <v>21</v>
      </c>
      <c r="N4928" s="1">
        <v>42872.849305555559</v>
      </c>
      <c r="O4928" t="s">
        <v>19</v>
      </c>
    </row>
    <row r="4929" spans="1:15" x14ac:dyDescent="0.25">
      <c r="A4929" t="s">
        <v>3896</v>
      </c>
      <c r="B4929" t="s">
        <v>15</v>
      </c>
      <c r="C4929" t="s">
        <v>27</v>
      </c>
      <c r="D4929" t="s">
        <v>17</v>
      </c>
      <c r="E4929" t="s">
        <v>18</v>
      </c>
      <c r="F4929" t="s">
        <v>19</v>
      </c>
      <c r="G4929" t="s">
        <v>20</v>
      </c>
      <c r="J4929" t="s">
        <v>17</v>
      </c>
      <c r="K4929" t="str">
        <f>"175807254"</f>
        <v>175807254</v>
      </c>
      <c r="L4929" t="str">
        <f>"175807254"</f>
        <v>175807254</v>
      </c>
      <c r="M4929" t="s">
        <v>75</v>
      </c>
      <c r="N4929" s="1">
        <v>42872.849305555559</v>
      </c>
      <c r="O4929" t="s">
        <v>19</v>
      </c>
    </row>
    <row r="4930" spans="1:15" x14ac:dyDescent="0.25">
      <c r="A4930" t="s">
        <v>3896</v>
      </c>
      <c r="B4930" t="s">
        <v>15</v>
      </c>
      <c r="C4930" t="s">
        <v>27</v>
      </c>
      <c r="D4930" t="s">
        <v>17</v>
      </c>
      <c r="E4930" t="s">
        <v>18</v>
      </c>
      <c r="F4930" t="s">
        <v>19</v>
      </c>
      <c r="G4930" t="s">
        <v>20</v>
      </c>
      <c r="J4930" t="s">
        <v>17</v>
      </c>
      <c r="K4930" t="str">
        <f>"765807254"</f>
        <v>765807254</v>
      </c>
      <c r="L4930" t="str">
        <f>"765807254"</f>
        <v>765807254</v>
      </c>
      <c r="M4930" t="s">
        <v>75</v>
      </c>
      <c r="N4930" s="1">
        <v>42872.849305555559</v>
      </c>
      <c r="O4930" t="s">
        <v>19</v>
      </c>
    </row>
    <row r="4931" spans="1:15" x14ac:dyDescent="0.25">
      <c r="A4931" t="s">
        <v>3896</v>
      </c>
      <c r="B4931" t="s">
        <v>15</v>
      </c>
      <c r="C4931" t="s">
        <v>27</v>
      </c>
      <c r="D4931" t="s">
        <v>17</v>
      </c>
      <c r="E4931" t="s">
        <v>18</v>
      </c>
      <c r="F4931" t="s">
        <v>19</v>
      </c>
      <c r="G4931" t="s">
        <v>20</v>
      </c>
      <c r="J4931" t="s">
        <v>17</v>
      </c>
      <c r="K4931" t="str">
        <f>"767507254"</f>
        <v>767507254</v>
      </c>
      <c r="L4931" t="str">
        <f>"767507254"</f>
        <v>767507254</v>
      </c>
      <c r="M4931" t="s">
        <v>75</v>
      </c>
      <c r="N4931" s="1">
        <v>42872.849305555559</v>
      </c>
      <c r="O4931" t="s">
        <v>19</v>
      </c>
    </row>
    <row r="4932" spans="1:15" x14ac:dyDescent="0.25">
      <c r="A4932" t="s">
        <v>3896</v>
      </c>
      <c r="B4932" t="s">
        <v>15</v>
      </c>
      <c r="C4932" t="s">
        <v>27</v>
      </c>
      <c r="D4932" t="s">
        <v>17</v>
      </c>
      <c r="E4932" t="s">
        <v>18</v>
      </c>
      <c r="F4932" t="s">
        <v>19</v>
      </c>
      <c r="G4932" t="s">
        <v>20</v>
      </c>
      <c r="J4932" t="s">
        <v>17</v>
      </c>
      <c r="K4932" t="str">
        <f>"765107254"</f>
        <v>765107254</v>
      </c>
      <c r="L4932" t="str">
        <f>"765107254"</f>
        <v>765107254</v>
      </c>
      <c r="M4932" t="s">
        <v>75</v>
      </c>
      <c r="N4932" s="1">
        <v>43174.895138888889</v>
      </c>
      <c r="O4932" t="s">
        <v>19</v>
      </c>
    </row>
    <row r="4933" spans="1:15" x14ac:dyDescent="0.25">
      <c r="A4933" t="s">
        <v>3896</v>
      </c>
      <c r="B4933" t="s">
        <v>15</v>
      </c>
      <c r="C4933" t="s">
        <v>27</v>
      </c>
      <c r="D4933" t="s">
        <v>17</v>
      </c>
      <c r="E4933" t="s">
        <v>18</v>
      </c>
      <c r="F4933" t="s">
        <v>19</v>
      </c>
      <c r="G4933" t="s">
        <v>20</v>
      </c>
      <c r="J4933" t="s">
        <v>17</v>
      </c>
      <c r="K4933" t="str">
        <f>"766107254"</f>
        <v>766107254</v>
      </c>
      <c r="L4933" t="str">
        <f>"766107254"</f>
        <v>766107254</v>
      </c>
      <c r="M4933" t="s">
        <v>84</v>
      </c>
      <c r="N4933" s="1">
        <v>43286.98333333333</v>
      </c>
      <c r="O4933" t="s">
        <v>19</v>
      </c>
    </row>
    <row r="4934" spans="1:15" x14ac:dyDescent="0.25">
      <c r="A4934" t="s">
        <v>3896</v>
      </c>
      <c r="B4934" t="s">
        <v>15</v>
      </c>
      <c r="C4934" t="s">
        <v>27</v>
      </c>
      <c r="D4934" t="s">
        <v>17</v>
      </c>
      <c r="E4934" t="s">
        <v>18</v>
      </c>
      <c r="F4934" t="s">
        <v>19</v>
      </c>
      <c r="G4934" t="s">
        <v>20</v>
      </c>
      <c r="J4934" t="s">
        <v>17</v>
      </c>
      <c r="K4934" t="str">
        <f>"764707254"</f>
        <v>764707254</v>
      </c>
      <c r="L4934" t="str">
        <f>"764707254"</f>
        <v>764707254</v>
      </c>
      <c r="M4934" t="s">
        <v>84</v>
      </c>
      <c r="N4934" s="1">
        <v>43286.988888888889</v>
      </c>
      <c r="O4934" t="s">
        <v>19</v>
      </c>
    </row>
    <row r="4935" spans="1:15" x14ac:dyDescent="0.25">
      <c r="A4935" t="s">
        <v>3896</v>
      </c>
      <c r="B4935" t="s">
        <v>15</v>
      </c>
      <c r="C4935" t="s">
        <v>27</v>
      </c>
      <c r="D4935" t="s">
        <v>17</v>
      </c>
      <c r="E4935" t="s">
        <v>18</v>
      </c>
      <c r="F4935" t="s">
        <v>19</v>
      </c>
      <c r="G4935" t="s">
        <v>20</v>
      </c>
      <c r="J4935" t="s">
        <v>17</v>
      </c>
      <c r="K4935" t="str">
        <f>"864805254"</f>
        <v>864805254</v>
      </c>
      <c r="L4935" t="str">
        <f>"864805254"</f>
        <v>864805254</v>
      </c>
      <c r="M4935" t="s">
        <v>84</v>
      </c>
      <c r="N4935" s="1">
        <v>43316.775000000001</v>
      </c>
      <c r="O4935" t="s">
        <v>19</v>
      </c>
    </row>
    <row r="4936" spans="1:15" x14ac:dyDescent="0.25">
      <c r="A4936" t="s">
        <v>3896</v>
      </c>
      <c r="B4936" t="s">
        <v>15</v>
      </c>
      <c r="C4936" t="s">
        <v>27</v>
      </c>
      <c r="D4936" t="s">
        <v>17</v>
      </c>
      <c r="E4936" t="s">
        <v>18</v>
      </c>
      <c r="F4936" t="s">
        <v>19</v>
      </c>
      <c r="G4936" t="s">
        <v>20</v>
      </c>
      <c r="J4936" t="s">
        <v>17</v>
      </c>
      <c r="K4936" t="str">
        <f>"1000001096780"</f>
        <v>1000001096780</v>
      </c>
      <c r="L4936" t="str">
        <f>"769807254"</f>
        <v>769807254</v>
      </c>
      <c r="M4936" t="s">
        <v>84</v>
      </c>
      <c r="N4936" s="1">
        <v>43357.700694444444</v>
      </c>
      <c r="O4936" t="s">
        <v>19</v>
      </c>
    </row>
    <row r="4937" spans="1:15" x14ac:dyDescent="0.25">
      <c r="A4937" t="s">
        <v>3896</v>
      </c>
      <c r="B4937" t="s">
        <v>15</v>
      </c>
      <c r="C4937" t="s">
        <v>27</v>
      </c>
      <c r="D4937" t="s">
        <v>17</v>
      </c>
      <c r="E4937" t="s">
        <v>18</v>
      </c>
      <c r="F4937" t="s">
        <v>19</v>
      </c>
      <c r="G4937" t="s">
        <v>20</v>
      </c>
      <c r="J4937" t="s">
        <v>17</v>
      </c>
      <c r="K4937" t="str">
        <f>"867807254"</f>
        <v>867807254</v>
      </c>
      <c r="L4937" t="str">
        <f>"867807254"</f>
        <v>867807254</v>
      </c>
      <c r="M4937" t="s">
        <v>84</v>
      </c>
      <c r="N4937" s="1">
        <v>43367.57916666667</v>
      </c>
      <c r="O4937" t="s">
        <v>19</v>
      </c>
    </row>
    <row r="4938" spans="1:15" x14ac:dyDescent="0.25">
      <c r="A4938" t="s">
        <v>3896</v>
      </c>
      <c r="B4938" t="s">
        <v>15</v>
      </c>
      <c r="C4938" t="s">
        <v>27</v>
      </c>
      <c r="D4938" t="s">
        <v>17</v>
      </c>
      <c r="E4938" t="s">
        <v>18</v>
      </c>
      <c r="F4938" t="s">
        <v>19</v>
      </c>
      <c r="G4938" t="s">
        <v>20</v>
      </c>
      <c r="J4938" t="s">
        <v>17</v>
      </c>
      <c r="K4938" t="str">
        <f>"1908070132005"</f>
        <v>1908070132005</v>
      </c>
      <c r="L4938" t="str">
        <f>"349905305"</f>
        <v>349905305</v>
      </c>
      <c r="M4938" t="s">
        <v>84</v>
      </c>
      <c r="N4938" s="1">
        <v>43370.875694444447</v>
      </c>
      <c r="O4938" t="s">
        <v>19</v>
      </c>
    </row>
    <row r="4939" spans="1:15" x14ac:dyDescent="0.25">
      <c r="A4939" t="s">
        <v>3896</v>
      </c>
      <c r="B4939" t="s">
        <v>15</v>
      </c>
      <c r="C4939" t="s">
        <v>27</v>
      </c>
      <c r="D4939" t="s">
        <v>17</v>
      </c>
      <c r="E4939" t="s">
        <v>18</v>
      </c>
      <c r="F4939" t="s">
        <v>19</v>
      </c>
      <c r="G4939" t="s">
        <v>20</v>
      </c>
      <c r="J4939" t="s">
        <v>17</v>
      </c>
      <c r="K4939" t="str">
        <f>"349907254"</f>
        <v>349907254</v>
      </c>
      <c r="L4939" t="str">
        <f>"349907254"</f>
        <v>349907254</v>
      </c>
      <c r="M4939" t="s">
        <v>84</v>
      </c>
      <c r="N4939" s="1">
        <v>43370.877083333333</v>
      </c>
      <c r="O4939" t="s">
        <v>19</v>
      </c>
    </row>
    <row r="4940" spans="1:15" x14ac:dyDescent="0.25">
      <c r="A4940" t="s">
        <v>3896</v>
      </c>
      <c r="B4940" t="s">
        <v>15</v>
      </c>
      <c r="C4940" t="s">
        <v>27</v>
      </c>
      <c r="D4940" t="s">
        <v>17</v>
      </c>
      <c r="E4940" t="s">
        <v>18</v>
      </c>
      <c r="F4940" t="s">
        <v>19</v>
      </c>
      <c r="G4940" t="s">
        <v>20</v>
      </c>
      <c r="J4940" t="s">
        <v>17</v>
      </c>
      <c r="K4940" t="str">
        <f>"760107254"</f>
        <v>760107254</v>
      </c>
      <c r="L4940" t="str">
        <f>"760107254"</f>
        <v>760107254</v>
      </c>
      <c r="M4940" t="s">
        <v>84</v>
      </c>
      <c r="N4940" s="1">
        <v>43397.698611111111</v>
      </c>
      <c r="O4940" t="s">
        <v>19</v>
      </c>
    </row>
    <row r="4941" spans="1:15" x14ac:dyDescent="0.25">
      <c r="A4941" t="s">
        <v>3897</v>
      </c>
      <c r="B4941" t="s">
        <v>15</v>
      </c>
      <c r="C4941" t="s">
        <v>27</v>
      </c>
      <c r="D4941" t="s">
        <v>17</v>
      </c>
      <c r="E4941" t="s">
        <v>18</v>
      </c>
      <c r="F4941" t="s">
        <v>19</v>
      </c>
      <c r="G4941" t="s">
        <v>20</v>
      </c>
      <c r="J4941" t="s">
        <v>17</v>
      </c>
      <c r="K4941" t="str">
        <f>"765107255"</f>
        <v>765107255</v>
      </c>
      <c r="L4941" t="str">
        <f>"765107255"</f>
        <v>765107255</v>
      </c>
      <c r="M4941" t="s">
        <v>84</v>
      </c>
      <c r="N4941" s="1">
        <v>43251.71597222222</v>
      </c>
      <c r="O4941" t="s">
        <v>19</v>
      </c>
    </row>
    <row r="4942" spans="1:15" x14ac:dyDescent="0.25">
      <c r="A4942" t="s">
        <v>3897</v>
      </c>
      <c r="B4942" t="s">
        <v>15</v>
      </c>
      <c r="C4942" t="s">
        <v>27</v>
      </c>
      <c r="D4942" t="s">
        <v>17</v>
      </c>
      <c r="E4942" t="s">
        <v>18</v>
      </c>
      <c r="F4942" t="s">
        <v>19</v>
      </c>
      <c r="G4942" t="s">
        <v>20</v>
      </c>
      <c r="J4942" t="s">
        <v>17</v>
      </c>
      <c r="K4942" t="str">
        <f>"864807255"</f>
        <v>864807255</v>
      </c>
      <c r="L4942" t="str">
        <f>"864807255"</f>
        <v>864807255</v>
      </c>
      <c r="M4942" t="s">
        <v>84</v>
      </c>
      <c r="N4942" s="1">
        <v>43316.777083333334</v>
      </c>
      <c r="O4942" t="s">
        <v>19</v>
      </c>
    </row>
    <row r="4943" spans="1:15" x14ac:dyDescent="0.25">
      <c r="A4943" t="s">
        <v>3897</v>
      </c>
      <c r="B4943" t="s">
        <v>15</v>
      </c>
      <c r="C4943" t="s">
        <v>27</v>
      </c>
      <c r="D4943" t="s">
        <v>17</v>
      </c>
      <c r="E4943" t="s">
        <v>18</v>
      </c>
      <c r="F4943" t="s">
        <v>19</v>
      </c>
      <c r="G4943" t="s">
        <v>20</v>
      </c>
      <c r="J4943" t="s">
        <v>17</v>
      </c>
      <c r="K4943" t="str">
        <f>"866407255"</f>
        <v>866407255</v>
      </c>
      <c r="L4943" t="str">
        <f>"866407255"</f>
        <v>866407255</v>
      </c>
      <c r="M4943" t="s">
        <v>84</v>
      </c>
      <c r="N4943" s="1">
        <v>43364.935416666667</v>
      </c>
      <c r="O4943" t="s">
        <v>19</v>
      </c>
    </row>
    <row r="4944" spans="1:15" x14ac:dyDescent="0.25">
      <c r="A4944" t="s">
        <v>3897</v>
      </c>
      <c r="B4944" t="s">
        <v>15</v>
      </c>
      <c r="C4944" t="s">
        <v>27</v>
      </c>
      <c r="D4944" t="s">
        <v>17</v>
      </c>
      <c r="E4944" t="s">
        <v>18</v>
      </c>
      <c r="F4944" t="s">
        <v>19</v>
      </c>
      <c r="G4944" t="s">
        <v>20</v>
      </c>
      <c r="J4944" t="s">
        <v>17</v>
      </c>
      <c r="K4944" t="str">
        <f>"869207255"</f>
        <v>869207255</v>
      </c>
      <c r="L4944" t="str">
        <f>"869207255"</f>
        <v>869207255</v>
      </c>
      <c r="M4944" t="s">
        <v>84</v>
      </c>
      <c r="N4944" s="1">
        <v>43374.650694444441</v>
      </c>
      <c r="O4944" t="s">
        <v>19</v>
      </c>
    </row>
    <row r="4945" spans="1:15" x14ac:dyDescent="0.25">
      <c r="A4945" t="s">
        <v>3897</v>
      </c>
      <c r="B4945" t="s">
        <v>15</v>
      </c>
      <c r="C4945" t="s">
        <v>27</v>
      </c>
      <c r="D4945" t="s">
        <v>17</v>
      </c>
      <c r="E4945" t="s">
        <v>18</v>
      </c>
      <c r="F4945" t="s">
        <v>19</v>
      </c>
      <c r="G4945" t="s">
        <v>20</v>
      </c>
      <c r="J4945" t="s">
        <v>17</v>
      </c>
      <c r="K4945" t="str">
        <f>"674807255"</f>
        <v>674807255</v>
      </c>
      <c r="L4945" t="str">
        <f>"674807255"</f>
        <v>674807255</v>
      </c>
      <c r="M4945" t="s">
        <v>84</v>
      </c>
      <c r="N4945" s="1">
        <v>43546.953472222223</v>
      </c>
      <c r="O4945" t="s">
        <v>19</v>
      </c>
    </row>
    <row r="4946" spans="1:15" x14ac:dyDescent="0.25">
      <c r="A4946" t="s">
        <v>3898</v>
      </c>
      <c r="B4946" t="s">
        <v>15</v>
      </c>
      <c r="C4946" t="s">
        <v>27</v>
      </c>
      <c r="D4946" t="s">
        <v>17</v>
      </c>
      <c r="E4946" t="s">
        <v>18</v>
      </c>
      <c r="F4946" t="s">
        <v>19</v>
      </c>
      <c r="G4946" t="s">
        <v>20</v>
      </c>
      <c r="J4946" t="s">
        <v>17</v>
      </c>
      <c r="K4946" t="str">
        <f>"864807256"</f>
        <v>864807256</v>
      </c>
      <c r="L4946" t="str">
        <f>"864807256"</f>
        <v>864807256</v>
      </c>
      <c r="M4946" t="s">
        <v>84</v>
      </c>
      <c r="N4946" s="1">
        <v>43316.776388888888</v>
      </c>
      <c r="O4946" t="s">
        <v>19</v>
      </c>
    </row>
    <row r="4947" spans="1:15" x14ac:dyDescent="0.25">
      <c r="A4947" t="s">
        <v>3898</v>
      </c>
      <c r="B4947" t="s">
        <v>15</v>
      </c>
      <c r="C4947" t="s">
        <v>27</v>
      </c>
      <c r="D4947" t="s">
        <v>17</v>
      </c>
      <c r="E4947" t="s">
        <v>18</v>
      </c>
      <c r="F4947" t="s">
        <v>19</v>
      </c>
      <c r="G4947" t="s">
        <v>20</v>
      </c>
      <c r="J4947" t="s">
        <v>17</v>
      </c>
      <c r="K4947" t="str">
        <f>"867807255"</f>
        <v>867807255</v>
      </c>
      <c r="L4947" t="str">
        <f>"867807255"</f>
        <v>867807255</v>
      </c>
      <c r="M4947" t="s">
        <v>84</v>
      </c>
      <c r="N4947" s="1">
        <v>43367.578472222223</v>
      </c>
      <c r="O4947" t="s">
        <v>19</v>
      </c>
    </row>
    <row r="4948" spans="1:15" x14ac:dyDescent="0.25">
      <c r="A4948" t="s">
        <v>3899</v>
      </c>
      <c r="B4948" t="s">
        <v>15</v>
      </c>
      <c r="C4948" t="s">
        <v>27</v>
      </c>
      <c r="D4948" t="s">
        <v>17</v>
      </c>
      <c r="E4948" t="s">
        <v>18</v>
      </c>
      <c r="F4948" t="s">
        <v>19</v>
      </c>
      <c r="G4948" t="s">
        <v>20</v>
      </c>
      <c r="J4948" t="s">
        <v>17</v>
      </c>
      <c r="K4948" t="str">
        <f>"174807257"</f>
        <v>174807257</v>
      </c>
      <c r="L4948" t="str">
        <f>"174807257"</f>
        <v>174807257</v>
      </c>
      <c r="M4948" t="s">
        <v>75</v>
      </c>
      <c r="N4948" s="1">
        <v>43096.697916666664</v>
      </c>
      <c r="O4948" t="s">
        <v>19</v>
      </c>
    </row>
    <row r="4949" spans="1:15" x14ac:dyDescent="0.25">
      <c r="A4949" t="s">
        <v>3899</v>
      </c>
      <c r="B4949" t="s">
        <v>15</v>
      </c>
      <c r="C4949" t="s">
        <v>27</v>
      </c>
      <c r="D4949" t="s">
        <v>17</v>
      </c>
      <c r="E4949" t="s">
        <v>18</v>
      </c>
      <c r="F4949" t="s">
        <v>19</v>
      </c>
      <c r="G4949" t="s">
        <v>20</v>
      </c>
      <c r="J4949" t="s">
        <v>17</v>
      </c>
      <c r="K4949" t="str">
        <f>"347907257"</f>
        <v>347907257</v>
      </c>
      <c r="L4949" t="str">
        <f>"347907257"</f>
        <v>347907257</v>
      </c>
      <c r="M4949" t="s">
        <v>75</v>
      </c>
      <c r="N4949" s="1">
        <v>43116.704861111109</v>
      </c>
      <c r="O4949" t="s">
        <v>19</v>
      </c>
    </row>
    <row r="4950" spans="1:15" x14ac:dyDescent="0.25">
      <c r="A4950" t="s">
        <v>3899</v>
      </c>
      <c r="B4950" t="s">
        <v>15</v>
      </c>
      <c r="C4950" t="s">
        <v>27</v>
      </c>
      <c r="D4950" t="s">
        <v>17</v>
      </c>
      <c r="E4950" t="s">
        <v>18</v>
      </c>
      <c r="F4950" t="s">
        <v>19</v>
      </c>
      <c r="G4950" t="s">
        <v>20</v>
      </c>
      <c r="J4950" t="s">
        <v>17</v>
      </c>
      <c r="K4950" t="str">
        <f>"1000001088402"</f>
        <v>1000001088402</v>
      </c>
      <c r="L4950" t="str">
        <f>"766407257"</f>
        <v>766407257</v>
      </c>
      <c r="M4950" t="s">
        <v>84</v>
      </c>
      <c r="N4950" s="1">
        <v>43244.977777777778</v>
      </c>
      <c r="O4950" t="s">
        <v>19</v>
      </c>
    </row>
    <row r="4951" spans="1:15" x14ac:dyDescent="0.25">
      <c r="A4951" t="s">
        <v>3899</v>
      </c>
      <c r="B4951" t="s">
        <v>15</v>
      </c>
      <c r="C4951" t="s">
        <v>27</v>
      </c>
      <c r="D4951" t="s">
        <v>17</v>
      </c>
      <c r="E4951" t="s">
        <v>18</v>
      </c>
      <c r="F4951" t="s">
        <v>19</v>
      </c>
      <c r="G4951" t="s">
        <v>20</v>
      </c>
      <c r="J4951" t="s">
        <v>17</v>
      </c>
      <c r="K4951" t="str">
        <f>"765107257"</f>
        <v>765107257</v>
      </c>
      <c r="L4951" t="str">
        <f>"765107257"</f>
        <v>765107257</v>
      </c>
      <c r="M4951" t="s">
        <v>84</v>
      </c>
      <c r="N4951" s="1">
        <v>43251.725694444445</v>
      </c>
      <c r="O4951" t="s">
        <v>19</v>
      </c>
    </row>
    <row r="4952" spans="1:15" x14ac:dyDescent="0.25">
      <c r="A4952" t="s">
        <v>3899</v>
      </c>
      <c r="B4952" t="s">
        <v>15</v>
      </c>
      <c r="C4952" t="s">
        <v>27</v>
      </c>
      <c r="D4952" t="s">
        <v>17</v>
      </c>
      <c r="E4952" t="s">
        <v>18</v>
      </c>
      <c r="F4952" t="s">
        <v>19</v>
      </c>
      <c r="G4952" t="s">
        <v>20</v>
      </c>
      <c r="J4952" t="s">
        <v>17</v>
      </c>
      <c r="K4952" t="str">
        <f>"765907257"</f>
        <v>765907257</v>
      </c>
      <c r="L4952" t="str">
        <f>"765907257"</f>
        <v>765907257</v>
      </c>
      <c r="M4952" t="s">
        <v>84</v>
      </c>
      <c r="N4952" s="1">
        <v>43251.73333333333</v>
      </c>
      <c r="O4952" t="s">
        <v>19</v>
      </c>
    </row>
    <row r="4953" spans="1:15" x14ac:dyDescent="0.25">
      <c r="A4953" t="s">
        <v>3899</v>
      </c>
      <c r="B4953" t="s">
        <v>15</v>
      </c>
      <c r="C4953" t="s">
        <v>27</v>
      </c>
      <c r="D4953" t="s">
        <v>17</v>
      </c>
      <c r="E4953" t="s">
        <v>18</v>
      </c>
      <c r="F4953" t="s">
        <v>19</v>
      </c>
      <c r="G4953" t="s">
        <v>20</v>
      </c>
      <c r="J4953" t="s">
        <v>17</v>
      </c>
      <c r="K4953" t="str">
        <f>"766107257"</f>
        <v>766107257</v>
      </c>
      <c r="L4953" t="str">
        <f>"766107257"</f>
        <v>766107257</v>
      </c>
      <c r="M4953" t="s">
        <v>84</v>
      </c>
      <c r="N4953" s="1">
        <v>43286.987500000003</v>
      </c>
      <c r="O4953" t="s">
        <v>19</v>
      </c>
    </row>
    <row r="4954" spans="1:15" x14ac:dyDescent="0.25">
      <c r="A4954" t="s">
        <v>3899</v>
      </c>
      <c r="B4954" t="s">
        <v>15</v>
      </c>
      <c r="C4954" t="s">
        <v>27</v>
      </c>
      <c r="D4954" t="s">
        <v>17</v>
      </c>
      <c r="E4954" t="s">
        <v>18</v>
      </c>
      <c r="F4954" t="s">
        <v>19</v>
      </c>
      <c r="G4954" t="s">
        <v>20</v>
      </c>
      <c r="J4954" t="s">
        <v>17</v>
      </c>
      <c r="K4954" t="str">
        <f>"797907257"</f>
        <v>797907257</v>
      </c>
      <c r="L4954" t="str">
        <f>"797907257"</f>
        <v>797907257</v>
      </c>
      <c r="M4954" t="s">
        <v>21</v>
      </c>
      <c r="N4954" s="1">
        <v>43335.767361111109</v>
      </c>
      <c r="O4954" t="s">
        <v>19</v>
      </c>
    </row>
    <row r="4955" spans="1:15" x14ac:dyDescent="0.25">
      <c r="A4955" t="s">
        <v>3899</v>
      </c>
      <c r="B4955" t="s">
        <v>15</v>
      </c>
      <c r="C4955" t="s">
        <v>27</v>
      </c>
      <c r="D4955" t="s">
        <v>17</v>
      </c>
      <c r="E4955" t="s">
        <v>18</v>
      </c>
      <c r="F4955" t="s">
        <v>19</v>
      </c>
      <c r="G4955" t="s">
        <v>20</v>
      </c>
      <c r="J4955" t="s">
        <v>17</v>
      </c>
      <c r="K4955" t="str">
        <f>"866407257"</f>
        <v>866407257</v>
      </c>
      <c r="L4955" t="str">
        <f>"866407257"</f>
        <v>866407257</v>
      </c>
      <c r="M4955" t="s">
        <v>84</v>
      </c>
      <c r="N4955" s="1">
        <v>43364.936111111114</v>
      </c>
      <c r="O4955" t="s">
        <v>19</v>
      </c>
    </row>
    <row r="4956" spans="1:15" x14ac:dyDescent="0.25">
      <c r="A4956" t="s">
        <v>3899</v>
      </c>
      <c r="B4956" t="s">
        <v>15</v>
      </c>
      <c r="C4956" t="s">
        <v>27</v>
      </c>
      <c r="D4956" t="s">
        <v>17</v>
      </c>
      <c r="E4956" t="s">
        <v>18</v>
      </c>
      <c r="F4956" t="s">
        <v>19</v>
      </c>
      <c r="G4956" t="s">
        <v>20</v>
      </c>
      <c r="J4956" t="s">
        <v>17</v>
      </c>
      <c r="K4956" t="str">
        <f>"867807257"</f>
        <v>867807257</v>
      </c>
      <c r="L4956" t="str">
        <f>"867807257"</f>
        <v>867807257</v>
      </c>
      <c r="M4956" t="s">
        <v>84</v>
      </c>
      <c r="N4956" s="1">
        <v>43367.577777777777</v>
      </c>
      <c r="O4956" t="s">
        <v>19</v>
      </c>
    </row>
    <row r="4957" spans="1:15" x14ac:dyDescent="0.25">
      <c r="A4957" t="s">
        <v>3899</v>
      </c>
      <c r="B4957" t="s">
        <v>15</v>
      </c>
      <c r="C4957" t="s">
        <v>27</v>
      </c>
      <c r="D4957" t="s">
        <v>17</v>
      </c>
      <c r="E4957" t="s">
        <v>18</v>
      </c>
      <c r="F4957" t="s">
        <v>19</v>
      </c>
      <c r="G4957" t="s">
        <v>20</v>
      </c>
      <c r="J4957" t="s">
        <v>17</v>
      </c>
      <c r="K4957" t="str">
        <f>"869207257"</f>
        <v>869207257</v>
      </c>
      <c r="L4957" t="str">
        <f>"869207257"</f>
        <v>869207257</v>
      </c>
      <c r="M4957" t="s">
        <v>84</v>
      </c>
      <c r="N4957" s="1">
        <v>43374.651388888888</v>
      </c>
      <c r="O4957" t="s">
        <v>19</v>
      </c>
    </row>
    <row r="4958" spans="1:15" x14ac:dyDescent="0.25">
      <c r="A4958" t="s">
        <v>3899</v>
      </c>
      <c r="B4958" t="s">
        <v>15</v>
      </c>
      <c r="C4958" t="s">
        <v>27</v>
      </c>
      <c r="D4958" t="s">
        <v>17</v>
      </c>
      <c r="E4958" t="s">
        <v>18</v>
      </c>
      <c r="F4958" t="s">
        <v>19</v>
      </c>
      <c r="G4958" t="s">
        <v>20</v>
      </c>
      <c r="J4958" t="s">
        <v>17</v>
      </c>
      <c r="K4958" t="str">
        <f>"349907257"</f>
        <v>349907257</v>
      </c>
      <c r="L4958" t="str">
        <f>"349907257"</f>
        <v>349907257</v>
      </c>
      <c r="M4958" t="s">
        <v>84</v>
      </c>
      <c r="N4958" s="1">
        <v>43463.970138888886</v>
      </c>
      <c r="O4958" t="s">
        <v>19</v>
      </c>
    </row>
    <row r="4959" spans="1:15" x14ac:dyDescent="0.25">
      <c r="A4959" t="s">
        <v>3899</v>
      </c>
      <c r="B4959" t="s">
        <v>15</v>
      </c>
      <c r="C4959" t="s">
        <v>27</v>
      </c>
      <c r="D4959" t="s">
        <v>17</v>
      </c>
      <c r="E4959" t="s">
        <v>18</v>
      </c>
      <c r="F4959" t="s">
        <v>19</v>
      </c>
      <c r="G4959" t="s">
        <v>20</v>
      </c>
      <c r="H4959" t="s">
        <v>3895</v>
      </c>
      <c r="J4959" t="s">
        <v>17</v>
      </c>
      <c r="K4959" t="str">
        <f>"694407257"</f>
        <v>694407257</v>
      </c>
      <c r="L4959" t="str">
        <f>"694407257"</f>
        <v>694407257</v>
      </c>
      <c r="M4959" t="s">
        <v>84</v>
      </c>
      <c r="N4959" s="1">
        <v>43328.67083333333</v>
      </c>
      <c r="O4959" t="s">
        <v>19</v>
      </c>
    </row>
    <row r="4960" spans="1:15" x14ac:dyDescent="0.25">
      <c r="A4960" t="s">
        <v>3900</v>
      </c>
      <c r="B4960" t="s">
        <v>15</v>
      </c>
      <c r="C4960" t="s">
        <v>27</v>
      </c>
      <c r="D4960" t="s">
        <v>17</v>
      </c>
      <c r="E4960" t="s">
        <v>18</v>
      </c>
      <c r="F4960" t="s">
        <v>19</v>
      </c>
      <c r="G4960" t="s">
        <v>20</v>
      </c>
      <c r="J4960" t="s">
        <v>17</v>
      </c>
      <c r="K4960" t="str">
        <f>"1000001024356"</f>
        <v>1000001024356</v>
      </c>
      <c r="L4960" t="str">
        <f>"765607259"</f>
        <v>765607259</v>
      </c>
      <c r="M4960" t="s">
        <v>21</v>
      </c>
      <c r="N4960" s="1">
        <v>42872.839583333334</v>
      </c>
      <c r="O4960" t="s">
        <v>19</v>
      </c>
    </row>
    <row r="4961" spans="1:15" x14ac:dyDescent="0.25">
      <c r="A4961" t="s">
        <v>3900</v>
      </c>
      <c r="B4961" t="s">
        <v>15</v>
      </c>
      <c r="C4961" t="s">
        <v>27</v>
      </c>
      <c r="D4961" t="s">
        <v>17</v>
      </c>
      <c r="E4961" t="s">
        <v>18</v>
      </c>
      <c r="F4961" t="s">
        <v>19</v>
      </c>
      <c r="G4961" t="s">
        <v>20</v>
      </c>
      <c r="J4961" t="s">
        <v>17</v>
      </c>
      <c r="K4961" t="str">
        <f>"2018430100090"</f>
        <v>2018430100090</v>
      </c>
      <c r="L4961" t="str">
        <f>"184807259"</f>
        <v>184807259</v>
      </c>
      <c r="M4961" t="s">
        <v>21</v>
      </c>
      <c r="N4961" s="1">
        <v>42872.839583333334</v>
      </c>
      <c r="O4961" t="s">
        <v>19</v>
      </c>
    </row>
    <row r="4962" spans="1:15" x14ac:dyDescent="0.25">
      <c r="A4962" t="s">
        <v>3900</v>
      </c>
      <c r="B4962" t="s">
        <v>15</v>
      </c>
      <c r="C4962" t="s">
        <v>27</v>
      </c>
      <c r="D4962" t="s">
        <v>17</v>
      </c>
      <c r="E4962" t="s">
        <v>18</v>
      </c>
      <c r="F4962" t="s">
        <v>19</v>
      </c>
      <c r="G4962" t="s">
        <v>20</v>
      </c>
      <c r="J4962" t="s">
        <v>17</v>
      </c>
      <c r="K4962" t="str">
        <f>"764807259"</f>
        <v>764807259</v>
      </c>
      <c r="L4962" t="str">
        <f>"764807259"</f>
        <v>764807259</v>
      </c>
      <c r="M4962" t="s">
        <v>84</v>
      </c>
      <c r="N4962" s="1">
        <v>43451.670138888891</v>
      </c>
      <c r="O4962" t="s">
        <v>19</v>
      </c>
    </row>
    <row r="4963" spans="1:15" x14ac:dyDescent="0.25">
      <c r="A4963" t="s">
        <v>3900</v>
      </c>
      <c r="B4963" t="s">
        <v>15</v>
      </c>
      <c r="C4963" t="s">
        <v>27</v>
      </c>
      <c r="D4963" t="s">
        <v>17</v>
      </c>
      <c r="E4963" t="s">
        <v>18</v>
      </c>
      <c r="F4963" t="s">
        <v>19</v>
      </c>
      <c r="G4963" t="s">
        <v>20</v>
      </c>
      <c r="J4963" t="s">
        <v>17</v>
      </c>
      <c r="K4963" t="str">
        <f>"674807259"</f>
        <v>674807259</v>
      </c>
      <c r="L4963" t="str">
        <f>"674807259"</f>
        <v>674807259</v>
      </c>
      <c r="M4963" t="s">
        <v>84</v>
      </c>
      <c r="N4963" s="1">
        <v>43546.952777777777</v>
      </c>
      <c r="O4963" t="s">
        <v>19</v>
      </c>
    </row>
    <row r="4964" spans="1:15" x14ac:dyDescent="0.25">
      <c r="A4964" t="s">
        <v>3900</v>
      </c>
      <c r="B4964" t="s">
        <v>15</v>
      </c>
      <c r="C4964" t="s">
        <v>27</v>
      </c>
      <c r="D4964" t="s">
        <v>17</v>
      </c>
      <c r="E4964" t="s">
        <v>18</v>
      </c>
      <c r="F4964" t="s">
        <v>19</v>
      </c>
      <c r="G4964" t="s">
        <v>20</v>
      </c>
      <c r="J4964" t="s">
        <v>17</v>
      </c>
      <c r="K4964" t="str">
        <f>"135607259"</f>
        <v>135607259</v>
      </c>
      <c r="L4964" t="str">
        <f>"135607259"</f>
        <v>135607259</v>
      </c>
      <c r="M4964" t="s">
        <v>21</v>
      </c>
      <c r="N4964" s="1">
        <v>44348.851388888892</v>
      </c>
      <c r="O4964" t="s">
        <v>19</v>
      </c>
    </row>
    <row r="4965" spans="1:15" x14ac:dyDescent="0.25">
      <c r="A4965" t="s">
        <v>3901</v>
      </c>
      <c r="B4965" t="s">
        <v>15</v>
      </c>
      <c r="C4965" t="s">
        <v>27</v>
      </c>
      <c r="D4965" t="s">
        <v>17</v>
      </c>
      <c r="E4965" t="s">
        <v>18</v>
      </c>
      <c r="F4965" t="s">
        <v>19</v>
      </c>
      <c r="G4965" t="s">
        <v>20</v>
      </c>
      <c r="J4965" t="s">
        <v>17</v>
      </c>
      <c r="K4965" t="str">
        <f>"174807258"</f>
        <v>174807258</v>
      </c>
      <c r="L4965" t="str">
        <f>"174807258"</f>
        <v>174807258</v>
      </c>
      <c r="M4965" t="s">
        <v>84</v>
      </c>
      <c r="N4965" s="1">
        <v>43419.949305555558</v>
      </c>
      <c r="O4965" t="s">
        <v>19</v>
      </c>
    </row>
    <row r="4966" spans="1:15" x14ac:dyDescent="0.25">
      <c r="A4966" t="s">
        <v>3901</v>
      </c>
      <c r="B4966" t="s">
        <v>15</v>
      </c>
      <c r="C4966" t="s">
        <v>27</v>
      </c>
      <c r="D4966" t="s">
        <v>17</v>
      </c>
      <c r="E4966" t="s">
        <v>18</v>
      </c>
      <c r="F4966" t="s">
        <v>19</v>
      </c>
      <c r="G4966" t="s">
        <v>20</v>
      </c>
      <c r="J4966" t="s">
        <v>17</v>
      </c>
      <c r="K4966" t="str">
        <f>"765107258"</f>
        <v>765107258</v>
      </c>
      <c r="L4966" t="str">
        <f>"765107258"</f>
        <v>765107258</v>
      </c>
      <c r="M4966" t="s">
        <v>84</v>
      </c>
      <c r="N4966" s="1">
        <v>43502.734722222223</v>
      </c>
      <c r="O4966" t="s">
        <v>19</v>
      </c>
    </row>
    <row r="4967" spans="1:15" x14ac:dyDescent="0.25">
      <c r="A4967" t="s">
        <v>3902</v>
      </c>
      <c r="B4967" t="s">
        <v>15</v>
      </c>
      <c r="C4967" t="s">
        <v>27</v>
      </c>
      <c r="D4967" t="s">
        <v>17</v>
      </c>
      <c r="E4967" t="s">
        <v>18</v>
      </c>
      <c r="F4967" t="s">
        <v>19</v>
      </c>
      <c r="G4967" t="s">
        <v>20</v>
      </c>
      <c r="J4967" t="s">
        <v>17</v>
      </c>
      <c r="K4967" t="str">
        <f>"174807600"</f>
        <v>174807600</v>
      </c>
      <c r="L4967" t="str">
        <f>"174807600"</f>
        <v>174807600</v>
      </c>
      <c r="M4967" t="s">
        <v>84</v>
      </c>
      <c r="N4967" s="1">
        <v>43419.95</v>
      </c>
      <c r="O4967" t="s">
        <v>19</v>
      </c>
    </row>
    <row r="4968" spans="1:15" x14ac:dyDescent="0.25">
      <c r="A4968" t="s">
        <v>3902</v>
      </c>
      <c r="B4968" t="s">
        <v>15</v>
      </c>
      <c r="C4968" t="s">
        <v>27</v>
      </c>
      <c r="D4968" t="s">
        <v>17</v>
      </c>
      <c r="E4968" t="s">
        <v>18</v>
      </c>
      <c r="F4968" t="s">
        <v>19</v>
      </c>
      <c r="G4968" t="s">
        <v>20</v>
      </c>
      <c r="J4968" t="s">
        <v>17</v>
      </c>
      <c r="K4968" t="str">
        <f>"1000001100005"</f>
        <v>1000001100005</v>
      </c>
      <c r="L4968" t="str">
        <f>"764807600"</f>
        <v>764807600</v>
      </c>
      <c r="M4968" t="s">
        <v>21</v>
      </c>
      <c r="N4968" s="1">
        <v>43451.671527777777</v>
      </c>
      <c r="O4968" t="s">
        <v>19</v>
      </c>
    </row>
    <row r="4969" spans="1:15" x14ac:dyDescent="0.25">
      <c r="A4969" t="s">
        <v>3902</v>
      </c>
      <c r="B4969" t="s">
        <v>15</v>
      </c>
      <c r="C4969" t="s">
        <v>27</v>
      </c>
      <c r="D4969" t="s">
        <v>17</v>
      </c>
      <c r="E4969" t="s">
        <v>18</v>
      </c>
      <c r="F4969" t="s">
        <v>19</v>
      </c>
      <c r="G4969" t="s">
        <v>20</v>
      </c>
      <c r="J4969" t="s">
        <v>17</v>
      </c>
      <c r="K4969" t="str">
        <f>"674807600"</f>
        <v>674807600</v>
      </c>
      <c r="L4969" t="str">
        <f>"674807600"</f>
        <v>674807600</v>
      </c>
      <c r="M4969" t="s">
        <v>84</v>
      </c>
      <c r="N4969" s="1">
        <v>43546.952777777777</v>
      </c>
      <c r="O4969" t="s">
        <v>19</v>
      </c>
    </row>
    <row r="4970" spans="1:15" x14ac:dyDescent="0.25">
      <c r="A4970" t="s">
        <v>3903</v>
      </c>
      <c r="B4970" t="s">
        <v>15</v>
      </c>
      <c r="C4970" t="s">
        <v>27</v>
      </c>
      <c r="D4970" t="s">
        <v>17</v>
      </c>
      <c r="E4970" t="s">
        <v>18</v>
      </c>
      <c r="F4970" t="s">
        <v>19</v>
      </c>
      <c r="G4970" t="s">
        <v>20</v>
      </c>
      <c r="J4970" t="s">
        <v>17</v>
      </c>
      <c r="K4970" t="str">
        <f>"275832293"</f>
        <v>275832293</v>
      </c>
      <c r="L4970" t="str">
        <f>"275832293"</f>
        <v>275832293</v>
      </c>
      <c r="M4970" t="s">
        <v>75</v>
      </c>
      <c r="N4970" s="1">
        <v>42872.849305555559</v>
      </c>
      <c r="O4970" t="s">
        <v>19</v>
      </c>
    </row>
    <row r="4971" spans="1:15" x14ac:dyDescent="0.25">
      <c r="A4971" t="s">
        <v>3904</v>
      </c>
      <c r="B4971" t="s">
        <v>15</v>
      </c>
      <c r="C4971" t="s">
        <v>27</v>
      </c>
      <c r="D4971" t="s">
        <v>17</v>
      </c>
      <c r="E4971" t="s">
        <v>18</v>
      </c>
      <c r="F4971" t="s">
        <v>19</v>
      </c>
      <c r="G4971" t="s">
        <v>20</v>
      </c>
      <c r="J4971" t="s">
        <v>17</v>
      </c>
      <c r="K4971" t="str">
        <f>"174832233"</f>
        <v>174832233</v>
      </c>
      <c r="L4971" t="str">
        <f>"174832233"</f>
        <v>174832233</v>
      </c>
      <c r="M4971" t="s">
        <v>75</v>
      </c>
      <c r="N4971" s="1">
        <v>42872.849305555559</v>
      </c>
      <c r="O4971" t="s">
        <v>19</v>
      </c>
    </row>
    <row r="4972" spans="1:15" x14ac:dyDescent="0.25">
      <c r="A4972" t="s">
        <v>3905</v>
      </c>
      <c r="B4972" t="s">
        <v>15</v>
      </c>
      <c r="C4972" t="s">
        <v>27</v>
      </c>
      <c r="D4972" t="s">
        <v>17</v>
      </c>
      <c r="E4972" t="s">
        <v>18</v>
      </c>
      <c r="F4972" t="s">
        <v>19</v>
      </c>
      <c r="G4972" t="s">
        <v>20</v>
      </c>
      <c r="J4972" t="s">
        <v>17</v>
      </c>
      <c r="K4972" t="str">
        <f>"174832281"</f>
        <v>174832281</v>
      </c>
      <c r="L4972" t="str">
        <f>"174832281"</f>
        <v>174832281</v>
      </c>
      <c r="M4972" t="s">
        <v>75</v>
      </c>
      <c r="N4972" s="1">
        <v>42872.849305555559</v>
      </c>
      <c r="O4972" t="s">
        <v>19</v>
      </c>
    </row>
    <row r="4973" spans="1:15" x14ac:dyDescent="0.25">
      <c r="A4973" t="s">
        <v>3905</v>
      </c>
      <c r="B4973" t="s">
        <v>15</v>
      </c>
      <c r="C4973" t="s">
        <v>27</v>
      </c>
      <c r="D4973" t="s">
        <v>17</v>
      </c>
      <c r="E4973" t="s">
        <v>18</v>
      </c>
      <c r="F4973" t="s">
        <v>19</v>
      </c>
      <c r="G4973" t="s">
        <v>20</v>
      </c>
      <c r="J4973" t="s">
        <v>17</v>
      </c>
      <c r="K4973" t="str">
        <f>"174832291"</f>
        <v>174832291</v>
      </c>
      <c r="L4973" t="str">
        <f>"174832291"</f>
        <v>174832291</v>
      </c>
      <c r="M4973" t="s">
        <v>75</v>
      </c>
      <c r="N4973" s="1">
        <v>42872.849305555559</v>
      </c>
      <c r="O4973" t="s">
        <v>19</v>
      </c>
    </row>
    <row r="4974" spans="1:15" x14ac:dyDescent="0.25">
      <c r="A4974" t="s">
        <v>3906</v>
      </c>
      <c r="B4974" t="s">
        <v>15</v>
      </c>
      <c r="C4974" t="s">
        <v>27</v>
      </c>
      <c r="D4974" t="s">
        <v>17</v>
      </c>
      <c r="E4974" t="s">
        <v>18</v>
      </c>
      <c r="F4974" t="s">
        <v>19</v>
      </c>
      <c r="G4974" t="s">
        <v>20</v>
      </c>
      <c r="J4974" t="s">
        <v>17</v>
      </c>
      <c r="K4974" t="str">
        <f>"174832214"</f>
        <v>174832214</v>
      </c>
      <c r="L4974" t="str">
        <f>"174832214"</f>
        <v>174832214</v>
      </c>
      <c r="M4974" t="s">
        <v>75</v>
      </c>
      <c r="N4974" s="1">
        <v>42872.849305555559</v>
      </c>
      <c r="O4974" t="s">
        <v>19</v>
      </c>
    </row>
    <row r="4975" spans="1:15" x14ac:dyDescent="0.25">
      <c r="A4975" t="s">
        <v>3906</v>
      </c>
      <c r="B4975" t="s">
        <v>15</v>
      </c>
      <c r="C4975" t="s">
        <v>27</v>
      </c>
      <c r="D4975" t="s">
        <v>17</v>
      </c>
      <c r="E4975" t="s">
        <v>18</v>
      </c>
      <c r="F4975" t="s">
        <v>19</v>
      </c>
      <c r="G4975" t="s">
        <v>20</v>
      </c>
      <c r="J4975" t="s">
        <v>17</v>
      </c>
      <c r="K4975" t="str">
        <f>"764832214"</f>
        <v>764832214</v>
      </c>
      <c r="L4975" t="str">
        <f>"764832214"</f>
        <v>764832214</v>
      </c>
      <c r="M4975" t="s">
        <v>75</v>
      </c>
      <c r="N4975" s="1">
        <v>42872.849305555559</v>
      </c>
      <c r="O4975" t="s">
        <v>19</v>
      </c>
    </row>
    <row r="4976" spans="1:15" x14ac:dyDescent="0.25">
      <c r="A4976" t="s">
        <v>3906</v>
      </c>
      <c r="B4976" t="s">
        <v>15</v>
      </c>
      <c r="C4976" t="s">
        <v>27</v>
      </c>
      <c r="D4976" t="s">
        <v>17</v>
      </c>
      <c r="E4976" t="s">
        <v>18</v>
      </c>
      <c r="F4976" t="s">
        <v>19</v>
      </c>
      <c r="G4976" t="s">
        <v>20</v>
      </c>
      <c r="J4976" t="s">
        <v>17</v>
      </c>
      <c r="K4976" t="str">
        <f>"76483214"</f>
        <v>76483214</v>
      </c>
      <c r="L4976" t="str">
        <f>"76483214"</f>
        <v>76483214</v>
      </c>
      <c r="M4976" t="s">
        <v>75</v>
      </c>
      <c r="N4976" s="1">
        <v>43012.947222222225</v>
      </c>
      <c r="O4976" t="s">
        <v>19</v>
      </c>
    </row>
    <row r="4977" spans="1:15" x14ac:dyDescent="0.25">
      <c r="A4977" t="s">
        <v>3907</v>
      </c>
      <c r="B4977" t="s">
        <v>15</v>
      </c>
      <c r="C4977" t="s">
        <v>27</v>
      </c>
      <c r="D4977" t="s">
        <v>17</v>
      </c>
      <c r="E4977" t="s">
        <v>18</v>
      </c>
      <c r="F4977" t="s">
        <v>19</v>
      </c>
      <c r="G4977" t="s">
        <v>20</v>
      </c>
      <c r="J4977" t="s">
        <v>17</v>
      </c>
      <c r="K4977" t="str">
        <f>"174832295"</f>
        <v>174832295</v>
      </c>
      <c r="L4977" t="str">
        <f>"174832295"</f>
        <v>174832295</v>
      </c>
      <c r="M4977" t="s">
        <v>75</v>
      </c>
      <c r="N4977" s="1">
        <v>42987.688888888886</v>
      </c>
      <c r="O4977" t="s">
        <v>19</v>
      </c>
    </row>
    <row r="4978" spans="1:15" x14ac:dyDescent="0.25">
      <c r="A4978" t="s">
        <v>3908</v>
      </c>
      <c r="B4978" t="s">
        <v>15</v>
      </c>
      <c r="C4978" t="s">
        <v>27</v>
      </c>
      <c r="D4978" t="s">
        <v>17</v>
      </c>
      <c r="E4978" t="s">
        <v>18</v>
      </c>
      <c r="F4978" t="s">
        <v>19</v>
      </c>
      <c r="G4978" t="s">
        <v>20</v>
      </c>
      <c r="J4978" t="s">
        <v>17</v>
      </c>
      <c r="K4978" t="str">
        <f>"767632296"</f>
        <v>767632296</v>
      </c>
      <c r="L4978" t="str">
        <f>"767632296"</f>
        <v>767632296</v>
      </c>
      <c r="M4978" t="s">
        <v>75</v>
      </c>
      <c r="N4978" s="1">
        <v>42872.849305555559</v>
      </c>
      <c r="O4978" t="s">
        <v>19</v>
      </c>
    </row>
    <row r="4979" spans="1:15" x14ac:dyDescent="0.25">
      <c r="A4979" t="s">
        <v>3908</v>
      </c>
      <c r="B4979" t="s">
        <v>15</v>
      </c>
      <c r="C4979" t="s">
        <v>27</v>
      </c>
      <c r="D4979" t="s">
        <v>17</v>
      </c>
      <c r="E4979" t="s">
        <v>18</v>
      </c>
      <c r="F4979" t="s">
        <v>19</v>
      </c>
      <c r="G4979" t="s">
        <v>20</v>
      </c>
      <c r="J4979" t="s">
        <v>17</v>
      </c>
      <c r="K4979" t="str">
        <f>"174832296"</f>
        <v>174832296</v>
      </c>
      <c r="L4979" t="str">
        <f>"174832296"</f>
        <v>174832296</v>
      </c>
      <c r="M4979" t="s">
        <v>75</v>
      </c>
      <c r="N4979" s="1">
        <v>42930.943749999999</v>
      </c>
      <c r="O4979" t="s">
        <v>19</v>
      </c>
    </row>
    <row r="4980" spans="1:15" x14ac:dyDescent="0.25">
      <c r="A4980" t="s">
        <v>3908</v>
      </c>
      <c r="B4980" t="s">
        <v>15</v>
      </c>
      <c r="C4980" t="s">
        <v>27</v>
      </c>
      <c r="D4980" t="s">
        <v>17</v>
      </c>
      <c r="E4980" t="s">
        <v>18</v>
      </c>
      <c r="F4980" t="s">
        <v>19</v>
      </c>
      <c r="G4980" t="s">
        <v>20</v>
      </c>
      <c r="J4980" t="s">
        <v>17</v>
      </c>
      <c r="K4980" t="str">
        <f>"767732296"</f>
        <v>767732296</v>
      </c>
      <c r="L4980" t="str">
        <f>"767732296"</f>
        <v>767732296</v>
      </c>
      <c r="M4980" t="s">
        <v>75</v>
      </c>
      <c r="N4980" s="1">
        <v>42933.718055555553</v>
      </c>
      <c r="O4980" t="s">
        <v>19</v>
      </c>
    </row>
    <row r="4981" spans="1:15" x14ac:dyDescent="0.25">
      <c r="A4981" t="s">
        <v>3909</v>
      </c>
      <c r="B4981" t="s">
        <v>15</v>
      </c>
      <c r="C4981" t="s">
        <v>27</v>
      </c>
      <c r="D4981" t="s">
        <v>17</v>
      </c>
      <c r="E4981" t="s">
        <v>18</v>
      </c>
      <c r="F4981" t="s">
        <v>19</v>
      </c>
      <c r="G4981" t="s">
        <v>20</v>
      </c>
      <c r="J4981" t="s">
        <v>17</v>
      </c>
      <c r="K4981" t="str">
        <f>"174809261"</f>
        <v>174809261</v>
      </c>
      <c r="L4981" t="str">
        <f>"174809261"</f>
        <v>174809261</v>
      </c>
      <c r="M4981" t="s">
        <v>75</v>
      </c>
      <c r="N4981" s="1">
        <v>42872.849305555559</v>
      </c>
      <c r="O4981" t="s">
        <v>19</v>
      </c>
    </row>
    <row r="4982" spans="1:15" x14ac:dyDescent="0.25">
      <c r="A4982" t="s">
        <v>3910</v>
      </c>
      <c r="B4982" t="s">
        <v>15</v>
      </c>
      <c r="C4982" t="s">
        <v>27</v>
      </c>
      <c r="D4982" t="s">
        <v>17</v>
      </c>
      <c r="E4982" t="s">
        <v>18</v>
      </c>
      <c r="F4982" t="s">
        <v>19</v>
      </c>
      <c r="G4982" t="s">
        <v>20</v>
      </c>
      <c r="J4982" t="s">
        <v>17</v>
      </c>
      <c r="K4982" t="str">
        <f>"76480965"</f>
        <v>76480965</v>
      </c>
      <c r="L4982" t="str">
        <f>"76480965"</f>
        <v>76480965</v>
      </c>
      <c r="M4982" t="s">
        <v>75</v>
      </c>
      <c r="N4982" s="1">
        <v>42872.847222222219</v>
      </c>
      <c r="O4982" t="s">
        <v>19</v>
      </c>
    </row>
    <row r="4983" spans="1:15" x14ac:dyDescent="0.25">
      <c r="A4983" t="s">
        <v>3911</v>
      </c>
      <c r="B4983" t="s">
        <v>15</v>
      </c>
      <c r="C4983" t="s">
        <v>27</v>
      </c>
      <c r="D4983" t="s">
        <v>17</v>
      </c>
      <c r="E4983" t="s">
        <v>18</v>
      </c>
      <c r="F4983" t="s">
        <v>19</v>
      </c>
      <c r="G4983" t="s">
        <v>20</v>
      </c>
      <c r="J4983" t="s">
        <v>17</v>
      </c>
      <c r="K4983" t="str">
        <f>"764809107"</f>
        <v>764809107</v>
      </c>
      <c r="L4983" t="str">
        <f>"764809107"</f>
        <v>764809107</v>
      </c>
      <c r="M4983" t="s">
        <v>75</v>
      </c>
      <c r="N4983" s="1">
        <v>42872.849305555559</v>
      </c>
      <c r="O4983" t="s">
        <v>19</v>
      </c>
    </row>
    <row r="4984" spans="1:15" x14ac:dyDescent="0.25">
      <c r="A4984" t="s">
        <v>3912</v>
      </c>
      <c r="B4984" t="s">
        <v>15</v>
      </c>
      <c r="C4984" t="s">
        <v>27</v>
      </c>
      <c r="D4984" t="s">
        <v>17</v>
      </c>
      <c r="E4984" t="s">
        <v>18</v>
      </c>
      <c r="F4984" t="s">
        <v>19</v>
      </c>
      <c r="G4984" t="s">
        <v>20</v>
      </c>
      <c r="J4984" t="s">
        <v>17</v>
      </c>
      <c r="K4984" t="str">
        <f>"110170708"</f>
        <v>110170708</v>
      </c>
      <c r="L4984" t="str">
        <f>"110170708"</f>
        <v>110170708</v>
      </c>
      <c r="M4984" t="s">
        <v>75</v>
      </c>
      <c r="N4984" s="1">
        <v>42872.847222222219</v>
      </c>
      <c r="O4984" t="s">
        <v>19</v>
      </c>
    </row>
    <row r="4985" spans="1:15" x14ac:dyDescent="0.25">
      <c r="A4985" t="s">
        <v>3912</v>
      </c>
      <c r="B4985" t="s">
        <v>15</v>
      </c>
      <c r="C4985" t="s">
        <v>27</v>
      </c>
      <c r="D4985" t="s">
        <v>17</v>
      </c>
      <c r="E4985" t="s">
        <v>18</v>
      </c>
      <c r="F4985" t="s">
        <v>19</v>
      </c>
      <c r="G4985" t="s">
        <v>20</v>
      </c>
      <c r="J4985" t="s">
        <v>17</v>
      </c>
      <c r="K4985" t="str">
        <f>"110172001"</f>
        <v>110172001</v>
      </c>
      <c r="L4985" t="str">
        <f>"110172001"</f>
        <v>110172001</v>
      </c>
      <c r="M4985" t="s">
        <v>75</v>
      </c>
      <c r="N4985" s="1">
        <v>42872.847222222219</v>
      </c>
      <c r="O4985" t="s">
        <v>19</v>
      </c>
    </row>
    <row r="4986" spans="1:15" x14ac:dyDescent="0.25">
      <c r="A4986" t="s">
        <v>3913</v>
      </c>
      <c r="B4986" t="s">
        <v>15</v>
      </c>
      <c r="C4986" t="s">
        <v>27</v>
      </c>
      <c r="D4986" t="s">
        <v>17</v>
      </c>
      <c r="E4986" t="s">
        <v>18</v>
      </c>
      <c r="F4986" t="s">
        <v>19</v>
      </c>
      <c r="G4986" t="s">
        <v>20</v>
      </c>
      <c r="J4986" t="s">
        <v>17</v>
      </c>
      <c r="K4986" t="str">
        <f>"174809130"</f>
        <v>174809130</v>
      </c>
      <c r="L4986" t="str">
        <f>"174809130"</f>
        <v>174809130</v>
      </c>
      <c r="M4986" t="s">
        <v>75</v>
      </c>
      <c r="N4986" s="1">
        <v>42872.849305555559</v>
      </c>
      <c r="O4986" t="s">
        <v>19</v>
      </c>
    </row>
    <row r="4987" spans="1:15" x14ac:dyDescent="0.25">
      <c r="A4987" t="s">
        <v>3914</v>
      </c>
      <c r="B4987" t="s">
        <v>15</v>
      </c>
      <c r="C4987" t="s">
        <v>27</v>
      </c>
      <c r="D4987" t="s">
        <v>17</v>
      </c>
      <c r="E4987" t="s">
        <v>18</v>
      </c>
      <c r="F4987" t="s">
        <v>19</v>
      </c>
      <c r="G4987" t="s">
        <v>20</v>
      </c>
      <c r="J4987" t="s">
        <v>17</v>
      </c>
      <c r="K4987" t="str">
        <f>"76580965"</f>
        <v>76580965</v>
      </c>
      <c r="L4987" t="str">
        <f>"76580965"</f>
        <v>76580965</v>
      </c>
      <c r="M4987" t="s">
        <v>75</v>
      </c>
      <c r="N4987" s="1">
        <v>42872.847222222219</v>
      </c>
      <c r="O4987" t="s">
        <v>19</v>
      </c>
    </row>
    <row r="4988" spans="1:15" x14ac:dyDescent="0.25">
      <c r="A4988" t="s">
        <v>3915</v>
      </c>
      <c r="B4988" t="s">
        <v>15</v>
      </c>
      <c r="C4988" t="s">
        <v>27</v>
      </c>
      <c r="D4988" t="s">
        <v>17</v>
      </c>
      <c r="E4988" t="s">
        <v>18</v>
      </c>
      <c r="F4988" t="s">
        <v>19</v>
      </c>
      <c r="G4988" t="s">
        <v>20</v>
      </c>
      <c r="J4988" t="s">
        <v>17</v>
      </c>
      <c r="K4988" t="str">
        <f>"76470966"</f>
        <v>76470966</v>
      </c>
      <c r="L4988" t="str">
        <f>"76470966"</f>
        <v>76470966</v>
      </c>
      <c r="M4988" t="s">
        <v>75</v>
      </c>
      <c r="N4988" s="1">
        <v>42872.847222222219</v>
      </c>
      <c r="O4988" t="s">
        <v>19</v>
      </c>
    </row>
    <row r="4989" spans="1:15" x14ac:dyDescent="0.25">
      <c r="A4989" t="s">
        <v>3915</v>
      </c>
      <c r="B4989" t="s">
        <v>15</v>
      </c>
      <c r="C4989" t="s">
        <v>27</v>
      </c>
      <c r="D4989" t="s">
        <v>17</v>
      </c>
      <c r="E4989" t="s">
        <v>18</v>
      </c>
      <c r="F4989" t="s">
        <v>19</v>
      </c>
      <c r="G4989" t="s">
        <v>20</v>
      </c>
      <c r="J4989" t="s">
        <v>17</v>
      </c>
      <c r="K4989" t="str">
        <f>"76480966"</f>
        <v>76480966</v>
      </c>
      <c r="L4989" t="str">
        <f>"76480966"</f>
        <v>76480966</v>
      </c>
      <c r="M4989" t="s">
        <v>75</v>
      </c>
      <c r="N4989" s="1">
        <v>42872.847222222219</v>
      </c>
      <c r="O4989" t="s">
        <v>19</v>
      </c>
    </row>
    <row r="4990" spans="1:15" x14ac:dyDescent="0.25">
      <c r="A4990" t="s">
        <v>3916</v>
      </c>
      <c r="B4990" t="s">
        <v>15</v>
      </c>
      <c r="C4990" t="s">
        <v>27</v>
      </c>
      <c r="D4990" t="s">
        <v>17</v>
      </c>
      <c r="E4990" t="s">
        <v>18</v>
      </c>
      <c r="F4990" t="s">
        <v>19</v>
      </c>
      <c r="G4990" t="s">
        <v>20</v>
      </c>
      <c r="J4990" t="s">
        <v>17</v>
      </c>
      <c r="K4990" t="str">
        <f>"17480951"</f>
        <v>17480951</v>
      </c>
      <c r="L4990" t="str">
        <f>"17480951"</f>
        <v>17480951</v>
      </c>
      <c r="M4990" t="s">
        <v>75</v>
      </c>
      <c r="N4990" s="1">
        <v>42872.839583333334</v>
      </c>
      <c r="O4990" t="s">
        <v>19</v>
      </c>
    </row>
    <row r="4991" spans="1:15" x14ac:dyDescent="0.25">
      <c r="A4991" t="s">
        <v>3916</v>
      </c>
      <c r="B4991" t="s">
        <v>15</v>
      </c>
      <c r="C4991" t="s">
        <v>27</v>
      </c>
      <c r="D4991" t="s">
        <v>17</v>
      </c>
      <c r="E4991" t="s">
        <v>18</v>
      </c>
      <c r="F4991" t="s">
        <v>19</v>
      </c>
      <c r="G4991" t="s">
        <v>20</v>
      </c>
      <c r="J4991" t="s">
        <v>17</v>
      </c>
      <c r="K4991" t="str">
        <f>"17480989"</f>
        <v>17480989</v>
      </c>
      <c r="L4991" t="str">
        <f>"17480989"</f>
        <v>17480989</v>
      </c>
      <c r="M4991" t="s">
        <v>75</v>
      </c>
      <c r="N4991" s="1">
        <v>42872.839583333334</v>
      </c>
      <c r="O4991" t="s">
        <v>19</v>
      </c>
    </row>
    <row r="4992" spans="1:15" x14ac:dyDescent="0.25">
      <c r="A4992" t="s">
        <v>3916</v>
      </c>
      <c r="B4992" t="s">
        <v>15</v>
      </c>
      <c r="C4992" t="s">
        <v>27</v>
      </c>
      <c r="D4992" t="s">
        <v>17</v>
      </c>
      <c r="E4992" t="s">
        <v>18</v>
      </c>
      <c r="F4992" t="s">
        <v>19</v>
      </c>
      <c r="G4992" t="s">
        <v>20</v>
      </c>
      <c r="J4992" t="s">
        <v>17</v>
      </c>
      <c r="K4992" t="str">
        <f>"76480951"</f>
        <v>76480951</v>
      </c>
      <c r="L4992" t="str">
        <f>"76480951"</f>
        <v>76480951</v>
      </c>
      <c r="M4992" t="s">
        <v>75</v>
      </c>
      <c r="N4992" s="1">
        <v>42872.847222222219</v>
      </c>
      <c r="O4992" t="s">
        <v>19</v>
      </c>
    </row>
    <row r="4993" spans="1:15" x14ac:dyDescent="0.25">
      <c r="A4993" t="s">
        <v>3917</v>
      </c>
      <c r="B4993" t="s">
        <v>15</v>
      </c>
      <c r="C4993" t="s">
        <v>27</v>
      </c>
      <c r="D4993" t="s">
        <v>17</v>
      </c>
      <c r="E4993" t="s">
        <v>18</v>
      </c>
      <c r="F4993" t="s">
        <v>19</v>
      </c>
      <c r="G4993" t="s">
        <v>20</v>
      </c>
      <c r="J4993" t="s">
        <v>17</v>
      </c>
      <c r="K4993" t="str">
        <f>"76480989"</f>
        <v>76480989</v>
      </c>
      <c r="L4993" t="str">
        <f>"76480989"</f>
        <v>76480989</v>
      </c>
      <c r="M4993" t="s">
        <v>75</v>
      </c>
      <c r="N4993" s="1">
        <v>42872.847222222219</v>
      </c>
      <c r="O4993" t="s">
        <v>19</v>
      </c>
    </row>
    <row r="4994" spans="1:15" x14ac:dyDescent="0.25">
      <c r="A4994" t="s">
        <v>3918</v>
      </c>
      <c r="B4994" t="s">
        <v>15</v>
      </c>
      <c r="C4994" t="s">
        <v>27</v>
      </c>
      <c r="D4994" t="s">
        <v>17</v>
      </c>
      <c r="E4994" t="s">
        <v>18</v>
      </c>
      <c r="F4994" t="s">
        <v>19</v>
      </c>
      <c r="G4994" t="s">
        <v>20</v>
      </c>
      <c r="J4994" t="s">
        <v>17</v>
      </c>
      <c r="K4994" t="str">
        <f>"17480956"</f>
        <v>17480956</v>
      </c>
      <c r="L4994" t="str">
        <f>"17480956"</f>
        <v>17480956</v>
      </c>
      <c r="M4994" t="s">
        <v>75</v>
      </c>
      <c r="N4994" s="1">
        <v>42872.839583333334</v>
      </c>
      <c r="O4994" t="s">
        <v>19</v>
      </c>
    </row>
    <row r="4995" spans="1:15" x14ac:dyDescent="0.25">
      <c r="A4995" t="s">
        <v>3918</v>
      </c>
      <c r="B4995" t="s">
        <v>15</v>
      </c>
      <c r="C4995" t="s">
        <v>27</v>
      </c>
      <c r="D4995" t="s">
        <v>17</v>
      </c>
      <c r="E4995" t="s">
        <v>18</v>
      </c>
      <c r="F4995" t="s">
        <v>19</v>
      </c>
      <c r="G4995" t="s">
        <v>20</v>
      </c>
      <c r="J4995" t="s">
        <v>17</v>
      </c>
      <c r="K4995" t="str">
        <f>"76480956"</f>
        <v>76480956</v>
      </c>
      <c r="L4995" t="str">
        <f>"76480956"</f>
        <v>76480956</v>
      </c>
      <c r="M4995" t="s">
        <v>75</v>
      </c>
      <c r="N4995" s="1">
        <v>42872.847222222219</v>
      </c>
      <c r="O4995" t="s">
        <v>19</v>
      </c>
    </row>
    <row r="4996" spans="1:15" x14ac:dyDescent="0.25">
      <c r="A4996" t="s">
        <v>3919</v>
      </c>
      <c r="B4996" t="s">
        <v>15</v>
      </c>
      <c r="C4996" t="s">
        <v>27</v>
      </c>
      <c r="D4996" t="s">
        <v>17</v>
      </c>
      <c r="E4996" t="s">
        <v>18</v>
      </c>
      <c r="F4996" t="s">
        <v>19</v>
      </c>
      <c r="G4996" t="s">
        <v>20</v>
      </c>
      <c r="J4996" t="s">
        <v>17</v>
      </c>
      <c r="K4996" t="str">
        <f>"17480952"</f>
        <v>17480952</v>
      </c>
      <c r="L4996" t="str">
        <f>"17480952"</f>
        <v>17480952</v>
      </c>
      <c r="M4996" t="s">
        <v>75</v>
      </c>
      <c r="N4996" s="1">
        <v>42872.839583333334</v>
      </c>
      <c r="O4996" t="s">
        <v>19</v>
      </c>
    </row>
    <row r="4997" spans="1:15" x14ac:dyDescent="0.25">
      <c r="A4997" t="s">
        <v>3919</v>
      </c>
      <c r="B4997" t="s">
        <v>15</v>
      </c>
      <c r="C4997" t="s">
        <v>27</v>
      </c>
      <c r="D4997" t="s">
        <v>17</v>
      </c>
      <c r="E4997" t="s">
        <v>18</v>
      </c>
      <c r="F4997" t="s">
        <v>19</v>
      </c>
      <c r="G4997" t="s">
        <v>20</v>
      </c>
      <c r="J4997" t="s">
        <v>17</v>
      </c>
      <c r="K4997" t="str">
        <f>"76580952"</f>
        <v>76580952</v>
      </c>
      <c r="L4997" t="str">
        <f>"76580952"</f>
        <v>76580952</v>
      </c>
      <c r="M4997" t="s">
        <v>75</v>
      </c>
      <c r="N4997" s="1">
        <v>42872.847222222219</v>
      </c>
      <c r="O4997" t="s">
        <v>19</v>
      </c>
    </row>
    <row r="4998" spans="1:15" x14ac:dyDescent="0.25">
      <c r="A4998" t="s">
        <v>3919</v>
      </c>
      <c r="B4998" t="s">
        <v>15</v>
      </c>
      <c r="C4998" t="s">
        <v>27</v>
      </c>
      <c r="D4998" t="s">
        <v>17</v>
      </c>
      <c r="E4998" t="s">
        <v>18</v>
      </c>
      <c r="F4998" t="s">
        <v>19</v>
      </c>
      <c r="G4998" t="s">
        <v>20</v>
      </c>
      <c r="J4998" t="s">
        <v>17</v>
      </c>
      <c r="K4998" t="str">
        <f>"174809154"</f>
        <v>174809154</v>
      </c>
      <c r="L4998" t="str">
        <f>"174809154"</f>
        <v>174809154</v>
      </c>
      <c r="M4998" t="s">
        <v>75</v>
      </c>
      <c r="N4998" s="1">
        <v>42872.849305555559</v>
      </c>
      <c r="O4998" t="s">
        <v>19</v>
      </c>
    </row>
    <row r="4999" spans="1:15" x14ac:dyDescent="0.25">
      <c r="A4999" t="s">
        <v>3919</v>
      </c>
      <c r="B4999" t="s">
        <v>15</v>
      </c>
      <c r="C4999" t="s">
        <v>27</v>
      </c>
      <c r="D4999" t="s">
        <v>17</v>
      </c>
      <c r="E4999" t="s">
        <v>18</v>
      </c>
      <c r="F4999" t="s">
        <v>19</v>
      </c>
      <c r="G4999" t="s">
        <v>20</v>
      </c>
      <c r="J4999" t="s">
        <v>17</v>
      </c>
      <c r="K4999" t="str">
        <f>"174810952"</f>
        <v>174810952</v>
      </c>
      <c r="L4999" t="str">
        <f>"174810952"</f>
        <v>174810952</v>
      </c>
      <c r="M4999" t="s">
        <v>75</v>
      </c>
      <c r="N4999" s="1">
        <v>42872.849305555559</v>
      </c>
      <c r="O4999" t="s">
        <v>19</v>
      </c>
    </row>
    <row r="5000" spans="1:15" x14ac:dyDescent="0.25">
      <c r="A5000" t="s">
        <v>3919</v>
      </c>
      <c r="B5000" t="s">
        <v>15</v>
      </c>
      <c r="C5000" t="s">
        <v>27</v>
      </c>
      <c r="D5000" t="s">
        <v>17</v>
      </c>
      <c r="E5000" t="s">
        <v>18</v>
      </c>
      <c r="F5000" t="s">
        <v>19</v>
      </c>
      <c r="G5000" t="s">
        <v>20</v>
      </c>
      <c r="J5000" t="s">
        <v>17</v>
      </c>
      <c r="K5000" t="str">
        <f>"344809154"</f>
        <v>344809154</v>
      </c>
      <c r="L5000" t="str">
        <f>"344809154"</f>
        <v>344809154</v>
      </c>
      <c r="M5000" t="s">
        <v>75</v>
      </c>
      <c r="N5000" s="1">
        <v>42872.849305555559</v>
      </c>
      <c r="O5000" t="s">
        <v>19</v>
      </c>
    </row>
    <row r="5001" spans="1:15" x14ac:dyDescent="0.25">
      <c r="A5001" t="s">
        <v>3919</v>
      </c>
      <c r="B5001" t="s">
        <v>15</v>
      </c>
      <c r="C5001" t="s">
        <v>27</v>
      </c>
      <c r="D5001" t="s">
        <v>17</v>
      </c>
      <c r="E5001" t="s">
        <v>18</v>
      </c>
      <c r="F5001" t="s">
        <v>19</v>
      </c>
      <c r="G5001" t="s">
        <v>20</v>
      </c>
      <c r="J5001" t="s">
        <v>17</v>
      </c>
      <c r="K5001" t="str">
        <f>"764809154"</f>
        <v>764809154</v>
      </c>
      <c r="L5001" t="str">
        <f>"764809154"</f>
        <v>764809154</v>
      </c>
      <c r="M5001" t="s">
        <v>75</v>
      </c>
      <c r="N5001" s="1">
        <v>42872.849305555559</v>
      </c>
      <c r="O5001" t="s">
        <v>19</v>
      </c>
    </row>
    <row r="5002" spans="1:15" x14ac:dyDescent="0.25">
      <c r="A5002" t="s">
        <v>3920</v>
      </c>
      <c r="B5002" t="s">
        <v>15</v>
      </c>
      <c r="C5002" t="s">
        <v>27</v>
      </c>
      <c r="D5002" t="s">
        <v>17</v>
      </c>
      <c r="E5002" t="s">
        <v>18</v>
      </c>
      <c r="F5002" t="s">
        <v>19</v>
      </c>
      <c r="G5002" t="s">
        <v>20</v>
      </c>
      <c r="J5002" t="s">
        <v>17</v>
      </c>
      <c r="K5002" t="str">
        <f>"174809205"</f>
        <v>174809205</v>
      </c>
      <c r="L5002" t="str">
        <f>"174809205"</f>
        <v>174809205</v>
      </c>
      <c r="M5002" t="s">
        <v>75</v>
      </c>
      <c r="N5002" s="1">
        <v>42872.849305555559</v>
      </c>
      <c r="O5002" t="s">
        <v>19</v>
      </c>
    </row>
    <row r="5003" spans="1:15" x14ac:dyDescent="0.25">
      <c r="A5003" t="s">
        <v>3921</v>
      </c>
      <c r="B5003" t="s">
        <v>15</v>
      </c>
      <c r="C5003" t="s">
        <v>27</v>
      </c>
      <c r="D5003" t="s">
        <v>17</v>
      </c>
      <c r="E5003" t="s">
        <v>18</v>
      </c>
      <c r="F5003" t="s">
        <v>19</v>
      </c>
      <c r="G5003" t="s">
        <v>20</v>
      </c>
      <c r="J5003" t="s">
        <v>17</v>
      </c>
      <c r="K5003" t="str">
        <f>"174709221"</f>
        <v>174709221</v>
      </c>
      <c r="L5003" t="str">
        <f>"174709221"</f>
        <v>174709221</v>
      </c>
      <c r="M5003" t="s">
        <v>75</v>
      </c>
      <c r="N5003" s="1">
        <v>42872.849305555559</v>
      </c>
      <c r="O5003" t="s">
        <v>19</v>
      </c>
    </row>
    <row r="5004" spans="1:15" x14ac:dyDescent="0.25">
      <c r="A5004" t="s">
        <v>3921</v>
      </c>
      <c r="B5004" t="s">
        <v>15</v>
      </c>
      <c r="C5004" t="s">
        <v>27</v>
      </c>
      <c r="D5004" t="s">
        <v>17</v>
      </c>
      <c r="E5004" t="s">
        <v>18</v>
      </c>
      <c r="F5004" t="s">
        <v>19</v>
      </c>
      <c r="G5004" t="s">
        <v>20</v>
      </c>
      <c r="J5004" t="s">
        <v>17</v>
      </c>
      <c r="K5004" t="str">
        <f>"174809221"</f>
        <v>174809221</v>
      </c>
      <c r="L5004" t="str">
        <f>"174809221"</f>
        <v>174809221</v>
      </c>
      <c r="M5004" t="s">
        <v>75</v>
      </c>
      <c r="N5004" s="1">
        <v>42872.849305555559</v>
      </c>
      <c r="O5004" t="s">
        <v>19</v>
      </c>
    </row>
    <row r="5005" spans="1:15" x14ac:dyDescent="0.25">
      <c r="A5005" t="s">
        <v>3921</v>
      </c>
      <c r="B5005" t="s">
        <v>15</v>
      </c>
      <c r="C5005" t="s">
        <v>27</v>
      </c>
      <c r="D5005" t="s">
        <v>17</v>
      </c>
      <c r="E5005" t="s">
        <v>18</v>
      </c>
      <c r="F5005" t="s">
        <v>19</v>
      </c>
      <c r="G5005" t="s">
        <v>20</v>
      </c>
      <c r="J5005" t="s">
        <v>17</v>
      </c>
      <c r="K5005" t="str">
        <f>"175809221"</f>
        <v>175809221</v>
      </c>
      <c r="L5005" t="str">
        <f>"175809221"</f>
        <v>175809221</v>
      </c>
      <c r="M5005" t="s">
        <v>75</v>
      </c>
      <c r="N5005" s="1">
        <v>42872.849305555559</v>
      </c>
      <c r="O5005" t="s">
        <v>19</v>
      </c>
    </row>
    <row r="5006" spans="1:15" x14ac:dyDescent="0.25">
      <c r="A5006" t="s">
        <v>3921</v>
      </c>
      <c r="B5006" t="s">
        <v>15</v>
      </c>
      <c r="C5006" t="s">
        <v>27</v>
      </c>
      <c r="D5006" t="s">
        <v>17</v>
      </c>
      <c r="E5006" t="s">
        <v>18</v>
      </c>
      <c r="F5006" t="s">
        <v>19</v>
      </c>
      <c r="G5006" t="s">
        <v>20</v>
      </c>
      <c r="J5006" t="s">
        <v>17</v>
      </c>
      <c r="K5006" t="str">
        <f>"764809221"</f>
        <v>764809221</v>
      </c>
      <c r="L5006" t="str">
        <f>"764809221"</f>
        <v>764809221</v>
      </c>
      <c r="M5006" t="s">
        <v>75</v>
      </c>
      <c r="N5006" s="1">
        <v>42872.849305555559</v>
      </c>
      <c r="O5006" t="s">
        <v>19</v>
      </c>
    </row>
    <row r="5007" spans="1:15" x14ac:dyDescent="0.25">
      <c r="A5007" t="s">
        <v>3921</v>
      </c>
      <c r="B5007" t="s">
        <v>15</v>
      </c>
      <c r="C5007" t="s">
        <v>27</v>
      </c>
      <c r="D5007" t="s">
        <v>17</v>
      </c>
      <c r="E5007" t="s">
        <v>18</v>
      </c>
      <c r="F5007" t="s">
        <v>19</v>
      </c>
      <c r="G5007" t="s">
        <v>20</v>
      </c>
      <c r="J5007" t="s">
        <v>17</v>
      </c>
      <c r="K5007" t="str">
        <f>"764890221"</f>
        <v>764890221</v>
      </c>
      <c r="L5007" t="str">
        <f>"764890221"</f>
        <v>764890221</v>
      </c>
      <c r="M5007" t="s">
        <v>75</v>
      </c>
      <c r="N5007" s="1">
        <v>42872.849305555559</v>
      </c>
      <c r="O5007" t="s">
        <v>19</v>
      </c>
    </row>
    <row r="5008" spans="1:15" x14ac:dyDescent="0.25">
      <c r="A5008" t="s">
        <v>3921</v>
      </c>
      <c r="B5008" t="s">
        <v>15</v>
      </c>
      <c r="C5008" t="s">
        <v>27</v>
      </c>
      <c r="D5008" t="s">
        <v>17</v>
      </c>
      <c r="E5008" t="s">
        <v>18</v>
      </c>
      <c r="F5008" t="s">
        <v>19</v>
      </c>
      <c r="G5008" t="s">
        <v>20</v>
      </c>
      <c r="J5008" t="s">
        <v>17</v>
      </c>
      <c r="K5008" t="str">
        <f>"767509221"</f>
        <v>767509221</v>
      </c>
      <c r="L5008" t="str">
        <f>"767509221"</f>
        <v>767509221</v>
      </c>
      <c r="M5008" t="s">
        <v>75</v>
      </c>
      <c r="N5008" s="1">
        <v>42872.849305555559</v>
      </c>
      <c r="O5008" t="s">
        <v>19</v>
      </c>
    </row>
    <row r="5009" spans="1:15" x14ac:dyDescent="0.25">
      <c r="A5009" t="s">
        <v>3921</v>
      </c>
      <c r="B5009" t="s">
        <v>15</v>
      </c>
      <c r="C5009" t="s">
        <v>27</v>
      </c>
      <c r="D5009" t="s">
        <v>17</v>
      </c>
      <c r="E5009" t="s">
        <v>18</v>
      </c>
      <c r="F5009" t="s">
        <v>19</v>
      </c>
      <c r="G5009" t="s">
        <v>20</v>
      </c>
      <c r="J5009" t="s">
        <v>17</v>
      </c>
      <c r="K5009" t="str">
        <f>"767609221"</f>
        <v>767609221</v>
      </c>
      <c r="L5009" t="str">
        <f>"767609221"</f>
        <v>767609221</v>
      </c>
      <c r="M5009" t="s">
        <v>75</v>
      </c>
      <c r="N5009" s="1">
        <v>42872.849305555559</v>
      </c>
      <c r="O5009" t="s">
        <v>19</v>
      </c>
    </row>
    <row r="5010" spans="1:15" x14ac:dyDescent="0.25">
      <c r="A5010" t="s">
        <v>3921</v>
      </c>
      <c r="B5010" t="s">
        <v>15</v>
      </c>
      <c r="C5010" t="s">
        <v>27</v>
      </c>
      <c r="D5010" t="s">
        <v>17</v>
      </c>
      <c r="E5010" t="s">
        <v>18</v>
      </c>
      <c r="F5010" t="s">
        <v>19</v>
      </c>
      <c r="G5010" t="s">
        <v>20</v>
      </c>
      <c r="J5010" t="s">
        <v>17</v>
      </c>
      <c r="K5010" t="str">
        <f>"767709221"</f>
        <v>767709221</v>
      </c>
      <c r="L5010" t="str">
        <f>"767709221"</f>
        <v>767709221</v>
      </c>
      <c r="M5010" t="s">
        <v>75</v>
      </c>
      <c r="N5010" s="1">
        <v>42872.849305555559</v>
      </c>
      <c r="O5010" t="s">
        <v>19</v>
      </c>
    </row>
    <row r="5011" spans="1:15" x14ac:dyDescent="0.25">
      <c r="A5011" t="s">
        <v>3921</v>
      </c>
      <c r="B5011" t="s">
        <v>15</v>
      </c>
      <c r="C5011" t="s">
        <v>27</v>
      </c>
      <c r="D5011" t="s">
        <v>17</v>
      </c>
      <c r="E5011" t="s">
        <v>18</v>
      </c>
      <c r="F5011" t="s">
        <v>19</v>
      </c>
      <c r="G5011" t="s">
        <v>20</v>
      </c>
      <c r="J5011" t="s">
        <v>17</v>
      </c>
      <c r="K5011" t="str">
        <f>"684809221"</f>
        <v>684809221</v>
      </c>
      <c r="L5011" t="str">
        <f>"684809221"</f>
        <v>684809221</v>
      </c>
      <c r="M5011" t="s">
        <v>75</v>
      </c>
      <c r="N5011" s="1">
        <v>43083.884722222225</v>
      </c>
      <c r="O5011" t="s">
        <v>19</v>
      </c>
    </row>
    <row r="5012" spans="1:15" x14ac:dyDescent="0.25">
      <c r="A5012" t="s">
        <v>3921</v>
      </c>
      <c r="B5012" t="s">
        <v>15</v>
      </c>
      <c r="C5012" t="s">
        <v>27</v>
      </c>
      <c r="D5012" t="s">
        <v>17</v>
      </c>
      <c r="E5012" t="s">
        <v>18</v>
      </c>
      <c r="F5012" t="s">
        <v>19</v>
      </c>
      <c r="G5012" t="s">
        <v>20</v>
      </c>
      <c r="J5012" t="s">
        <v>17</v>
      </c>
      <c r="K5012" t="str">
        <f>"763909221"</f>
        <v>763909221</v>
      </c>
      <c r="L5012" t="str">
        <f>"763909221"</f>
        <v>763909221</v>
      </c>
      <c r="M5012" t="s">
        <v>75</v>
      </c>
      <c r="N5012" s="1">
        <v>43196.887499999997</v>
      </c>
      <c r="O5012" t="s">
        <v>19</v>
      </c>
    </row>
    <row r="5013" spans="1:15" x14ac:dyDescent="0.25">
      <c r="A5013" t="s">
        <v>3921</v>
      </c>
      <c r="B5013" t="s">
        <v>15</v>
      </c>
      <c r="C5013" t="s">
        <v>27</v>
      </c>
      <c r="D5013" t="s">
        <v>17</v>
      </c>
      <c r="E5013" t="s">
        <v>18</v>
      </c>
      <c r="F5013" t="s">
        <v>19</v>
      </c>
      <c r="G5013" t="s">
        <v>20</v>
      </c>
      <c r="J5013" t="s">
        <v>17</v>
      </c>
      <c r="K5013" t="str">
        <f>"765109221"</f>
        <v>765109221</v>
      </c>
      <c r="L5013" t="str">
        <f>"765109221"</f>
        <v>765109221</v>
      </c>
      <c r="M5013" t="s">
        <v>75</v>
      </c>
      <c r="N5013" s="1">
        <v>43218.89166666667</v>
      </c>
      <c r="O5013" t="s">
        <v>19</v>
      </c>
    </row>
    <row r="5014" spans="1:15" x14ac:dyDescent="0.25">
      <c r="A5014" t="s">
        <v>3921</v>
      </c>
      <c r="B5014" t="s">
        <v>15</v>
      </c>
      <c r="C5014" t="s">
        <v>27</v>
      </c>
      <c r="D5014" t="s">
        <v>17</v>
      </c>
      <c r="E5014" t="s">
        <v>18</v>
      </c>
      <c r="F5014" t="s">
        <v>19</v>
      </c>
      <c r="G5014" t="s">
        <v>20</v>
      </c>
      <c r="J5014" t="s">
        <v>17</v>
      </c>
      <c r="K5014" t="str">
        <f>"765909221"</f>
        <v>765909221</v>
      </c>
      <c r="L5014" t="str">
        <f>"765909221"</f>
        <v>765909221</v>
      </c>
      <c r="M5014" t="s">
        <v>75</v>
      </c>
      <c r="N5014" s="1">
        <v>43236.911805555559</v>
      </c>
      <c r="O5014" t="s">
        <v>19</v>
      </c>
    </row>
    <row r="5015" spans="1:15" x14ac:dyDescent="0.25">
      <c r="A5015" t="s">
        <v>3922</v>
      </c>
      <c r="B5015" t="s">
        <v>15</v>
      </c>
      <c r="C5015" t="s">
        <v>27</v>
      </c>
      <c r="D5015" t="s">
        <v>17</v>
      </c>
      <c r="E5015" t="s">
        <v>18</v>
      </c>
      <c r="F5015" t="s">
        <v>19</v>
      </c>
      <c r="G5015" t="s">
        <v>20</v>
      </c>
      <c r="J5015" t="s">
        <v>17</v>
      </c>
      <c r="K5015" t="str">
        <f>"764809293"</f>
        <v>764809293</v>
      </c>
      <c r="L5015" t="str">
        <f>"764809293"</f>
        <v>764809293</v>
      </c>
      <c r="M5015" t="s">
        <v>75</v>
      </c>
      <c r="N5015" s="1">
        <v>42959.727777777778</v>
      </c>
      <c r="O5015" t="s">
        <v>19</v>
      </c>
    </row>
    <row r="5016" spans="1:15" x14ac:dyDescent="0.25">
      <c r="A5016" t="s">
        <v>3922</v>
      </c>
      <c r="B5016" t="s">
        <v>15</v>
      </c>
      <c r="C5016" t="s">
        <v>27</v>
      </c>
      <c r="D5016" t="s">
        <v>17</v>
      </c>
      <c r="E5016" t="s">
        <v>18</v>
      </c>
      <c r="F5016" t="s">
        <v>19</v>
      </c>
      <c r="G5016" t="s">
        <v>20</v>
      </c>
      <c r="J5016" t="s">
        <v>17</v>
      </c>
      <c r="K5016" t="str">
        <f>"174809293"</f>
        <v>174809293</v>
      </c>
      <c r="L5016" t="str">
        <f>"174809293"</f>
        <v>174809293</v>
      </c>
      <c r="M5016" t="s">
        <v>75</v>
      </c>
      <c r="N5016" s="1">
        <v>42987.679166666669</v>
      </c>
      <c r="O5016" t="s">
        <v>19</v>
      </c>
    </row>
    <row r="5017" spans="1:15" x14ac:dyDescent="0.25">
      <c r="A5017" t="s">
        <v>3922</v>
      </c>
      <c r="B5017" t="s">
        <v>15</v>
      </c>
      <c r="C5017" t="s">
        <v>27</v>
      </c>
      <c r="D5017" t="s">
        <v>17</v>
      </c>
      <c r="E5017" t="s">
        <v>18</v>
      </c>
      <c r="F5017" t="s">
        <v>19</v>
      </c>
      <c r="G5017" t="s">
        <v>20</v>
      </c>
      <c r="J5017" t="s">
        <v>17</v>
      </c>
      <c r="K5017" t="str">
        <f>"765109293"</f>
        <v>765109293</v>
      </c>
      <c r="L5017" t="str">
        <f>"765109293"</f>
        <v>765109293</v>
      </c>
      <c r="M5017" t="s">
        <v>75</v>
      </c>
      <c r="N5017" s="1">
        <v>43148.654166666667</v>
      </c>
      <c r="O5017" t="s">
        <v>19</v>
      </c>
    </row>
    <row r="5018" spans="1:15" x14ac:dyDescent="0.25">
      <c r="A5018" t="s">
        <v>3922</v>
      </c>
      <c r="B5018" t="s">
        <v>15</v>
      </c>
      <c r="C5018" t="s">
        <v>27</v>
      </c>
      <c r="D5018" t="s">
        <v>17</v>
      </c>
      <c r="E5018" t="s">
        <v>18</v>
      </c>
      <c r="F5018" t="s">
        <v>19</v>
      </c>
      <c r="G5018" t="s">
        <v>20</v>
      </c>
      <c r="J5018" t="s">
        <v>17</v>
      </c>
      <c r="K5018" t="str">
        <f>"1000000506157"</f>
        <v>1000000506157</v>
      </c>
      <c r="L5018" t="str">
        <f>"763909293"</f>
        <v>763909293</v>
      </c>
      <c r="M5018" t="s">
        <v>84</v>
      </c>
      <c r="N5018" s="1">
        <v>43236.909722222219</v>
      </c>
      <c r="O5018" t="s">
        <v>19</v>
      </c>
    </row>
    <row r="5019" spans="1:15" x14ac:dyDescent="0.25">
      <c r="A5019" t="s">
        <v>3922</v>
      </c>
      <c r="B5019" t="s">
        <v>15</v>
      </c>
      <c r="C5019" t="s">
        <v>27</v>
      </c>
      <c r="D5019" t="s">
        <v>17</v>
      </c>
      <c r="E5019" t="s">
        <v>18</v>
      </c>
      <c r="F5019" t="s">
        <v>19</v>
      </c>
      <c r="G5019" t="s">
        <v>20</v>
      </c>
      <c r="J5019" t="s">
        <v>17</v>
      </c>
      <c r="K5019" t="str">
        <f>"766409293"</f>
        <v>766409293</v>
      </c>
      <c r="L5019" t="str">
        <f>"766409293"</f>
        <v>766409293</v>
      </c>
      <c r="M5019" t="s">
        <v>84</v>
      </c>
      <c r="N5019" s="1">
        <v>43251.737500000003</v>
      </c>
      <c r="O5019" t="s">
        <v>19</v>
      </c>
    </row>
    <row r="5020" spans="1:15" x14ac:dyDescent="0.25">
      <c r="A5020" t="s">
        <v>3923</v>
      </c>
      <c r="B5020" t="s">
        <v>15</v>
      </c>
      <c r="C5020" t="s">
        <v>27</v>
      </c>
      <c r="D5020" t="s">
        <v>17</v>
      </c>
      <c r="E5020" t="s">
        <v>18</v>
      </c>
      <c r="F5020" t="s">
        <v>19</v>
      </c>
      <c r="G5020" t="s">
        <v>20</v>
      </c>
      <c r="J5020" t="s">
        <v>18</v>
      </c>
      <c r="K5020" t="str">
        <f>"1000001095257"</f>
        <v>1000001095257</v>
      </c>
      <c r="L5020" t="str">
        <f>"764809327"</f>
        <v>764809327</v>
      </c>
      <c r="M5020" t="s">
        <v>84</v>
      </c>
      <c r="N5020" s="1">
        <v>43351.667361111111</v>
      </c>
      <c r="O5020" t="s">
        <v>19</v>
      </c>
    </row>
    <row r="5021" spans="1:15" x14ac:dyDescent="0.25">
      <c r="A5021" t="s">
        <v>3924</v>
      </c>
      <c r="B5021" t="s">
        <v>15</v>
      </c>
      <c r="C5021" t="s">
        <v>27</v>
      </c>
      <c r="D5021" t="s">
        <v>17</v>
      </c>
      <c r="E5021" t="s">
        <v>18</v>
      </c>
      <c r="F5021" t="s">
        <v>19</v>
      </c>
      <c r="G5021" t="s">
        <v>20</v>
      </c>
      <c r="J5021" t="s">
        <v>17</v>
      </c>
      <c r="K5021" t="str">
        <f>"764809332"</f>
        <v>764809332</v>
      </c>
      <c r="L5021" t="str">
        <f>"764809332"</f>
        <v>764809332</v>
      </c>
      <c r="M5021" t="s">
        <v>21</v>
      </c>
      <c r="N5021" s="1">
        <v>43588.682638888888</v>
      </c>
      <c r="O5021" t="s">
        <v>19</v>
      </c>
    </row>
    <row r="5022" spans="1:15" x14ac:dyDescent="0.25">
      <c r="A5022" t="s">
        <v>3925</v>
      </c>
      <c r="B5022" t="s">
        <v>15</v>
      </c>
      <c r="C5022" t="s">
        <v>27</v>
      </c>
      <c r="D5022" t="s">
        <v>17</v>
      </c>
      <c r="E5022" t="s">
        <v>18</v>
      </c>
      <c r="F5022" t="s">
        <v>19</v>
      </c>
      <c r="G5022" t="s">
        <v>20</v>
      </c>
      <c r="J5022" t="s">
        <v>17</v>
      </c>
      <c r="K5022" t="str">
        <f>"764809291"</f>
        <v>764809291</v>
      </c>
      <c r="L5022" t="str">
        <f>"764809291"</f>
        <v>764809291</v>
      </c>
      <c r="M5022" t="s">
        <v>75</v>
      </c>
      <c r="N5022" s="1">
        <v>42959.728472222225</v>
      </c>
      <c r="O5022" t="s">
        <v>19</v>
      </c>
    </row>
    <row r="5023" spans="1:15" x14ac:dyDescent="0.25">
      <c r="A5023" t="s">
        <v>3925</v>
      </c>
      <c r="B5023" t="s">
        <v>15</v>
      </c>
      <c r="C5023" t="s">
        <v>27</v>
      </c>
      <c r="D5023" t="s">
        <v>17</v>
      </c>
      <c r="E5023" t="s">
        <v>18</v>
      </c>
      <c r="F5023" t="s">
        <v>19</v>
      </c>
      <c r="G5023" t="s">
        <v>20</v>
      </c>
      <c r="J5023" t="s">
        <v>17</v>
      </c>
      <c r="K5023" t="str">
        <f>"174809291"</f>
        <v>174809291</v>
      </c>
      <c r="L5023" t="str">
        <f>"174809291"</f>
        <v>174809291</v>
      </c>
      <c r="M5023" t="s">
        <v>75</v>
      </c>
      <c r="N5023" s="1">
        <v>42987.681944444441</v>
      </c>
      <c r="O5023" t="s">
        <v>19</v>
      </c>
    </row>
    <row r="5024" spans="1:15" x14ac:dyDescent="0.25">
      <c r="A5024" t="s">
        <v>3925</v>
      </c>
      <c r="B5024" t="s">
        <v>15</v>
      </c>
      <c r="C5024" t="s">
        <v>27</v>
      </c>
      <c r="D5024" t="s">
        <v>17</v>
      </c>
      <c r="E5024" t="s">
        <v>18</v>
      </c>
      <c r="F5024" t="s">
        <v>19</v>
      </c>
      <c r="G5024" t="s">
        <v>20</v>
      </c>
      <c r="J5024" t="s">
        <v>17</v>
      </c>
      <c r="K5024" t="str">
        <f>"765109291"</f>
        <v>765109291</v>
      </c>
      <c r="L5024" t="str">
        <f>"765109291"</f>
        <v>765109291</v>
      </c>
      <c r="M5024" t="s">
        <v>75</v>
      </c>
      <c r="N5024" s="1">
        <v>43175.642361111109</v>
      </c>
      <c r="O5024" t="s">
        <v>19</v>
      </c>
    </row>
    <row r="5025" spans="1:15" x14ac:dyDescent="0.25">
      <c r="A5025" t="s">
        <v>3925</v>
      </c>
      <c r="B5025" t="s">
        <v>15</v>
      </c>
      <c r="C5025" t="s">
        <v>27</v>
      </c>
      <c r="D5025" t="s">
        <v>17</v>
      </c>
      <c r="E5025" t="s">
        <v>18</v>
      </c>
      <c r="F5025" t="s">
        <v>19</v>
      </c>
      <c r="G5025" t="s">
        <v>20</v>
      </c>
      <c r="J5025" t="s">
        <v>17</v>
      </c>
      <c r="K5025" t="str">
        <f>"763909291"</f>
        <v>763909291</v>
      </c>
      <c r="L5025" t="str">
        <f>"763909291"</f>
        <v>763909291</v>
      </c>
      <c r="M5025" t="s">
        <v>84</v>
      </c>
      <c r="N5025" s="1">
        <v>43251.709722222222</v>
      </c>
      <c r="O5025" t="s">
        <v>19</v>
      </c>
    </row>
    <row r="5026" spans="1:15" x14ac:dyDescent="0.25">
      <c r="A5026" t="s">
        <v>3925</v>
      </c>
      <c r="B5026" t="s">
        <v>15</v>
      </c>
      <c r="C5026" t="s">
        <v>27</v>
      </c>
      <c r="D5026" t="s">
        <v>17</v>
      </c>
      <c r="E5026" t="s">
        <v>18</v>
      </c>
      <c r="F5026" t="s">
        <v>19</v>
      </c>
      <c r="G5026" t="s">
        <v>20</v>
      </c>
      <c r="J5026" t="s">
        <v>17</v>
      </c>
      <c r="K5026" t="str">
        <f>"935109291"</f>
        <v>935109291</v>
      </c>
      <c r="L5026" t="str">
        <f>"935109291"</f>
        <v>935109291</v>
      </c>
      <c r="M5026" t="s">
        <v>84</v>
      </c>
      <c r="N5026" s="1">
        <v>43267.790277777778</v>
      </c>
      <c r="O5026" t="s">
        <v>19</v>
      </c>
    </row>
    <row r="5027" spans="1:15" x14ac:dyDescent="0.25">
      <c r="A5027" t="s">
        <v>3925</v>
      </c>
      <c r="B5027" t="s">
        <v>15</v>
      </c>
      <c r="C5027" t="s">
        <v>27</v>
      </c>
      <c r="D5027" t="s">
        <v>17</v>
      </c>
      <c r="E5027" t="s">
        <v>18</v>
      </c>
      <c r="F5027" t="s">
        <v>19</v>
      </c>
      <c r="G5027" t="s">
        <v>20</v>
      </c>
      <c r="J5027" t="s">
        <v>17</v>
      </c>
      <c r="K5027" t="str">
        <f>"765909291"</f>
        <v>765909291</v>
      </c>
      <c r="L5027" t="str">
        <f>"765909291"</f>
        <v>765909291</v>
      </c>
      <c r="M5027" t="s">
        <v>84</v>
      </c>
      <c r="N5027" s="1">
        <v>43286.981249999997</v>
      </c>
      <c r="O5027" t="s">
        <v>19</v>
      </c>
    </row>
    <row r="5028" spans="1:15" x14ac:dyDescent="0.25">
      <c r="A5028" t="s">
        <v>3925</v>
      </c>
      <c r="B5028" t="s">
        <v>15</v>
      </c>
      <c r="C5028" t="s">
        <v>27</v>
      </c>
      <c r="D5028" t="s">
        <v>17</v>
      </c>
      <c r="E5028" t="s">
        <v>18</v>
      </c>
      <c r="F5028" t="s">
        <v>19</v>
      </c>
      <c r="G5028" t="s">
        <v>20</v>
      </c>
      <c r="J5028" t="s">
        <v>17</v>
      </c>
      <c r="K5028" t="str">
        <f>"615109291"</f>
        <v>615109291</v>
      </c>
      <c r="L5028" t="str">
        <f>"615109291"</f>
        <v>615109291</v>
      </c>
      <c r="M5028" t="s">
        <v>84</v>
      </c>
      <c r="N5028" s="1">
        <v>43328.625694444447</v>
      </c>
      <c r="O5028" t="s">
        <v>19</v>
      </c>
    </row>
    <row r="5029" spans="1:15" x14ac:dyDescent="0.25">
      <c r="A5029" t="s">
        <v>3925</v>
      </c>
      <c r="B5029" t="s">
        <v>15</v>
      </c>
      <c r="C5029" t="s">
        <v>27</v>
      </c>
      <c r="D5029" t="s">
        <v>17</v>
      </c>
      <c r="E5029" t="s">
        <v>18</v>
      </c>
      <c r="F5029" t="s">
        <v>19</v>
      </c>
      <c r="G5029" t="s">
        <v>20</v>
      </c>
      <c r="J5029" t="s">
        <v>17</v>
      </c>
      <c r="K5029" t="str">
        <f>"325109291"</f>
        <v>325109291</v>
      </c>
      <c r="L5029" t="str">
        <f>"325109291"</f>
        <v>325109291</v>
      </c>
      <c r="M5029" t="s">
        <v>84</v>
      </c>
      <c r="N5029" s="1">
        <v>43502.78402777778</v>
      </c>
      <c r="O5029" t="s">
        <v>19</v>
      </c>
    </row>
    <row r="5030" spans="1:15" x14ac:dyDescent="0.25">
      <c r="A5030" t="s">
        <v>3926</v>
      </c>
      <c r="B5030" t="s">
        <v>15</v>
      </c>
      <c r="C5030" t="s">
        <v>27</v>
      </c>
      <c r="D5030" t="s">
        <v>17</v>
      </c>
      <c r="E5030" t="s">
        <v>18</v>
      </c>
      <c r="F5030" t="s">
        <v>19</v>
      </c>
      <c r="G5030" t="s">
        <v>20</v>
      </c>
      <c r="J5030" t="s">
        <v>17</v>
      </c>
      <c r="K5030" t="str">
        <f>"1000001024134"</f>
        <v>1000001024134</v>
      </c>
      <c r="L5030" t="str">
        <f>"765109334"</f>
        <v>765109334</v>
      </c>
      <c r="M5030" t="s">
        <v>21</v>
      </c>
      <c r="N5030" s="1">
        <v>43754.85833333333</v>
      </c>
      <c r="O5030" t="s">
        <v>19</v>
      </c>
    </row>
    <row r="5031" spans="1:15" x14ac:dyDescent="0.25">
      <c r="A5031" t="s">
        <v>3926</v>
      </c>
      <c r="B5031" t="s">
        <v>15</v>
      </c>
      <c r="C5031" t="s">
        <v>27</v>
      </c>
      <c r="D5031" t="s">
        <v>17</v>
      </c>
      <c r="E5031" t="s">
        <v>18</v>
      </c>
      <c r="F5031" t="s">
        <v>19</v>
      </c>
      <c r="G5031" t="s">
        <v>20</v>
      </c>
      <c r="J5031" t="s">
        <v>17</v>
      </c>
      <c r="K5031" t="str">
        <f>"765109335"</f>
        <v>765109335</v>
      </c>
      <c r="L5031" t="str">
        <f>"765109335"</f>
        <v>765109335</v>
      </c>
      <c r="M5031" t="s">
        <v>21</v>
      </c>
      <c r="N5031" s="1">
        <v>43754.859027777777</v>
      </c>
      <c r="O5031" t="s">
        <v>19</v>
      </c>
    </row>
    <row r="5032" spans="1:15" x14ac:dyDescent="0.25">
      <c r="A5032" t="s">
        <v>3926</v>
      </c>
      <c r="B5032" t="s">
        <v>15</v>
      </c>
      <c r="C5032" t="s">
        <v>27</v>
      </c>
      <c r="D5032" t="s">
        <v>17</v>
      </c>
      <c r="E5032" t="s">
        <v>18</v>
      </c>
      <c r="F5032" t="s">
        <v>19</v>
      </c>
      <c r="G5032" t="s">
        <v>20</v>
      </c>
      <c r="J5032" t="s">
        <v>17</v>
      </c>
      <c r="K5032" t="str">
        <f>"685109334"</f>
        <v>685109334</v>
      </c>
      <c r="L5032" t="str">
        <f>"685109334"</f>
        <v>685109334</v>
      </c>
      <c r="M5032" t="s">
        <v>21</v>
      </c>
      <c r="N5032" s="1">
        <v>43798.825694444444</v>
      </c>
      <c r="O5032" t="s">
        <v>19</v>
      </c>
    </row>
    <row r="5033" spans="1:15" x14ac:dyDescent="0.25">
      <c r="A5033" t="s">
        <v>3926</v>
      </c>
      <c r="B5033" t="s">
        <v>15</v>
      </c>
      <c r="C5033" t="s">
        <v>27</v>
      </c>
      <c r="D5033" t="s">
        <v>17</v>
      </c>
      <c r="E5033" t="s">
        <v>18</v>
      </c>
      <c r="F5033" t="s">
        <v>19</v>
      </c>
      <c r="G5033" t="s">
        <v>20</v>
      </c>
      <c r="J5033" t="s">
        <v>17</v>
      </c>
      <c r="K5033" t="str">
        <f>"764809334"</f>
        <v>764809334</v>
      </c>
      <c r="L5033" t="str">
        <f>"764809334"</f>
        <v>764809334</v>
      </c>
      <c r="M5033" t="s">
        <v>21</v>
      </c>
      <c r="N5033" s="1">
        <v>43825.841666666667</v>
      </c>
      <c r="O5033" t="s">
        <v>19</v>
      </c>
    </row>
    <row r="5034" spans="1:15" x14ac:dyDescent="0.25">
      <c r="A5034" t="s">
        <v>3927</v>
      </c>
      <c r="B5034" t="s">
        <v>15</v>
      </c>
      <c r="C5034" t="s">
        <v>27</v>
      </c>
      <c r="D5034" t="s">
        <v>17</v>
      </c>
      <c r="E5034" t="s">
        <v>18</v>
      </c>
      <c r="F5034" t="s">
        <v>19</v>
      </c>
      <c r="G5034" t="s">
        <v>20</v>
      </c>
      <c r="J5034" t="s">
        <v>17</v>
      </c>
      <c r="K5034" t="str">
        <f>"174809214"</f>
        <v>174809214</v>
      </c>
      <c r="L5034" t="str">
        <f>"174809214"</f>
        <v>174809214</v>
      </c>
      <c r="M5034" t="s">
        <v>75</v>
      </c>
      <c r="N5034" s="1">
        <v>42872.849305555559</v>
      </c>
      <c r="O5034" t="s">
        <v>19</v>
      </c>
    </row>
    <row r="5035" spans="1:15" x14ac:dyDescent="0.25">
      <c r="A5035" t="s">
        <v>3927</v>
      </c>
      <c r="B5035" t="s">
        <v>15</v>
      </c>
      <c r="C5035" t="s">
        <v>27</v>
      </c>
      <c r="D5035" t="s">
        <v>17</v>
      </c>
      <c r="E5035" t="s">
        <v>18</v>
      </c>
      <c r="F5035" t="s">
        <v>19</v>
      </c>
      <c r="G5035" t="s">
        <v>20</v>
      </c>
      <c r="J5035" t="s">
        <v>17</v>
      </c>
      <c r="K5035" t="str">
        <f>"764809214"</f>
        <v>764809214</v>
      </c>
      <c r="L5035" t="str">
        <f>"764809214"</f>
        <v>764809214</v>
      </c>
      <c r="M5035" t="s">
        <v>75</v>
      </c>
      <c r="N5035" s="1">
        <v>42872.849305555559</v>
      </c>
      <c r="O5035" t="s">
        <v>19</v>
      </c>
    </row>
    <row r="5036" spans="1:15" x14ac:dyDescent="0.25">
      <c r="A5036" t="s">
        <v>3928</v>
      </c>
      <c r="B5036" t="s">
        <v>15</v>
      </c>
      <c r="C5036" t="s">
        <v>27</v>
      </c>
      <c r="D5036" t="s">
        <v>17</v>
      </c>
      <c r="E5036" t="s">
        <v>18</v>
      </c>
      <c r="F5036" t="s">
        <v>19</v>
      </c>
      <c r="G5036" t="s">
        <v>20</v>
      </c>
      <c r="J5036" t="s">
        <v>17</v>
      </c>
      <c r="K5036" t="str">
        <f>"765109333"</f>
        <v>765109333</v>
      </c>
      <c r="L5036" t="str">
        <f>"765109333"</f>
        <v>765109333</v>
      </c>
      <c r="M5036" t="s">
        <v>21</v>
      </c>
      <c r="N5036" s="1">
        <v>43754.857638888891</v>
      </c>
      <c r="O5036" t="s">
        <v>19</v>
      </c>
    </row>
    <row r="5037" spans="1:15" x14ac:dyDescent="0.25">
      <c r="A5037" t="s">
        <v>3929</v>
      </c>
      <c r="B5037" t="s">
        <v>15</v>
      </c>
      <c r="C5037" t="s">
        <v>27</v>
      </c>
      <c r="D5037" t="s">
        <v>17</v>
      </c>
      <c r="E5037" t="s">
        <v>18</v>
      </c>
      <c r="F5037" t="s">
        <v>19</v>
      </c>
      <c r="G5037" t="s">
        <v>20</v>
      </c>
      <c r="J5037" t="s">
        <v>17</v>
      </c>
      <c r="K5037" t="str">
        <f>"687109264"</f>
        <v>687109264</v>
      </c>
      <c r="L5037" t="str">
        <f>"687109264"</f>
        <v>687109264</v>
      </c>
      <c r="M5037" t="s">
        <v>75</v>
      </c>
      <c r="N5037" s="1">
        <v>42872.849305555559</v>
      </c>
      <c r="O5037" t="s">
        <v>19</v>
      </c>
    </row>
    <row r="5038" spans="1:15" x14ac:dyDescent="0.25">
      <c r="A5038" t="s">
        <v>3930</v>
      </c>
      <c r="B5038" t="s">
        <v>15</v>
      </c>
      <c r="C5038" t="s">
        <v>27</v>
      </c>
      <c r="D5038" t="s">
        <v>17</v>
      </c>
      <c r="E5038" t="s">
        <v>18</v>
      </c>
      <c r="F5038" t="s">
        <v>19</v>
      </c>
      <c r="G5038" t="s">
        <v>20</v>
      </c>
      <c r="J5038" t="s">
        <v>17</v>
      </c>
      <c r="K5038" t="str">
        <f>"174809250"</f>
        <v>174809250</v>
      </c>
      <c r="L5038" t="str">
        <f>"174809250"</f>
        <v>174809250</v>
      </c>
      <c r="M5038" t="s">
        <v>75</v>
      </c>
      <c r="N5038" s="1">
        <v>42872.849305555559</v>
      </c>
      <c r="O5038" t="s">
        <v>19</v>
      </c>
    </row>
    <row r="5039" spans="1:15" x14ac:dyDescent="0.25">
      <c r="A5039" t="s">
        <v>3931</v>
      </c>
      <c r="B5039" t="s">
        <v>15</v>
      </c>
      <c r="C5039" t="s">
        <v>27</v>
      </c>
      <c r="D5039" t="s">
        <v>17</v>
      </c>
      <c r="E5039" t="s">
        <v>18</v>
      </c>
      <c r="F5039" t="s">
        <v>19</v>
      </c>
      <c r="G5039" t="s">
        <v>20</v>
      </c>
      <c r="J5039" t="s">
        <v>17</v>
      </c>
      <c r="K5039" t="str">
        <f>"174809258"</f>
        <v>174809258</v>
      </c>
      <c r="L5039" t="str">
        <f>"174809258"</f>
        <v>174809258</v>
      </c>
      <c r="M5039" t="s">
        <v>75</v>
      </c>
      <c r="N5039" s="1">
        <v>42872.849305555559</v>
      </c>
      <c r="O5039" t="s">
        <v>19</v>
      </c>
    </row>
    <row r="5040" spans="1:15" x14ac:dyDescent="0.25">
      <c r="A5040" t="s">
        <v>3931</v>
      </c>
      <c r="B5040" t="s">
        <v>15</v>
      </c>
      <c r="C5040" t="s">
        <v>27</v>
      </c>
      <c r="D5040" t="s">
        <v>17</v>
      </c>
      <c r="E5040" t="s">
        <v>18</v>
      </c>
      <c r="F5040" t="s">
        <v>19</v>
      </c>
      <c r="G5040" t="s">
        <v>20</v>
      </c>
      <c r="J5040" t="s">
        <v>17</v>
      </c>
      <c r="K5040" t="str">
        <f>"764809258"</f>
        <v>764809258</v>
      </c>
      <c r="L5040" t="str">
        <f>"764809258"</f>
        <v>764809258</v>
      </c>
      <c r="M5040" t="s">
        <v>75</v>
      </c>
      <c r="N5040" s="1">
        <v>42872.849305555559</v>
      </c>
      <c r="O5040" t="s">
        <v>19</v>
      </c>
    </row>
    <row r="5041" spans="1:15" x14ac:dyDescent="0.25">
      <c r="A5041" t="s">
        <v>3932</v>
      </c>
      <c r="B5041" t="s">
        <v>15</v>
      </c>
      <c r="C5041" t="s">
        <v>27</v>
      </c>
      <c r="D5041" t="s">
        <v>17</v>
      </c>
      <c r="E5041" t="s">
        <v>18</v>
      </c>
      <c r="F5041" t="s">
        <v>19</v>
      </c>
      <c r="G5041" t="s">
        <v>20</v>
      </c>
      <c r="J5041" t="s">
        <v>17</v>
      </c>
      <c r="K5041" t="str">
        <f>"174809213"</f>
        <v>174809213</v>
      </c>
      <c r="L5041" t="str">
        <f>"174809213"</f>
        <v>174809213</v>
      </c>
      <c r="M5041" t="s">
        <v>75</v>
      </c>
      <c r="N5041" s="1">
        <v>42872.849305555559</v>
      </c>
      <c r="O5041" t="s">
        <v>19</v>
      </c>
    </row>
    <row r="5042" spans="1:15" x14ac:dyDescent="0.25">
      <c r="A5042" t="s">
        <v>3932</v>
      </c>
      <c r="B5042" t="s">
        <v>15</v>
      </c>
      <c r="C5042" t="s">
        <v>27</v>
      </c>
      <c r="D5042" t="s">
        <v>17</v>
      </c>
      <c r="E5042" t="s">
        <v>18</v>
      </c>
      <c r="F5042" t="s">
        <v>19</v>
      </c>
      <c r="G5042" t="s">
        <v>20</v>
      </c>
      <c r="J5042" t="s">
        <v>17</v>
      </c>
      <c r="K5042" t="str">
        <f>"1748009213"</f>
        <v>1748009213</v>
      </c>
      <c r="L5042" t="str">
        <f>"1748009213"</f>
        <v>1748009213</v>
      </c>
      <c r="M5042" t="s">
        <v>75</v>
      </c>
      <c r="N5042" s="1">
        <v>42872.849305555559</v>
      </c>
      <c r="O5042" t="s">
        <v>19</v>
      </c>
    </row>
    <row r="5043" spans="1:15" x14ac:dyDescent="0.25">
      <c r="A5043" t="s">
        <v>3932</v>
      </c>
      <c r="B5043" t="s">
        <v>15</v>
      </c>
      <c r="C5043" t="s">
        <v>27</v>
      </c>
      <c r="D5043" t="s">
        <v>17</v>
      </c>
      <c r="E5043" t="s">
        <v>18</v>
      </c>
      <c r="F5043" t="s">
        <v>19</v>
      </c>
      <c r="G5043" t="s">
        <v>20</v>
      </c>
      <c r="J5043" t="s">
        <v>17</v>
      </c>
      <c r="K5043" t="str">
        <f>"345809213"</f>
        <v>345809213</v>
      </c>
      <c r="L5043" t="str">
        <f>"345809213"</f>
        <v>345809213</v>
      </c>
      <c r="M5043" t="s">
        <v>75</v>
      </c>
      <c r="N5043" s="1">
        <v>42872.849305555559</v>
      </c>
      <c r="O5043" t="s">
        <v>19</v>
      </c>
    </row>
    <row r="5044" spans="1:15" x14ac:dyDescent="0.25">
      <c r="A5044" t="s">
        <v>3932</v>
      </c>
      <c r="B5044" t="s">
        <v>15</v>
      </c>
      <c r="C5044" t="s">
        <v>27</v>
      </c>
      <c r="D5044" t="s">
        <v>17</v>
      </c>
      <c r="E5044" t="s">
        <v>18</v>
      </c>
      <c r="F5044" t="s">
        <v>19</v>
      </c>
      <c r="G5044" t="s">
        <v>20</v>
      </c>
      <c r="J5044" t="s">
        <v>17</v>
      </c>
      <c r="K5044" t="str">
        <f>"767509213"</f>
        <v>767509213</v>
      </c>
      <c r="L5044" t="str">
        <f>"767509213"</f>
        <v>767509213</v>
      </c>
      <c r="M5044" t="s">
        <v>75</v>
      </c>
      <c r="N5044" s="1">
        <v>43012.928472222222</v>
      </c>
      <c r="O5044" t="s">
        <v>19</v>
      </c>
    </row>
    <row r="5045" spans="1:15" x14ac:dyDescent="0.25">
      <c r="A5045" t="s">
        <v>3933</v>
      </c>
      <c r="B5045" t="s">
        <v>15</v>
      </c>
      <c r="C5045" t="s">
        <v>27</v>
      </c>
      <c r="D5045" t="s">
        <v>17</v>
      </c>
      <c r="E5045" t="s">
        <v>18</v>
      </c>
      <c r="F5045" t="s">
        <v>19</v>
      </c>
      <c r="G5045" t="s">
        <v>20</v>
      </c>
      <c r="J5045" t="s">
        <v>17</v>
      </c>
      <c r="K5045" t="str">
        <f>"174809215"</f>
        <v>174809215</v>
      </c>
      <c r="L5045" t="str">
        <f>"174809215"</f>
        <v>174809215</v>
      </c>
      <c r="M5045" t="s">
        <v>75</v>
      </c>
      <c r="N5045" s="1">
        <v>42987.675694444442</v>
      </c>
      <c r="O5045" t="s">
        <v>19</v>
      </c>
    </row>
    <row r="5046" spans="1:15" x14ac:dyDescent="0.25">
      <c r="A5046" t="s">
        <v>3933</v>
      </c>
      <c r="B5046" t="s">
        <v>15</v>
      </c>
      <c r="C5046" t="s">
        <v>27</v>
      </c>
      <c r="D5046" t="s">
        <v>17</v>
      </c>
      <c r="E5046" t="s">
        <v>18</v>
      </c>
      <c r="F5046" t="s">
        <v>19</v>
      </c>
      <c r="G5046" t="s">
        <v>20</v>
      </c>
      <c r="J5046" t="s">
        <v>17</v>
      </c>
      <c r="K5046" t="str">
        <f>"765109215"</f>
        <v>765109215</v>
      </c>
      <c r="L5046" t="str">
        <f>"765109215"</f>
        <v>765109215</v>
      </c>
      <c r="M5046" t="s">
        <v>75</v>
      </c>
      <c r="N5046" s="1">
        <v>43217.632638888892</v>
      </c>
      <c r="O5046" t="s">
        <v>19</v>
      </c>
    </row>
    <row r="5047" spans="1:15" x14ac:dyDescent="0.25">
      <c r="A5047" t="s">
        <v>3933</v>
      </c>
      <c r="B5047" t="s">
        <v>15</v>
      </c>
      <c r="C5047" t="s">
        <v>27</v>
      </c>
      <c r="D5047" t="s">
        <v>17</v>
      </c>
      <c r="E5047" t="s">
        <v>18</v>
      </c>
      <c r="F5047" t="s">
        <v>19</v>
      </c>
      <c r="G5047" t="s">
        <v>20</v>
      </c>
      <c r="J5047" t="s">
        <v>17</v>
      </c>
      <c r="K5047" t="str">
        <f>"275109215"</f>
        <v>275109215</v>
      </c>
      <c r="L5047" t="str">
        <f>"275109215"</f>
        <v>275109215</v>
      </c>
      <c r="M5047" t="s">
        <v>75</v>
      </c>
      <c r="N5047" s="1">
        <v>43236.72152777778</v>
      </c>
      <c r="O5047" t="s">
        <v>19</v>
      </c>
    </row>
    <row r="5048" spans="1:15" x14ac:dyDescent="0.25">
      <c r="A5048" t="s">
        <v>3933</v>
      </c>
      <c r="B5048" t="s">
        <v>15</v>
      </c>
      <c r="C5048" t="s">
        <v>27</v>
      </c>
      <c r="D5048" t="s">
        <v>17</v>
      </c>
      <c r="E5048" t="s">
        <v>18</v>
      </c>
      <c r="F5048" t="s">
        <v>19</v>
      </c>
      <c r="G5048" t="s">
        <v>20</v>
      </c>
      <c r="J5048" t="s">
        <v>17</v>
      </c>
      <c r="K5048" t="str">
        <f>"764809215"</f>
        <v>764809215</v>
      </c>
      <c r="L5048" t="str">
        <f>"764809215"</f>
        <v>764809215</v>
      </c>
      <c r="M5048" t="s">
        <v>84</v>
      </c>
      <c r="N5048" s="1">
        <v>43258.925694444442</v>
      </c>
      <c r="O5048" t="s">
        <v>19</v>
      </c>
    </row>
    <row r="5049" spans="1:15" x14ac:dyDescent="0.25">
      <c r="A5049" t="s">
        <v>3934</v>
      </c>
      <c r="B5049" t="s">
        <v>15</v>
      </c>
      <c r="C5049" t="s">
        <v>27</v>
      </c>
      <c r="D5049" t="s">
        <v>17</v>
      </c>
      <c r="E5049" t="s">
        <v>18</v>
      </c>
      <c r="F5049" t="s">
        <v>19</v>
      </c>
      <c r="G5049" t="s">
        <v>20</v>
      </c>
      <c r="J5049" t="s">
        <v>17</v>
      </c>
      <c r="K5049" t="str">
        <f>"764714155"</f>
        <v>764714155</v>
      </c>
      <c r="L5049" t="str">
        <f>"764714155"</f>
        <v>764714155</v>
      </c>
      <c r="M5049" t="s">
        <v>75</v>
      </c>
      <c r="N5049" s="1">
        <v>42872.849305555559</v>
      </c>
      <c r="O5049" t="s">
        <v>19</v>
      </c>
    </row>
    <row r="5050" spans="1:15" x14ac:dyDescent="0.25">
      <c r="A5050" t="s">
        <v>3934</v>
      </c>
      <c r="B5050" t="s">
        <v>15</v>
      </c>
      <c r="C5050" t="s">
        <v>27</v>
      </c>
      <c r="D5050" t="s">
        <v>17</v>
      </c>
      <c r="E5050" t="s">
        <v>18</v>
      </c>
      <c r="F5050" t="s">
        <v>19</v>
      </c>
      <c r="G5050" t="s">
        <v>20</v>
      </c>
      <c r="J5050" t="s">
        <v>17</v>
      </c>
      <c r="K5050" t="str">
        <f>"764809193"</f>
        <v>764809193</v>
      </c>
      <c r="L5050" t="str">
        <f>"764809193"</f>
        <v>764809193</v>
      </c>
      <c r="M5050" t="s">
        <v>75</v>
      </c>
      <c r="N5050" s="1">
        <v>42872.849305555559</v>
      </c>
      <c r="O5050" t="s">
        <v>19</v>
      </c>
    </row>
    <row r="5051" spans="1:15" x14ac:dyDescent="0.25">
      <c r="A5051" t="s">
        <v>3934</v>
      </c>
      <c r="B5051" t="s">
        <v>15</v>
      </c>
      <c r="C5051" t="s">
        <v>27</v>
      </c>
      <c r="D5051" t="s">
        <v>17</v>
      </c>
      <c r="E5051" t="s">
        <v>18</v>
      </c>
      <c r="F5051" t="s">
        <v>19</v>
      </c>
      <c r="G5051" t="s">
        <v>20</v>
      </c>
      <c r="J5051" t="s">
        <v>17</v>
      </c>
      <c r="K5051" t="str">
        <f>"764814107"</f>
        <v>764814107</v>
      </c>
      <c r="L5051" t="str">
        <f>"764814107"</f>
        <v>764814107</v>
      </c>
      <c r="M5051" t="s">
        <v>75</v>
      </c>
      <c r="N5051" s="1">
        <v>42872.849305555559</v>
      </c>
      <c r="O5051" t="s">
        <v>19</v>
      </c>
    </row>
    <row r="5052" spans="1:15" x14ac:dyDescent="0.25">
      <c r="A5052" t="s">
        <v>3935</v>
      </c>
      <c r="B5052" t="s">
        <v>15</v>
      </c>
      <c r="C5052" t="s">
        <v>27</v>
      </c>
      <c r="D5052" t="s">
        <v>17</v>
      </c>
      <c r="E5052" t="s">
        <v>18</v>
      </c>
      <c r="F5052" t="s">
        <v>19</v>
      </c>
      <c r="G5052" t="s">
        <v>20</v>
      </c>
      <c r="J5052" t="s">
        <v>17</v>
      </c>
      <c r="K5052" t="str">
        <f>"764609107"</f>
        <v>764609107</v>
      </c>
      <c r="L5052" t="str">
        <f>"764609107"</f>
        <v>764609107</v>
      </c>
      <c r="M5052" t="s">
        <v>75</v>
      </c>
      <c r="N5052" s="1">
        <v>42872.849305555559</v>
      </c>
      <c r="O5052" t="s">
        <v>19</v>
      </c>
    </row>
    <row r="5053" spans="1:15" x14ac:dyDescent="0.25">
      <c r="A5053" t="s">
        <v>3936</v>
      </c>
      <c r="B5053" t="s">
        <v>15</v>
      </c>
      <c r="C5053" t="s">
        <v>27</v>
      </c>
      <c r="D5053" t="s">
        <v>17</v>
      </c>
      <c r="E5053" t="s">
        <v>18</v>
      </c>
      <c r="F5053" t="s">
        <v>19</v>
      </c>
      <c r="G5053" t="s">
        <v>20</v>
      </c>
      <c r="J5053" t="s">
        <v>17</v>
      </c>
      <c r="K5053" t="str">
        <f>"174809263"</f>
        <v>174809263</v>
      </c>
      <c r="L5053" t="str">
        <f>"174809263"</f>
        <v>174809263</v>
      </c>
      <c r="M5053" t="s">
        <v>75</v>
      </c>
      <c r="N5053" s="1">
        <v>42872.849305555559</v>
      </c>
      <c r="O5053" t="s">
        <v>19</v>
      </c>
    </row>
    <row r="5054" spans="1:15" x14ac:dyDescent="0.25">
      <c r="A5054" t="s">
        <v>3937</v>
      </c>
      <c r="B5054" t="s">
        <v>15</v>
      </c>
      <c r="C5054" t="s">
        <v>27</v>
      </c>
      <c r="D5054" t="s">
        <v>17</v>
      </c>
      <c r="E5054" t="s">
        <v>18</v>
      </c>
      <c r="F5054" t="s">
        <v>19</v>
      </c>
      <c r="G5054" t="s">
        <v>20</v>
      </c>
      <c r="J5054" t="s">
        <v>17</v>
      </c>
      <c r="K5054" t="str">
        <f>"17480971"</f>
        <v>17480971</v>
      </c>
      <c r="L5054" t="str">
        <f>"17480971"</f>
        <v>17480971</v>
      </c>
      <c r="M5054" t="s">
        <v>75</v>
      </c>
      <c r="N5054" s="1">
        <v>42872.839583333334</v>
      </c>
      <c r="O5054" t="s">
        <v>19</v>
      </c>
    </row>
    <row r="5055" spans="1:15" x14ac:dyDescent="0.25">
      <c r="A5055" t="s">
        <v>3937</v>
      </c>
      <c r="B5055" t="s">
        <v>15</v>
      </c>
      <c r="C5055" t="s">
        <v>27</v>
      </c>
      <c r="D5055" t="s">
        <v>17</v>
      </c>
      <c r="E5055" t="s">
        <v>18</v>
      </c>
      <c r="F5055" t="s">
        <v>19</v>
      </c>
      <c r="G5055" t="s">
        <v>20</v>
      </c>
      <c r="J5055" t="s">
        <v>17</v>
      </c>
      <c r="K5055" t="str">
        <f>"76480971"</f>
        <v>76480971</v>
      </c>
      <c r="L5055" t="str">
        <f>"76480971"</f>
        <v>76480971</v>
      </c>
      <c r="M5055" t="s">
        <v>75</v>
      </c>
      <c r="N5055" s="1">
        <v>42872.847222222219</v>
      </c>
      <c r="O5055" t="s">
        <v>19</v>
      </c>
    </row>
    <row r="5056" spans="1:15" x14ac:dyDescent="0.25">
      <c r="A5056" t="s">
        <v>3938</v>
      </c>
      <c r="B5056" t="s">
        <v>15</v>
      </c>
      <c r="C5056" t="s">
        <v>27</v>
      </c>
      <c r="D5056" t="s">
        <v>17</v>
      </c>
      <c r="E5056" t="s">
        <v>18</v>
      </c>
      <c r="F5056" t="s">
        <v>19</v>
      </c>
      <c r="G5056" t="s">
        <v>20</v>
      </c>
      <c r="J5056" t="s">
        <v>17</v>
      </c>
      <c r="K5056" t="str">
        <f>"76580971"</f>
        <v>76580971</v>
      </c>
      <c r="L5056" t="str">
        <f>"76580971"</f>
        <v>76580971</v>
      </c>
      <c r="M5056" t="s">
        <v>75</v>
      </c>
      <c r="N5056" s="1">
        <v>42872.847222222219</v>
      </c>
      <c r="O5056" t="s">
        <v>19</v>
      </c>
    </row>
    <row r="5057" spans="1:15" x14ac:dyDescent="0.25">
      <c r="A5057" t="s">
        <v>3939</v>
      </c>
      <c r="B5057" t="s">
        <v>15</v>
      </c>
      <c r="C5057" t="s">
        <v>27</v>
      </c>
      <c r="D5057" t="s">
        <v>17</v>
      </c>
      <c r="E5057" t="s">
        <v>18</v>
      </c>
      <c r="F5057" t="s">
        <v>19</v>
      </c>
      <c r="G5057" t="s">
        <v>20</v>
      </c>
      <c r="J5057" t="s">
        <v>17</v>
      </c>
      <c r="K5057" t="str">
        <f>"17480990"</f>
        <v>17480990</v>
      </c>
      <c r="L5057" t="str">
        <f>"17480990"</f>
        <v>17480990</v>
      </c>
      <c r="M5057" t="s">
        <v>75</v>
      </c>
      <c r="N5057" s="1">
        <v>42872.839583333334</v>
      </c>
      <c r="O5057" t="s">
        <v>19</v>
      </c>
    </row>
    <row r="5058" spans="1:15" x14ac:dyDescent="0.25">
      <c r="A5058" t="s">
        <v>3939</v>
      </c>
      <c r="B5058" t="s">
        <v>15</v>
      </c>
      <c r="C5058" t="s">
        <v>27</v>
      </c>
      <c r="D5058" t="s">
        <v>17</v>
      </c>
      <c r="E5058" t="s">
        <v>18</v>
      </c>
      <c r="F5058" t="s">
        <v>19</v>
      </c>
      <c r="G5058" t="s">
        <v>20</v>
      </c>
      <c r="J5058" t="s">
        <v>17</v>
      </c>
      <c r="K5058" t="str">
        <f>"76480990"</f>
        <v>76480990</v>
      </c>
      <c r="L5058" t="str">
        <f>"76480990"</f>
        <v>76480990</v>
      </c>
      <c r="M5058" t="s">
        <v>75</v>
      </c>
      <c r="N5058" s="1">
        <v>42872.847222222219</v>
      </c>
      <c r="O5058" t="s">
        <v>19</v>
      </c>
    </row>
    <row r="5059" spans="1:15" x14ac:dyDescent="0.25">
      <c r="A5059" t="s">
        <v>3940</v>
      </c>
      <c r="B5059" t="s">
        <v>15</v>
      </c>
      <c r="C5059" t="s">
        <v>27</v>
      </c>
      <c r="D5059" t="s">
        <v>17</v>
      </c>
      <c r="E5059" t="s">
        <v>18</v>
      </c>
      <c r="F5059" t="s">
        <v>19</v>
      </c>
      <c r="G5059" t="s">
        <v>20</v>
      </c>
      <c r="J5059" t="s">
        <v>17</v>
      </c>
      <c r="K5059" t="str">
        <f>"17480910"</f>
        <v>17480910</v>
      </c>
      <c r="L5059" t="str">
        <f>"17480910"</f>
        <v>17480910</v>
      </c>
      <c r="M5059" t="s">
        <v>75</v>
      </c>
      <c r="N5059" s="1">
        <v>42872.839583333334</v>
      </c>
      <c r="O5059" t="s">
        <v>19</v>
      </c>
    </row>
    <row r="5060" spans="1:15" x14ac:dyDescent="0.25">
      <c r="A5060" t="s">
        <v>3940</v>
      </c>
      <c r="B5060" t="s">
        <v>15</v>
      </c>
      <c r="C5060" t="s">
        <v>27</v>
      </c>
      <c r="D5060" t="s">
        <v>17</v>
      </c>
      <c r="E5060" t="s">
        <v>18</v>
      </c>
      <c r="F5060" t="s">
        <v>19</v>
      </c>
      <c r="G5060" t="s">
        <v>20</v>
      </c>
      <c r="J5060" t="s">
        <v>17</v>
      </c>
      <c r="K5060" t="str">
        <f>"34480910"</f>
        <v>34480910</v>
      </c>
      <c r="L5060" t="str">
        <f>"34480910"</f>
        <v>34480910</v>
      </c>
      <c r="M5060" t="s">
        <v>75</v>
      </c>
      <c r="N5060" s="1">
        <v>42872.839583333334</v>
      </c>
      <c r="O5060" t="s">
        <v>19</v>
      </c>
    </row>
    <row r="5061" spans="1:15" x14ac:dyDescent="0.25">
      <c r="A5061" t="s">
        <v>3940</v>
      </c>
      <c r="B5061" t="s">
        <v>15</v>
      </c>
      <c r="C5061" t="s">
        <v>27</v>
      </c>
      <c r="D5061" t="s">
        <v>17</v>
      </c>
      <c r="E5061" t="s">
        <v>18</v>
      </c>
      <c r="F5061" t="s">
        <v>19</v>
      </c>
      <c r="G5061" t="s">
        <v>20</v>
      </c>
      <c r="J5061" t="s">
        <v>17</v>
      </c>
      <c r="K5061" t="str">
        <f>"76480934"</f>
        <v>76480934</v>
      </c>
      <c r="L5061" t="str">
        <f>"76480934"</f>
        <v>76480934</v>
      </c>
      <c r="M5061" t="s">
        <v>75</v>
      </c>
      <c r="N5061" s="1">
        <v>42872.847222222219</v>
      </c>
      <c r="O5061" t="s">
        <v>19</v>
      </c>
    </row>
    <row r="5062" spans="1:15" x14ac:dyDescent="0.25">
      <c r="A5062" t="s">
        <v>3941</v>
      </c>
      <c r="B5062" t="s">
        <v>15</v>
      </c>
      <c r="C5062" t="s">
        <v>27</v>
      </c>
      <c r="D5062" t="s">
        <v>17</v>
      </c>
      <c r="E5062" t="s">
        <v>18</v>
      </c>
      <c r="F5062" t="s">
        <v>19</v>
      </c>
      <c r="G5062" t="s">
        <v>20</v>
      </c>
      <c r="J5062" t="s">
        <v>17</v>
      </c>
      <c r="K5062" t="str">
        <f>"76480910"</f>
        <v>76480910</v>
      </c>
      <c r="L5062" t="str">
        <f>"76480910"</f>
        <v>76480910</v>
      </c>
      <c r="M5062" t="s">
        <v>75</v>
      </c>
      <c r="N5062" s="1">
        <v>42872.847222222219</v>
      </c>
      <c r="O5062" t="s">
        <v>19</v>
      </c>
    </row>
    <row r="5063" spans="1:15" x14ac:dyDescent="0.25">
      <c r="A5063" t="s">
        <v>3942</v>
      </c>
      <c r="B5063" t="s">
        <v>15</v>
      </c>
      <c r="C5063" t="s">
        <v>27</v>
      </c>
      <c r="D5063" t="s">
        <v>17</v>
      </c>
      <c r="E5063" t="s">
        <v>18</v>
      </c>
      <c r="F5063" t="s">
        <v>19</v>
      </c>
      <c r="G5063" t="s">
        <v>20</v>
      </c>
      <c r="J5063" t="s">
        <v>17</v>
      </c>
      <c r="K5063" t="str">
        <f>"764614107"</f>
        <v>764614107</v>
      </c>
      <c r="L5063" t="str">
        <f>"764614107"</f>
        <v>764614107</v>
      </c>
      <c r="M5063" t="s">
        <v>75</v>
      </c>
      <c r="N5063" s="1">
        <v>42872.849305555559</v>
      </c>
      <c r="O5063" t="s">
        <v>19</v>
      </c>
    </row>
    <row r="5064" spans="1:15" x14ac:dyDescent="0.25">
      <c r="A5064" t="s">
        <v>3943</v>
      </c>
      <c r="B5064" t="s">
        <v>15</v>
      </c>
      <c r="C5064" t="s">
        <v>27</v>
      </c>
      <c r="D5064" t="s">
        <v>17</v>
      </c>
      <c r="E5064" t="s">
        <v>18</v>
      </c>
      <c r="F5064" t="s">
        <v>19</v>
      </c>
      <c r="G5064" t="s">
        <v>20</v>
      </c>
      <c r="J5064" t="s">
        <v>17</v>
      </c>
      <c r="K5064" t="str">
        <f>"174809155"</f>
        <v>174809155</v>
      </c>
      <c r="L5064" t="str">
        <f>"174809155"</f>
        <v>174809155</v>
      </c>
      <c r="M5064" t="s">
        <v>75</v>
      </c>
      <c r="N5064" s="1">
        <v>42872.849305555559</v>
      </c>
      <c r="O5064" t="s">
        <v>19</v>
      </c>
    </row>
    <row r="5065" spans="1:15" x14ac:dyDescent="0.25">
      <c r="A5065" t="s">
        <v>3944</v>
      </c>
      <c r="B5065" t="s">
        <v>15</v>
      </c>
      <c r="C5065" t="s">
        <v>27</v>
      </c>
      <c r="D5065" t="s">
        <v>17</v>
      </c>
      <c r="E5065" t="s">
        <v>18</v>
      </c>
      <c r="F5065" t="s">
        <v>19</v>
      </c>
      <c r="G5065" t="s">
        <v>20</v>
      </c>
      <c r="J5065" t="s">
        <v>17</v>
      </c>
      <c r="K5065" t="str">
        <f>"764809328"</f>
        <v>764809328</v>
      </c>
      <c r="L5065" t="str">
        <f>"764809328"</f>
        <v>764809328</v>
      </c>
      <c r="M5065" t="s">
        <v>84</v>
      </c>
      <c r="N5065" s="1">
        <v>43397.696527777778</v>
      </c>
      <c r="O5065" t="s">
        <v>19</v>
      </c>
    </row>
    <row r="5066" spans="1:15" x14ac:dyDescent="0.25">
      <c r="A5066" t="s">
        <v>3945</v>
      </c>
      <c r="B5066" t="s">
        <v>15</v>
      </c>
      <c r="C5066" t="s">
        <v>27</v>
      </c>
      <c r="D5066" t="s">
        <v>17</v>
      </c>
      <c r="E5066" t="s">
        <v>18</v>
      </c>
      <c r="F5066" t="s">
        <v>19</v>
      </c>
      <c r="G5066" t="s">
        <v>20</v>
      </c>
      <c r="J5066" t="s">
        <v>17</v>
      </c>
      <c r="K5066" t="str">
        <f>"765109325"</f>
        <v>765109325</v>
      </c>
      <c r="L5066" t="str">
        <f>"765109325"</f>
        <v>765109325</v>
      </c>
      <c r="M5066" t="s">
        <v>84</v>
      </c>
      <c r="N5066" s="1">
        <v>43251.715277777781</v>
      </c>
      <c r="O5066" t="s">
        <v>19</v>
      </c>
    </row>
    <row r="5067" spans="1:15" x14ac:dyDescent="0.25">
      <c r="A5067" t="s">
        <v>3945</v>
      </c>
      <c r="B5067" t="s">
        <v>15</v>
      </c>
      <c r="C5067" t="s">
        <v>27</v>
      </c>
      <c r="D5067" t="s">
        <v>17</v>
      </c>
      <c r="E5067" t="s">
        <v>18</v>
      </c>
      <c r="F5067" t="s">
        <v>19</v>
      </c>
      <c r="G5067" t="s">
        <v>20</v>
      </c>
      <c r="J5067" t="s">
        <v>17</v>
      </c>
      <c r="K5067" t="str">
        <f>"764809325"</f>
        <v>764809325</v>
      </c>
      <c r="L5067" t="str">
        <f>"764809325"</f>
        <v>764809325</v>
      </c>
      <c r="M5067" t="s">
        <v>84</v>
      </c>
      <c r="N5067" s="1">
        <v>43251.720833333333</v>
      </c>
      <c r="O5067" t="s">
        <v>19</v>
      </c>
    </row>
    <row r="5068" spans="1:15" x14ac:dyDescent="0.25">
      <c r="A5068" t="s">
        <v>3946</v>
      </c>
      <c r="B5068" t="s">
        <v>15</v>
      </c>
      <c r="C5068" t="s">
        <v>27</v>
      </c>
      <c r="D5068" t="s">
        <v>17</v>
      </c>
      <c r="E5068" t="s">
        <v>18</v>
      </c>
      <c r="F5068" t="s">
        <v>19</v>
      </c>
      <c r="G5068" t="s">
        <v>20</v>
      </c>
      <c r="J5068" t="s">
        <v>17</v>
      </c>
      <c r="K5068" t="str">
        <f>"1000001095271"</f>
        <v>1000001095271</v>
      </c>
      <c r="L5068" t="str">
        <f>"765109326"</f>
        <v>765109326</v>
      </c>
      <c r="M5068" t="s">
        <v>84</v>
      </c>
      <c r="N5068" s="1">
        <v>43328.945138888892</v>
      </c>
      <c r="O5068" t="s">
        <v>19</v>
      </c>
    </row>
    <row r="5069" spans="1:15" x14ac:dyDescent="0.25">
      <c r="A5069" t="s">
        <v>3947</v>
      </c>
      <c r="B5069" t="s">
        <v>15</v>
      </c>
      <c r="C5069" t="s">
        <v>27</v>
      </c>
      <c r="D5069" t="s">
        <v>17</v>
      </c>
      <c r="E5069" t="s">
        <v>18</v>
      </c>
      <c r="F5069" t="s">
        <v>19</v>
      </c>
      <c r="G5069" t="s">
        <v>20</v>
      </c>
      <c r="J5069" t="s">
        <v>17</v>
      </c>
      <c r="K5069" t="str">
        <f>"767709235"</f>
        <v>767709235</v>
      </c>
      <c r="L5069" t="str">
        <f>"767709235"</f>
        <v>767709235</v>
      </c>
      <c r="M5069" t="s">
        <v>75</v>
      </c>
      <c r="N5069" s="1">
        <v>42872.849305555559</v>
      </c>
      <c r="O5069" t="s">
        <v>19</v>
      </c>
    </row>
    <row r="5070" spans="1:15" x14ac:dyDescent="0.25">
      <c r="A5070" t="s">
        <v>3948</v>
      </c>
      <c r="B5070" t="s">
        <v>15</v>
      </c>
      <c r="C5070" t="s">
        <v>27</v>
      </c>
      <c r="D5070" t="s">
        <v>17</v>
      </c>
      <c r="E5070" t="s">
        <v>18</v>
      </c>
      <c r="F5070" t="s">
        <v>19</v>
      </c>
      <c r="G5070" t="s">
        <v>20</v>
      </c>
      <c r="J5070" t="s">
        <v>17</v>
      </c>
      <c r="K5070" t="str">
        <f>"764809292"</f>
        <v>764809292</v>
      </c>
      <c r="L5070" t="str">
        <f>"764809292"</f>
        <v>764809292</v>
      </c>
      <c r="M5070" t="s">
        <v>75</v>
      </c>
      <c r="N5070" s="1">
        <v>42959.726388888892</v>
      </c>
      <c r="O5070" t="s">
        <v>19</v>
      </c>
    </row>
    <row r="5071" spans="1:15" x14ac:dyDescent="0.25">
      <c r="A5071" t="s">
        <v>3948</v>
      </c>
      <c r="B5071" t="s">
        <v>15</v>
      </c>
      <c r="C5071" t="s">
        <v>27</v>
      </c>
      <c r="D5071" t="s">
        <v>17</v>
      </c>
      <c r="E5071" t="s">
        <v>18</v>
      </c>
      <c r="F5071" t="s">
        <v>19</v>
      </c>
      <c r="G5071" t="s">
        <v>20</v>
      </c>
      <c r="J5071" t="s">
        <v>17</v>
      </c>
      <c r="K5071" t="str">
        <f>"767509292"</f>
        <v>767509292</v>
      </c>
      <c r="L5071" t="str">
        <f>"767510292"</f>
        <v>767510292</v>
      </c>
      <c r="M5071" t="s">
        <v>75</v>
      </c>
      <c r="N5071" s="1">
        <v>43033.84097222222</v>
      </c>
      <c r="O5071" t="s">
        <v>19</v>
      </c>
    </row>
    <row r="5072" spans="1:15" x14ac:dyDescent="0.25">
      <c r="A5072" t="s">
        <v>3948</v>
      </c>
      <c r="B5072" t="s">
        <v>15</v>
      </c>
      <c r="C5072" t="s">
        <v>27</v>
      </c>
      <c r="D5072" t="s">
        <v>17</v>
      </c>
      <c r="E5072" t="s">
        <v>18</v>
      </c>
      <c r="F5072" t="s">
        <v>19</v>
      </c>
      <c r="G5072" t="s">
        <v>20</v>
      </c>
      <c r="J5072" t="s">
        <v>17</v>
      </c>
      <c r="K5072" t="str">
        <f>"764709292"</f>
        <v>764709292</v>
      </c>
      <c r="L5072" t="str">
        <f>"764709292"</f>
        <v>764709292</v>
      </c>
      <c r="M5072" t="s">
        <v>75</v>
      </c>
      <c r="N5072" s="1">
        <v>43236.900694444441</v>
      </c>
      <c r="O5072" t="s">
        <v>19</v>
      </c>
    </row>
    <row r="5073" spans="1:15" x14ac:dyDescent="0.25">
      <c r="A5073" t="s">
        <v>3948</v>
      </c>
      <c r="B5073" t="s">
        <v>15</v>
      </c>
      <c r="C5073" t="s">
        <v>27</v>
      </c>
      <c r="D5073" t="s">
        <v>17</v>
      </c>
      <c r="E5073" t="s">
        <v>18</v>
      </c>
      <c r="F5073" t="s">
        <v>19</v>
      </c>
      <c r="G5073" t="s">
        <v>20</v>
      </c>
      <c r="J5073" t="s">
        <v>17</v>
      </c>
      <c r="K5073" t="str">
        <f>"175109292"</f>
        <v>175109292</v>
      </c>
      <c r="L5073" t="str">
        <f>"175109292"</f>
        <v>175109292</v>
      </c>
      <c r="M5073" t="s">
        <v>75</v>
      </c>
      <c r="N5073" s="1">
        <v>43237.728472222225</v>
      </c>
      <c r="O5073" t="s">
        <v>19</v>
      </c>
    </row>
    <row r="5074" spans="1:15" x14ac:dyDescent="0.25">
      <c r="A5074" t="s">
        <v>3948</v>
      </c>
      <c r="B5074" t="s">
        <v>15</v>
      </c>
      <c r="C5074" t="s">
        <v>27</v>
      </c>
      <c r="D5074" t="s">
        <v>17</v>
      </c>
      <c r="E5074" t="s">
        <v>18</v>
      </c>
      <c r="F5074" t="s">
        <v>19</v>
      </c>
      <c r="G5074" t="s">
        <v>20</v>
      </c>
      <c r="J5074" t="s">
        <v>17</v>
      </c>
      <c r="K5074" t="str">
        <f>"765109292"</f>
        <v>765109292</v>
      </c>
      <c r="L5074" t="str">
        <f>"765109292"</f>
        <v>765109292</v>
      </c>
      <c r="M5074" t="s">
        <v>84</v>
      </c>
      <c r="N5074" s="1">
        <v>43266.709027777775</v>
      </c>
      <c r="O5074" t="s">
        <v>19</v>
      </c>
    </row>
    <row r="5075" spans="1:15" x14ac:dyDescent="0.25">
      <c r="A5075" t="s">
        <v>3948</v>
      </c>
      <c r="B5075" t="s">
        <v>15</v>
      </c>
      <c r="C5075" t="s">
        <v>27</v>
      </c>
      <c r="D5075" t="s">
        <v>17</v>
      </c>
      <c r="E5075" t="s">
        <v>18</v>
      </c>
      <c r="F5075" t="s">
        <v>19</v>
      </c>
      <c r="G5075" t="s">
        <v>20</v>
      </c>
      <c r="J5075" t="s">
        <v>17</v>
      </c>
      <c r="K5075" t="str">
        <f>"935109292"</f>
        <v>935109292</v>
      </c>
      <c r="L5075" t="str">
        <f>"935109292"</f>
        <v>935109292</v>
      </c>
      <c r="M5075" t="s">
        <v>84</v>
      </c>
      <c r="N5075" s="1">
        <v>43267.791666666664</v>
      </c>
      <c r="O5075" t="s">
        <v>19</v>
      </c>
    </row>
    <row r="5076" spans="1:15" x14ac:dyDescent="0.25">
      <c r="A5076" t="s">
        <v>3948</v>
      </c>
      <c r="B5076" t="s">
        <v>15</v>
      </c>
      <c r="C5076" t="s">
        <v>27</v>
      </c>
      <c r="D5076" t="s">
        <v>17</v>
      </c>
      <c r="E5076" t="s">
        <v>18</v>
      </c>
      <c r="F5076" t="s">
        <v>19</v>
      </c>
      <c r="G5076" t="s">
        <v>20</v>
      </c>
      <c r="J5076" t="s">
        <v>17</v>
      </c>
      <c r="K5076" t="str">
        <f>"685109292"</f>
        <v>685109292</v>
      </c>
      <c r="L5076" t="str">
        <f>"685109292"</f>
        <v>685109292</v>
      </c>
      <c r="M5076" t="s">
        <v>84</v>
      </c>
      <c r="N5076" s="1">
        <v>43420.640277777777</v>
      </c>
      <c r="O5076" t="s">
        <v>19</v>
      </c>
    </row>
    <row r="5077" spans="1:15" x14ac:dyDescent="0.25">
      <c r="A5077" t="s">
        <v>3949</v>
      </c>
      <c r="B5077" t="s">
        <v>15</v>
      </c>
      <c r="C5077" t="s">
        <v>27</v>
      </c>
      <c r="D5077" t="s">
        <v>17</v>
      </c>
      <c r="E5077" t="s">
        <v>18</v>
      </c>
      <c r="F5077" t="s">
        <v>19</v>
      </c>
      <c r="G5077" t="s">
        <v>20</v>
      </c>
      <c r="J5077" t="s">
        <v>17</v>
      </c>
      <c r="K5077" t="str">
        <f>"174709261"</f>
        <v>174709261</v>
      </c>
      <c r="L5077" t="str">
        <f>"174709261"</f>
        <v>174709261</v>
      </c>
      <c r="M5077" t="s">
        <v>75</v>
      </c>
      <c r="N5077" s="1">
        <v>42872.849305555559</v>
      </c>
      <c r="O5077" t="s">
        <v>19</v>
      </c>
    </row>
    <row r="5078" spans="1:15" x14ac:dyDescent="0.25">
      <c r="A5078" t="s">
        <v>3949</v>
      </c>
      <c r="B5078" t="s">
        <v>15</v>
      </c>
      <c r="C5078" t="s">
        <v>27</v>
      </c>
      <c r="D5078" t="s">
        <v>17</v>
      </c>
      <c r="E5078" t="s">
        <v>18</v>
      </c>
      <c r="F5078" t="s">
        <v>19</v>
      </c>
      <c r="G5078" t="s">
        <v>20</v>
      </c>
      <c r="J5078" t="s">
        <v>17</v>
      </c>
      <c r="K5078" t="str">
        <f>"275809261"</f>
        <v>275809261</v>
      </c>
      <c r="L5078" t="str">
        <f>"275809261"</f>
        <v>275809261</v>
      </c>
      <c r="M5078" t="s">
        <v>75</v>
      </c>
      <c r="N5078" s="1">
        <v>42872.849305555559</v>
      </c>
      <c r="O5078" t="s">
        <v>19</v>
      </c>
    </row>
    <row r="5079" spans="1:15" x14ac:dyDescent="0.25">
      <c r="A5079" t="s">
        <v>3949</v>
      </c>
      <c r="B5079" t="s">
        <v>15</v>
      </c>
      <c r="C5079" t="s">
        <v>27</v>
      </c>
      <c r="D5079" t="s">
        <v>17</v>
      </c>
      <c r="E5079" t="s">
        <v>18</v>
      </c>
      <c r="F5079" t="s">
        <v>19</v>
      </c>
      <c r="G5079" t="s">
        <v>20</v>
      </c>
      <c r="J5079" t="s">
        <v>17</v>
      </c>
      <c r="K5079" t="str">
        <f>"767509261"</f>
        <v>767509261</v>
      </c>
      <c r="L5079" t="str">
        <f>"767509261"</f>
        <v>767509261</v>
      </c>
      <c r="M5079" t="s">
        <v>75</v>
      </c>
      <c r="N5079" s="1">
        <v>42872.849305555559</v>
      </c>
      <c r="O5079" t="s">
        <v>19</v>
      </c>
    </row>
    <row r="5080" spans="1:15" x14ac:dyDescent="0.25">
      <c r="A5080" t="s">
        <v>3950</v>
      </c>
      <c r="B5080" t="s">
        <v>15</v>
      </c>
      <c r="C5080" t="s">
        <v>27</v>
      </c>
      <c r="D5080" t="s">
        <v>17</v>
      </c>
      <c r="E5080" t="s">
        <v>18</v>
      </c>
      <c r="F5080" t="s">
        <v>19</v>
      </c>
      <c r="G5080" t="s">
        <v>20</v>
      </c>
      <c r="J5080" t="s">
        <v>17</v>
      </c>
      <c r="K5080" t="str">
        <f>"760409292"</f>
        <v>760409292</v>
      </c>
      <c r="L5080" t="str">
        <f>"760409292"</f>
        <v>760409292</v>
      </c>
      <c r="M5080" t="s">
        <v>75</v>
      </c>
      <c r="N5080" s="1">
        <v>43113.632638888892</v>
      </c>
      <c r="O5080" t="s">
        <v>19</v>
      </c>
    </row>
    <row r="5081" spans="1:15" x14ac:dyDescent="0.25">
      <c r="A5081" t="s">
        <v>3950</v>
      </c>
      <c r="B5081" t="s">
        <v>15</v>
      </c>
      <c r="C5081" t="s">
        <v>27</v>
      </c>
      <c r="D5081" t="s">
        <v>17</v>
      </c>
      <c r="E5081" t="s">
        <v>18</v>
      </c>
      <c r="F5081" t="s">
        <v>19</v>
      </c>
      <c r="G5081" t="s">
        <v>20</v>
      </c>
      <c r="J5081" t="s">
        <v>17</v>
      </c>
      <c r="K5081" t="str">
        <f>"174809292"</f>
        <v>174809292</v>
      </c>
      <c r="L5081" t="str">
        <f>"174809292"</f>
        <v>174809292</v>
      </c>
      <c r="M5081" t="s">
        <v>75</v>
      </c>
      <c r="N5081" s="1">
        <v>43113.707638888889</v>
      </c>
      <c r="O5081" t="s">
        <v>19</v>
      </c>
    </row>
    <row r="5082" spans="1:15" x14ac:dyDescent="0.25">
      <c r="A5082" t="s">
        <v>3951</v>
      </c>
      <c r="B5082" t="s">
        <v>15</v>
      </c>
      <c r="C5082" t="s">
        <v>27</v>
      </c>
      <c r="D5082" t="s">
        <v>17</v>
      </c>
      <c r="E5082" t="s">
        <v>18</v>
      </c>
      <c r="F5082" t="s">
        <v>19</v>
      </c>
      <c r="G5082" t="s">
        <v>20</v>
      </c>
      <c r="J5082" t="s">
        <v>17</v>
      </c>
      <c r="K5082" t="str">
        <f>"174809204"</f>
        <v>174809204</v>
      </c>
      <c r="L5082" t="str">
        <f>"174809204"</f>
        <v>174809204</v>
      </c>
      <c r="M5082" t="s">
        <v>75</v>
      </c>
      <c r="N5082" s="1">
        <v>42872.849305555559</v>
      </c>
      <c r="O5082" t="s">
        <v>19</v>
      </c>
    </row>
    <row r="5083" spans="1:15" x14ac:dyDescent="0.25">
      <c r="A5083" t="s">
        <v>3952</v>
      </c>
      <c r="B5083" t="s">
        <v>15</v>
      </c>
      <c r="C5083" t="s">
        <v>27</v>
      </c>
      <c r="D5083" t="s">
        <v>17</v>
      </c>
      <c r="E5083" t="s">
        <v>18</v>
      </c>
      <c r="F5083" t="s">
        <v>19</v>
      </c>
      <c r="G5083" t="s">
        <v>20</v>
      </c>
      <c r="J5083" t="s">
        <v>17</v>
      </c>
      <c r="K5083" t="str">
        <f>"765809271"</f>
        <v>765809271</v>
      </c>
      <c r="L5083" t="str">
        <f>"765809271"</f>
        <v>765809271</v>
      </c>
      <c r="M5083" t="s">
        <v>75</v>
      </c>
      <c r="N5083" s="1">
        <v>42872.849305555559</v>
      </c>
      <c r="O5083" t="s">
        <v>19</v>
      </c>
    </row>
    <row r="5084" spans="1:15" x14ac:dyDescent="0.25">
      <c r="A5084" t="s">
        <v>3953</v>
      </c>
      <c r="B5084" t="s">
        <v>15</v>
      </c>
      <c r="C5084" t="s">
        <v>27</v>
      </c>
      <c r="D5084" t="s">
        <v>17</v>
      </c>
      <c r="E5084" t="s">
        <v>18</v>
      </c>
      <c r="F5084" t="s">
        <v>19</v>
      </c>
      <c r="G5084" t="s">
        <v>20</v>
      </c>
      <c r="J5084" t="s">
        <v>17</v>
      </c>
      <c r="K5084" t="str">
        <f>"174809277"</f>
        <v>174809277</v>
      </c>
      <c r="L5084" t="str">
        <f>"174809277"</f>
        <v>174809277</v>
      </c>
      <c r="M5084" t="s">
        <v>75</v>
      </c>
      <c r="N5084" s="1">
        <v>42872.849305555559</v>
      </c>
      <c r="O5084" t="s">
        <v>19</v>
      </c>
    </row>
    <row r="5085" spans="1:15" x14ac:dyDescent="0.25">
      <c r="A5085" t="s">
        <v>3953</v>
      </c>
      <c r="B5085" t="s">
        <v>15</v>
      </c>
      <c r="C5085" t="s">
        <v>27</v>
      </c>
      <c r="D5085" t="s">
        <v>17</v>
      </c>
      <c r="E5085" t="s">
        <v>18</v>
      </c>
      <c r="F5085" t="s">
        <v>19</v>
      </c>
      <c r="G5085" t="s">
        <v>20</v>
      </c>
      <c r="J5085" t="s">
        <v>17</v>
      </c>
      <c r="K5085" t="str">
        <f>"175809277"</f>
        <v>175809277</v>
      </c>
      <c r="L5085" t="str">
        <f>"175809277"</f>
        <v>175809277</v>
      </c>
      <c r="M5085" t="s">
        <v>75</v>
      </c>
      <c r="N5085" s="1">
        <v>42872.849305555559</v>
      </c>
      <c r="O5085" t="s">
        <v>19</v>
      </c>
    </row>
    <row r="5086" spans="1:15" x14ac:dyDescent="0.25">
      <c r="A5086" t="s">
        <v>3953</v>
      </c>
      <c r="B5086" t="s">
        <v>15</v>
      </c>
      <c r="C5086" t="s">
        <v>27</v>
      </c>
      <c r="D5086" t="s">
        <v>17</v>
      </c>
      <c r="E5086" t="s">
        <v>18</v>
      </c>
      <c r="F5086" t="s">
        <v>19</v>
      </c>
      <c r="G5086" t="s">
        <v>20</v>
      </c>
      <c r="J5086" t="s">
        <v>17</v>
      </c>
      <c r="K5086" t="str">
        <f>"684809277"</f>
        <v>684809277</v>
      </c>
      <c r="L5086" t="str">
        <f>"684809277"</f>
        <v>684809277</v>
      </c>
      <c r="M5086" t="s">
        <v>75</v>
      </c>
      <c r="N5086" s="1">
        <v>43007.674305555556</v>
      </c>
      <c r="O5086" t="s">
        <v>19</v>
      </c>
    </row>
    <row r="5087" spans="1:15" x14ac:dyDescent="0.25">
      <c r="A5087" t="s">
        <v>3953</v>
      </c>
      <c r="B5087" t="s">
        <v>15</v>
      </c>
      <c r="C5087" t="s">
        <v>27</v>
      </c>
      <c r="D5087" t="s">
        <v>17</v>
      </c>
      <c r="E5087" t="s">
        <v>18</v>
      </c>
      <c r="F5087" t="s">
        <v>19</v>
      </c>
      <c r="G5087" t="s">
        <v>20</v>
      </c>
      <c r="J5087" t="s">
        <v>17</v>
      </c>
      <c r="K5087" t="str">
        <f>"767509277"</f>
        <v>767509277</v>
      </c>
      <c r="L5087" t="str">
        <f>"767509277"</f>
        <v>767509277</v>
      </c>
      <c r="M5087" t="s">
        <v>75</v>
      </c>
      <c r="N5087" s="1">
        <v>43012.929166666669</v>
      </c>
      <c r="O5087" t="s">
        <v>19</v>
      </c>
    </row>
    <row r="5088" spans="1:15" x14ac:dyDescent="0.25">
      <c r="A5088" t="s">
        <v>3954</v>
      </c>
      <c r="B5088" t="s">
        <v>15</v>
      </c>
      <c r="C5088" t="s">
        <v>27</v>
      </c>
      <c r="D5088" t="s">
        <v>17</v>
      </c>
      <c r="E5088" t="s">
        <v>18</v>
      </c>
      <c r="F5088" t="s">
        <v>19</v>
      </c>
      <c r="G5088" t="s">
        <v>20</v>
      </c>
      <c r="J5088" t="s">
        <v>17</v>
      </c>
      <c r="K5088" t="str">
        <f>"767709285"</f>
        <v>767709285</v>
      </c>
      <c r="L5088" t="str">
        <f>"767709285"</f>
        <v>767709285</v>
      </c>
      <c r="M5088" t="s">
        <v>75</v>
      </c>
      <c r="N5088" s="1">
        <v>42933.716666666667</v>
      </c>
      <c r="O5088" t="s">
        <v>19</v>
      </c>
    </row>
    <row r="5089" spans="1:15" x14ac:dyDescent="0.25">
      <c r="A5089" t="s">
        <v>3955</v>
      </c>
      <c r="B5089" t="s">
        <v>15</v>
      </c>
      <c r="C5089" t="s">
        <v>27</v>
      </c>
      <c r="D5089" t="s">
        <v>17</v>
      </c>
      <c r="E5089" t="s">
        <v>18</v>
      </c>
      <c r="F5089" t="s">
        <v>19</v>
      </c>
      <c r="G5089" t="s">
        <v>20</v>
      </c>
      <c r="J5089" t="s">
        <v>17</v>
      </c>
      <c r="K5089" t="str">
        <f>"174809286"</f>
        <v>174809286</v>
      </c>
      <c r="L5089" t="str">
        <f>"174809286"</f>
        <v>174809286</v>
      </c>
      <c r="M5089" t="s">
        <v>75</v>
      </c>
      <c r="N5089" s="1">
        <v>42872.849305555559</v>
      </c>
      <c r="O5089" t="s">
        <v>19</v>
      </c>
    </row>
    <row r="5090" spans="1:15" x14ac:dyDescent="0.25">
      <c r="A5090" t="s">
        <v>3956</v>
      </c>
      <c r="B5090" t="s">
        <v>15</v>
      </c>
      <c r="C5090" t="s">
        <v>27</v>
      </c>
      <c r="D5090" t="s">
        <v>17</v>
      </c>
      <c r="E5090" t="s">
        <v>18</v>
      </c>
      <c r="F5090" t="s">
        <v>19</v>
      </c>
      <c r="G5090" t="s">
        <v>20</v>
      </c>
      <c r="J5090" t="s">
        <v>17</v>
      </c>
      <c r="K5090" t="str">
        <f>"684809286"</f>
        <v>684809286</v>
      </c>
      <c r="L5090" t="str">
        <f>"684809286"</f>
        <v>684809286</v>
      </c>
      <c r="M5090" t="s">
        <v>75</v>
      </c>
      <c r="N5090" s="1">
        <v>43007.679861111108</v>
      </c>
      <c r="O5090" t="s">
        <v>19</v>
      </c>
    </row>
    <row r="5091" spans="1:15" x14ac:dyDescent="0.25">
      <c r="A5091" t="s">
        <v>3957</v>
      </c>
      <c r="B5091" t="s">
        <v>15</v>
      </c>
      <c r="C5091" t="s">
        <v>27</v>
      </c>
      <c r="D5091" t="s">
        <v>17</v>
      </c>
      <c r="E5091" t="s">
        <v>18</v>
      </c>
      <c r="F5091" t="s">
        <v>19</v>
      </c>
      <c r="G5091" t="s">
        <v>20</v>
      </c>
      <c r="J5091" t="s">
        <v>17</v>
      </c>
      <c r="K5091" t="str">
        <f>"175809250"</f>
        <v>175809250</v>
      </c>
      <c r="L5091" t="str">
        <f>"175809250"</f>
        <v>175809250</v>
      </c>
      <c r="M5091" t="s">
        <v>75</v>
      </c>
      <c r="N5091" s="1">
        <v>42872.849305555559</v>
      </c>
      <c r="O5091" t="s">
        <v>19</v>
      </c>
    </row>
    <row r="5092" spans="1:15" x14ac:dyDescent="0.25">
      <c r="A5092" t="s">
        <v>3958</v>
      </c>
      <c r="B5092" t="s">
        <v>15</v>
      </c>
      <c r="C5092" t="s">
        <v>27</v>
      </c>
      <c r="D5092" t="s">
        <v>17</v>
      </c>
      <c r="E5092" t="s">
        <v>18</v>
      </c>
      <c r="F5092" t="s">
        <v>19</v>
      </c>
      <c r="G5092" t="s">
        <v>20</v>
      </c>
      <c r="J5092" t="s">
        <v>17</v>
      </c>
      <c r="K5092" t="str">
        <f>"174809271"</f>
        <v>174809271</v>
      </c>
      <c r="L5092" t="str">
        <f>"174809271"</f>
        <v>174809271</v>
      </c>
      <c r="M5092" t="s">
        <v>75</v>
      </c>
      <c r="N5092" s="1">
        <v>42872.849305555559</v>
      </c>
      <c r="O5092" t="s">
        <v>19</v>
      </c>
    </row>
    <row r="5093" spans="1:15" x14ac:dyDescent="0.25">
      <c r="A5093" t="s">
        <v>3959</v>
      </c>
      <c r="B5093" t="s">
        <v>15</v>
      </c>
      <c r="C5093" t="s">
        <v>27</v>
      </c>
      <c r="D5093" t="s">
        <v>17</v>
      </c>
      <c r="E5093" t="s">
        <v>18</v>
      </c>
      <c r="F5093" t="s">
        <v>19</v>
      </c>
      <c r="G5093" t="s">
        <v>20</v>
      </c>
      <c r="J5093" t="s">
        <v>17</v>
      </c>
      <c r="K5093" t="str">
        <f>"764810297"</f>
        <v>764810297</v>
      </c>
      <c r="L5093" t="str">
        <f>"764810297"</f>
        <v>764810297</v>
      </c>
      <c r="M5093" t="s">
        <v>75</v>
      </c>
      <c r="N5093" s="1">
        <v>42959.724305555559</v>
      </c>
      <c r="O5093" t="s">
        <v>19</v>
      </c>
    </row>
    <row r="5094" spans="1:15" x14ac:dyDescent="0.25">
      <c r="A5094" t="s">
        <v>3959</v>
      </c>
      <c r="B5094" t="s">
        <v>15</v>
      </c>
      <c r="C5094" t="s">
        <v>27</v>
      </c>
      <c r="D5094" t="s">
        <v>17</v>
      </c>
      <c r="E5094" t="s">
        <v>18</v>
      </c>
      <c r="F5094" t="s">
        <v>19</v>
      </c>
      <c r="G5094" t="s">
        <v>20</v>
      </c>
      <c r="J5094" t="s">
        <v>17</v>
      </c>
      <c r="K5094" t="str">
        <f>"765110297"</f>
        <v>765110297</v>
      </c>
      <c r="L5094" t="str">
        <f>"765110297"</f>
        <v>765110297</v>
      </c>
      <c r="M5094" t="s">
        <v>75</v>
      </c>
      <c r="N5094" s="1">
        <v>43175.652083333334</v>
      </c>
      <c r="O5094" t="s">
        <v>19</v>
      </c>
    </row>
    <row r="5095" spans="1:15" x14ac:dyDescent="0.25">
      <c r="A5095" t="s">
        <v>3960</v>
      </c>
      <c r="B5095" t="s">
        <v>15</v>
      </c>
      <c r="C5095" t="s">
        <v>27</v>
      </c>
      <c r="D5095" t="s">
        <v>17</v>
      </c>
      <c r="E5095" t="s">
        <v>18</v>
      </c>
      <c r="F5095" t="s">
        <v>19</v>
      </c>
      <c r="G5095" t="s">
        <v>20</v>
      </c>
      <c r="J5095" t="s">
        <v>17</v>
      </c>
      <c r="K5095" t="str">
        <f>"174810297"</f>
        <v>174810297</v>
      </c>
      <c r="L5095" t="str">
        <f>"174810297"</f>
        <v>174810297</v>
      </c>
      <c r="M5095" t="s">
        <v>75</v>
      </c>
      <c r="N5095" s="1">
        <v>43175.783333333333</v>
      </c>
      <c r="O5095" t="s">
        <v>19</v>
      </c>
    </row>
    <row r="5096" spans="1:15" x14ac:dyDescent="0.25">
      <c r="A5096" t="s">
        <v>3960</v>
      </c>
      <c r="B5096" t="s">
        <v>15</v>
      </c>
      <c r="C5096" t="s">
        <v>27</v>
      </c>
      <c r="D5096" t="s">
        <v>17</v>
      </c>
      <c r="E5096" t="s">
        <v>18</v>
      </c>
      <c r="F5096" t="s">
        <v>19</v>
      </c>
      <c r="G5096" t="s">
        <v>20</v>
      </c>
      <c r="J5096" t="s">
        <v>17</v>
      </c>
      <c r="K5096" t="str">
        <f>"175110297"</f>
        <v>175110297</v>
      </c>
      <c r="L5096" t="str">
        <f>"175110297"</f>
        <v>175110297</v>
      </c>
      <c r="M5096" t="s">
        <v>75</v>
      </c>
      <c r="N5096" s="1">
        <v>43220.62222222222</v>
      </c>
      <c r="O5096" t="s">
        <v>19</v>
      </c>
    </row>
    <row r="5097" spans="1:15" x14ac:dyDescent="0.25">
      <c r="A5097" t="s">
        <v>3959</v>
      </c>
      <c r="B5097" t="s">
        <v>15</v>
      </c>
      <c r="C5097" t="s">
        <v>27</v>
      </c>
      <c r="D5097" t="s">
        <v>17</v>
      </c>
      <c r="E5097" t="s">
        <v>18</v>
      </c>
      <c r="F5097" t="s">
        <v>19</v>
      </c>
      <c r="G5097" t="s">
        <v>20</v>
      </c>
      <c r="J5097" t="s">
        <v>17</v>
      </c>
      <c r="K5097" t="str">
        <f>"177710297"</f>
        <v>177710297</v>
      </c>
      <c r="L5097" t="str">
        <f>"177710297"</f>
        <v>177710297</v>
      </c>
      <c r="M5097" t="s">
        <v>75</v>
      </c>
      <c r="N5097" s="1">
        <v>43237.727083333331</v>
      </c>
      <c r="O5097" t="s">
        <v>19</v>
      </c>
    </row>
    <row r="5098" spans="1:15" x14ac:dyDescent="0.25">
      <c r="A5098" t="s">
        <v>3959</v>
      </c>
      <c r="B5098" t="s">
        <v>15</v>
      </c>
      <c r="C5098" t="s">
        <v>27</v>
      </c>
      <c r="D5098" t="s">
        <v>17</v>
      </c>
      <c r="E5098" t="s">
        <v>18</v>
      </c>
      <c r="F5098" t="s">
        <v>19</v>
      </c>
      <c r="G5098" t="s">
        <v>20</v>
      </c>
      <c r="J5098" t="s">
        <v>17</v>
      </c>
      <c r="K5098" t="str">
        <f>"175910297"</f>
        <v>175910297</v>
      </c>
      <c r="L5098" t="str">
        <f>"175910297"</f>
        <v>175910297</v>
      </c>
      <c r="M5098" t="s">
        <v>75</v>
      </c>
      <c r="N5098" s="1">
        <v>43237.736805555556</v>
      </c>
      <c r="O5098" t="s">
        <v>19</v>
      </c>
    </row>
    <row r="5099" spans="1:15" x14ac:dyDescent="0.25">
      <c r="A5099" t="s">
        <v>3959</v>
      </c>
      <c r="B5099" t="s">
        <v>15</v>
      </c>
      <c r="C5099" t="s">
        <v>27</v>
      </c>
      <c r="D5099" t="s">
        <v>17</v>
      </c>
      <c r="E5099" t="s">
        <v>18</v>
      </c>
      <c r="F5099" t="s">
        <v>19</v>
      </c>
      <c r="G5099" t="s">
        <v>20</v>
      </c>
      <c r="J5099" t="s">
        <v>17</v>
      </c>
      <c r="K5099" t="str">
        <f>"866410297"</f>
        <v>866410297</v>
      </c>
      <c r="L5099" t="str">
        <f>"866410297"</f>
        <v>866410297</v>
      </c>
      <c r="M5099" t="s">
        <v>84</v>
      </c>
      <c r="N5099" s="1">
        <v>43364.938194444447</v>
      </c>
      <c r="O5099" t="s">
        <v>19</v>
      </c>
    </row>
    <row r="5100" spans="1:15" x14ac:dyDescent="0.25">
      <c r="A5100" t="s">
        <v>3961</v>
      </c>
      <c r="B5100" t="s">
        <v>15</v>
      </c>
      <c r="C5100" t="s">
        <v>27</v>
      </c>
      <c r="D5100" t="s">
        <v>17</v>
      </c>
      <c r="E5100" t="s">
        <v>18</v>
      </c>
      <c r="F5100" t="s">
        <v>19</v>
      </c>
      <c r="G5100" t="s">
        <v>20</v>
      </c>
      <c r="J5100" t="s">
        <v>17</v>
      </c>
      <c r="K5100" t="str">
        <f>"764810301"</f>
        <v>764810301</v>
      </c>
      <c r="L5100" t="str">
        <f>"764810301"</f>
        <v>764810301</v>
      </c>
      <c r="M5100" t="s">
        <v>75</v>
      </c>
      <c r="N5100" s="1">
        <v>42959.724999999999</v>
      </c>
      <c r="O5100" t="s">
        <v>19</v>
      </c>
    </row>
    <row r="5101" spans="1:15" x14ac:dyDescent="0.25">
      <c r="A5101" t="s">
        <v>3961</v>
      </c>
      <c r="B5101" t="s">
        <v>15</v>
      </c>
      <c r="C5101" t="s">
        <v>27</v>
      </c>
      <c r="D5101" t="s">
        <v>17</v>
      </c>
      <c r="E5101" t="s">
        <v>18</v>
      </c>
      <c r="F5101" t="s">
        <v>19</v>
      </c>
      <c r="G5101" t="s">
        <v>20</v>
      </c>
      <c r="J5101" t="s">
        <v>17</v>
      </c>
      <c r="K5101" t="str">
        <f>"174810301"</f>
        <v>174810301</v>
      </c>
      <c r="L5101" t="str">
        <f>"174810301"</f>
        <v>174810301</v>
      </c>
      <c r="M5101" t="s">
        <v>75</v>
      </c>
      <c r="N5101" s="1">
        <v>43096.707638888889</v>
      </c>
      <c r="O5101" t="s">
        <v>19</v>
      </c>
    </row>
    <row r="5102" spans="1:15" x14ac:dyDescent="0.25">
      <c r="A5102" t="s">
        <v>3961</v>
      </c>
      <c r="B5102" t="s">
        <v>15</v>
      </c>
      <c r="C5102" t="s">
        <v>27</v>
      </c>
      <c r="D5102" t="s">
        <v>17</v>
      </c>
      <c r="E5102" t="s">
        <v>18</v>
      </c>
      <c r="F5102" t="s">
        <v>19</v>
      </c>
      <c r="G5102" t="s">
        <v>20</v>
      </c>
      <c r="J5102" t="s">
        <v>17</v>
      </c>
      <c r="K5102" t="str">
        <f>"765110301"</f>
        <v>765110301</v>
      </c>
      <c r="L5102" t="str">
        <f>"765110301"</f>
        <v>765110301</v>
      </c>
      <c r="M5102" t="s">
        <v>75</v>
      </c>
      <c r="N5102" s="1">
        <v>43148.649305555555</v>
      </c>
      <c r="O5102" t="s">
        <v>19</v>
      </c>
    </row>
    <row r="5103" spans="1:15" x14ac:dyDescent="0.25">
      <c r="A5103" t="s">
        <v>3962</v>
      </c>
      <c r="B5103" t="s">
        <v>15</v>
      </c>
      <c r="C5103" t="s">
        <v>27</v>
      </c>
      <c r="D5103" t="s">
        <v>17</v>
      </c>
      <c r="E5103" t="s">
        <v>18</v>
      </c>
      <c r="F5103" t="s">
        <v>19</v>
      </c>
      <c r="G5103" t="s">
        <v>20</v>
      </c>
      <c r="J5103" t="s">
        <v>17</v>
      </c>
      <c r="K5103" t="str">
        <f>"17481019"</f>
        <v>17481019</v>
      </c>
      <c r="L5103" t="str">
        <f>"17481019"</f>
        <v>17481019</v>
      </c>
      <c r="M5103" t="s">
        <v>75</v>
      </c>
      <c r="N5103" s="1">
        <v>42872.839583333334</v>
      </c>
      <c r="O5103" t="s">
        <v>19</v>
      </c>
    </row>
    <row r="5104" spans="1:15" x14ac:dyDescent="0.25">
      <c r="A5104" t="s">
        <v>3963</v>
      </c>
      <c r="B5104" t="s">
        <v>15</v>
      </c>
      <c r="C5104" t="s">
        <v>27</v>
      </c>
      <c r="D5104" t="s">
        <v>17</v>
      </c>
      <c r="E5104" t="s">
        <v>18</v>
      </c>
      <c r="F5104" t="s">
        <v>19</v>
      </c>
      <c r="G5104" t="s">
        <v>20</v>
      </c>
      <c r="J5104" t="s">
        <v>17</v>
      </c>
      <c r="K5104" t="str">
        <f>"17481002"</f>
        <v>17481002</v>
      </c>
      <c r="L5104" t="str">
        <f>"17481002"</f>
        <v>17481002</v>
      </c>
      <c r="M5104" t="s">
        <v>75</v>
      </c>
      <c r="N5104" s="1">
        <v>42872.839583333334</v>
      </c>
      <c r="O5104" t="s">
        <v>19</v>
      </c>
    </row>
    <row r="5105" spans="1:15" x14ac:dyDescent="0.25">
      <c r="A5105" t="s">
        <v>3963</v>
      </c>
      <c r="B5105" t="s">
        <v>15</v>
      </c>
      <c r="C5105" t="s">
        <v>27</v>
      </c>
      <c r="D5105" t="s">
        <v>17</v>
      </c>
      <c r="E5105" t="s">
        <v>18</v>
      </c>
      <c r="F5105" t="s">
        <v>19</v>
      </c>
      <c r="G5105" t="s">
        <v>20</v>
      </c>
      <c r="J5105" t="s">
        <v>17</v>
      </c>
      <c r="K5105" t="str">
        <f>"76481002"</f>
        <v>76481002</v>
      </c>
      <c r="L5105" t="str">
        <f>"76481002"</f>
        <v>76481002</v>
      </c>
      <c r="M5105" t="s">
        <v>75</v>
      </c>
      <c r="N5105" s="1">
        <v>42872.847222222219</v>
      </c>
      <c r="O5105" t="s">
        <v>19</v>
      </c>
    </row>
    <row r="5106" spans="1:15" x14ac:dyDescent="0.25">
      <c r="A5106" t="s">
        <v>3963</v>
      </c>
      <c r="B5106" t="s">
        <v>15</v>
      </c>
      <c r="C5106" t="s">
        <v>27</v>
      </c>
      <c r="D5106" t="s">
        <v>17</v>
      </c>
      <c r="E5106" t="s">
        <v>18</v>
      </c>
      <c r="F5106" t="s">
        <v>19</v>
      </c>
      <c r="G5106" t="s">
        <v>20</v>
      </c>
      <c r="J5106" t="s">
        <v>17</v>
      </c>
      <c r="K5106" t="str">
        <f>"764801002"</f>
        <v>764801002</v>
      </c>
      <c r="L5106" t="str">
        <f>"764801002"</f>
        <v>764801002</v>
      </c>
      <c r="M5106" t="s">
        <v>75</v>
      </c>
      <c r="N5106" s="1">
        <v>42872.849305555559</v>
      </c>
      <c r="O5106" t="s">
        <v>19</v>
      </c>
    </row>
    <row r="5107" spans="1:15" x14ac:dyDescent="0.25">
      <c r="A5107" t="s">
        <v>3963</v>
      </c>
      <c r="B5107" t="s">
        <v>15</v>
      </c>
      <c r="C5107" t="s">
        <v>27</v>
      </c>
      <c r="D5107" t="s">
        <v>17</v>
      </c>
      <c r="E5107" t="s">
        <v>18</v>
      </c>
      <c r="F5107" t="s">
        <v>19</v>
      </c>
      <c r="G5107" t="s">
        <v>20</v>
      </c>
      <c r="J5107" t="s">
        <v>17</v>
      </c>
      <c r="K5107" t="str">
        <f>"776481002"</f>
        <v>776481002</v>
      </c>
      <c r="L5107" t="str">
        <f>"776481002"</f>
        <v>776481002</v>
      </c>
      <c r="M5107" t="s">
        <v>75</v>
      </c>
      <c r="N5107" s="1">
        <v>42872.849305555559</v>
      </c>
      <c r="O5107" t="s">
        <v>19</v>
      </c>
    </row>
    <row r="5108" spans="1:15" x14ac:dyDescent="0.25">
      <c r="A5108" t="s">
        <v>3964</v>
      </c>
      <c r="B5108" t="s">
        <v>15</v>
      </c>
      <c r="C5108" t="s">
        <v>27</v>
      </c>
      <c r="D5108" t="s">
        <v>17</v>
      </c>
      <c r="E5108" t="s">
        <v>18</v>
      </c>
      <c r="F5108" t="s">
        <v>19</v>
      </c>
      <c r="G5108" t="s">
        <v>20</v>
      </c>
      <c r="J5108" t="s">
        <v>17</v>
      </c>
      <c r="K5108" t="str">
        <f>"174810304"</f>
        <v>174810304</v>
      </c>
      <c r="L5108" t="str">
        <f>"174810304"</f>
        <v>174810304</v>
      </c>
      <c r="M5108" t="s">
        <v>75</v>
      </c>
      <c r="N5108" s="1">
        <v>43175.784722222219</v>
      </c>
      <c r="O5108" t="s">
        <v>19</v>
      </c>
    </row>
    <row r="5109" spans="1:15" x14ac:dyDescent="0.25">
      <c r="A5109" t="s">
        <v>3965</v>
      </c>
      <c r="B5109" t="s">
        <v>15</v>
      </c>
      <c r="C5109" t="s">
        <v>27</v>
      </c>
      <c r="D5109" t="s">
        <v>17</v>
      </c>
      <c r="E5109" t="s">
        <v>18</v>
      </c>
      <c r="F5109" t="s">
        <v>19</v>
      </c>
      <c r="G5109" t="s">
        <v>20</v>
      </c>
      <c r="J5109" t="s">
        <v>17</v>
      </c>
      <c r="K5109" t="str">
        <f>"764810306"</f>
        <v>764810306</v>
      </c>
      <c r="L5109" t="str">
        <f>"764810306"</f>
        <v>764810306</v>
      </c>
      <c r="M5109" t="s">
        <v>75</v>
      </c>
      <c r="N5109" s="1">
        <v>42959.725694444445</v>
      </c>
      <c r="O5109" t="s">
        <v>19</v>
      </c>
    </row>
    <row r="5110" spans="1:15" x14ac:dyDescent="0.25">
      <c r="A5110" t="s">
        <v>3965</v>
      </c>
      <c r="B5110" t="s">
        <v>15</v>
      </c>
      <c r="C5110" t="s">
        <v>27</v>
      </c>
      <c r="D5110" t="s">
        <v>17</v>
      </c>
      <c r="E5110" t="s">
        <v>18</v>
      </c>
      <c r="F5110" t="s">
        <v>19</v>
      </c>
      <c r="G5110" t="s">
        <v>20</v>
      </c>
      <c r="J5110" t="s">
        <v>17</v>
      </c>
      <c r="K5110" t="str">
        <f>"765110306"</f>
        <v>765110306</v>
      </c>
      <c r="L5110" t="str">
        <f>"765110306"</f>
        <v>765110306</v>
      </c>
      <c r="M5110" t="s">
        <v>75</v>
      </c>
      <c r="N5110" s="1">
        <v>43148.654861111114</v>
      </c>
      <c r="O5110" t="s">
        <v>19</v>
      </c>
    </row>
    <row r="5111" spans="1:15" x14ac:dyDescent="0.25">
      <c r="A5111" t="s">
        <v>3965</v>
      </c>
      <c r="B5111" t="s">
        <v>15</v>
      </c>
      <c r="C5111" t="s">
        <v>27</v>
      </c>
      <c r="D5111" t="s">
        <v>17</v>
      </c>
      <c r="E5111" t="s">
        <v>18</v>
      </c>
      <c r="F5111" t="s">
        <v>19</v>
      </c>
      <c r="G5111" t="s">
        <v>20</v>
      </c>
      <c r="J5111" t="s">
        <v>17</v>
      </c>
      <c r="K5111" t="str">
        <f>"174810306"</f>
        <v>174810306</v>
      </c>
      <c r="L5111" t="str">
        <f>"174810306"</f>
        <v>174810306</v>
      </c>
      <c r="M5111" t="s">
        <v>75</v>
      </c>
      <c r="N5111" s="1">
        <v>43175.77847222222</v>
      </c>
      <c r="O5111" t="s">
        <v>19</v>
      </c>
    </row>
    <row r="5112" spans="1:15" x14ac:dyDescent="0.25">
      <c r="A5112" t="s">
        <v>3965</v>
      </c>
      <c r="B5112" t="s">
        <v>15</v>
      </c>
      <c r="C5112" t="s">
        <v>27</v>
      </c>
      <c r="D5112" t="s">
        <v>17</v>
      </c>
      <c r="E5112" t="s">
        <v>18</v>
      </c>
      <c r="F5112" t="s">
        <v>19</v>
      </c>
      <c r="G5112" t="s">
        <v>20</v>
      </c>
      <c r="J5112" t="s">
        <v>17</v>
      </c>
      <c r="K5112" t="str">
        <f>"763910306"</f>
        <v>763910306</v>
      </c>
      <c r="L5112" t="str">
        <f>"763910306"</f>
        <v>763910306</v>
      </c>
      <c r="M5112" t="s">
        <v>84</v>
      </c>
      <c r="N5112" s="1">
        <v>43251.711111111108</v>
      </c>
      <c r="O5112" t="s">
        <v>19</v>
      </c>
    </row>
    <row r="5113" spans="1:15" x14ac:dyDescent="0.25">
      <c r="A5113" t="s">
        <v>3966</v>
      </c>
      <c r="B5113" t="s">
        <v>15</v>
      </c>
      <c r="C5113" t="s">
        <v>27</v>
      </c>
      <c r="D5113" t="s">
        <v>17</v>
      </c>
      <c r="E5113" t="s">
        <v>18</v>
      </c>
      <c r="F5113" t="s">
        <v>19</v>
      </c>
      <c r="G5113" t="s">
        <v>20</v>
      </c>
      <c r="J5113" t="s">
        <v>17</v>
      </c>
      <c r="K5113" t="str">
        <f>"765110309"</f>
        <v>765110309</v>
      </c>
      <c r="L5113" t="str">
        <f>"765110309"</f>
        <v>765110309</v>
      </c>
      <c r="M5113" t="s">
        <v>75</v>
      </c>
      <c r="N5113" s="1">
        <v>43231.836111111108</v>
      </c>
      <c r="O5113" t="s">
        <v>19</v>
      </c>
    </row>
    <row r="5114" spans="1:15" x14ac:dyDescent="0.25">
      <c r="A5114" t="s">
        <v>3966</v>
      </c>
      <c r="B5114" t="s">
        <v>15</v>
      </c>
      <c r="C5114" t="s">
        <v>27</v>
      </c>
      <c r="D5114" t="s">
        <v>17</v>
      </c>
      <c r="E5114" t="s">
        <v>18</v>
      </c>
      <c r="F5114" t="s">
        <v>19</v>
      </c>
      <c r="G5114" t="s">
        <v>20</v>
      </c>
      <c r="J5114" t="s">
        <v>17</v>
      </c>
      <c r="K5114" t="str">
        <f>"1000001094397"</f>
        <v>1000001094397</v>
      </c>
      <c r="L5114" t="str">
        <f>"764810309"</f>
        <v>764810309</v>
      </c>
      <c r="M5114" t="s">
        <v>84</v>
      </c>
      <c r="N5114" s="1">
        <v>43286.972222222219</v>
      </c>
      <c r="O5114" t="s">
        <v>19</v>
      </c>
    </row>
    <row r="5115" spans="1:15" x14ac:dyDescent="0.25">
      <c r="A5115" t="s">
        <v>3966</v>
      </c>
      <c r="B5115" t="s">
        <v>15</v>
      </c>
      <c r="C5115" t="s">
        <v>27</v>
      </c>
      <c r="D5115" t="s">
        <v>17</v>
      </c>
      <c r="E5115" t="s">
        <v>18</v>
      </c>
      <c r="F5115" t="s">
        <v>19</v>
      </c>
      <c r="G5115" t="s">
        <v>20</v>
      </c>
      <c r="J5115" t="s">
        <v>17</v>
      </c>
      <c r="K5115" t="str">
        <f>"1000001094281"</f>
        <v>1000001094281</v>
      </c>
      <c r="L5115" t="str">
        <f>"766510309"</f>
        <v>766510309</v>
      </c>
      <c r="M5115" t="s">
        <v>84</v>
      </c>
      <c r="N5115" s="1">
        <v>43320.947222222225</v>
      </c>
      <c r="O5115" t="s">
        <v>19</v>
      </c>
    </row>
    <row r="5116" spans="1:15" x14ac:dyDescent="0.25">
      <c r="A5116" t="s">
        <v>3966</v>
      </c>
      <c r="B5116" t="s">
        <v>15</v>
      </c>
      <c r="C5116" t="s">
        <v>27</v>
      </c>
      <c r="D5116" t="s">
        <v>17</v>
      </c>
      <c r="E5116" t="s">
        <v>18</v>
      </c>
      <c r="F5116" t="s">
        <v>19</v>
      </c>
      <c r="G5116" t="s">
        <v>20</v>
      </c>
      <c r="J5116" t="s">
        <v>17</v>
      </c>
      <c r="K5116" t="str">
        <f>"763910309"</f>
        <v>763910309</v>
      </c>
      <c r="L5116" t="str">
        <f>"763910309"</f>
        <v>763910309</v>
      </c>
      <c r="M5116" t="s">
        <v>84</v>
      </c>
      <c r="N5116" s="1">
        <v>43335.710416666669</v>
      </c>
      <c r="O5116" t="s">
        <v>19</v>
      </c>
    </row>
    <row r="5117" spans="1:15" x14ac:dyDescent="0.25">
      <c r="A5117" t="s">
        <v>3966</v>
      </c>
      <c r="B5117" t="s">
        <v>15</v>
      </c>
      <c r="C5117" t="s">
        <v>27</v>
      </c>
      <c r="D5117" t="s">
        <v>17</v>
      </c>
      <c r="E5117" t="s">
        <v>18</v>
      </c>
      <c r="F5117" t="s">
        <v>19</v>
      </c>
      <c r="G5117" t="s">
        <v>20</v>
      </c>
      <c r="J5117" t="s">
        <v>17</v>
      </c>
      <c r="K5117" t="str">
        <f>"767710309"</f>
        <v>767710309</v>
      </c>
      <c r="L5117" t="str">
        <f>"767710309"</f>
        <v>767710309</v>
      </c>
      <c r="M5117" t="s">
        <v>84</v>
      </c>
      <c r="N5117" s="1">
        <v>43335.713888888888</v>
      </c>
      <c r="O5117" t="s">
        <v>19</v>
      </c>
    </row>
    <row r="5118" spans="1:15" x14ac:dyDescent="0.25">
      <c r="A5118" t="s">
        <v>3966</v>
      </c>
      <c r="B5118" t="s">
        <v>15</v>
      </c>
      <c r="C5118" t="s">
        <v>27</v>
      </c>
      <c r="D5118" t="s">
        <v>17</v>
      </c>
      <c r="E5118" t="s">
        <v>18</v>
      </c>
      <c r="F5118" t="s">
        <v>19</v>
      </c>
      <c r="G5118" t="s">
        <v>20</v>
      </c>
      <c r="J5118" t="s">
        <v>17</v>
      </c>
      <c r="K5118" t="str">
        <f>"645110309"</f>
        <v>645110309</v>
      </c>
      <c r="L5118" t="str">
        <f>"645110309"</f>
        <v>645110309</v>
      </c>
      <c r="M5118" t="s">
        <v>84</v>
      </c>
      <c r="N5118" s="1">
        <v>43336.635416666664</v>
      </c>
      <c r="O5118" t="s">
        <v>19</v>
      </c>
    </row>
    <row r="5119" spans="1:15" x14ac:dyDescent="0.25">
      <c r="A5119" t="s">
        <v>3967</v>
      </c>
      <c r="B5119" t="s">
        <v>15</v>
      </c>
      <c r="C5119" t="s">
        <v>27</v>
      </c>
      <c r="D5119" t="s">
        <v>17</v>
      </c>
      <c r="E5119" t="s">
        <v>18</v>
      </c>
      <c r="F5119" t="s">
        <v>19</v>
      </c>
      <c r="G5119" t="s">
        <v>20</v>
      </c>
      <c r="J5119" t="s">
        <v>17</v>
      </c>
      <c r="K5119" t="str">
        <f>"765110311"</f>
        <v>765110311</v>
      </c>
      <c r="L5119" t="str">
        <f>"765110311"</f>
        <v>765110311</v>
      </c>
      <c r="M5119" t="s">
        <v>75</v>
      </c>
      <c r="N5119" s="1">
        <v>43231.838888888888</v>
      </c>
      <c r="O5119" t="s">
        <v>19</v>
      </c>
    </row>
    <row r="5120" spans="1:15" x14ac:dyDescent="0.25">
      <c r="A5120" t="s">
        <v>3967</v>
      </c>
      <c r="B5120" t="s">
        <v>15</v>
      </c>
      <c r="C5120" t="s">
        <v>27</v>
      </c>
      <c r="D5120" t="s">
        <v>17</v>
      </c>
      <c r="E5120" t="s">
        <v>18</v>
      </c>
      <c r="F5120" t="s">
        <v>19</v>
      </c>
      <c r="G5120" t="s">
        <v>20</v>
      </c>
      <c r="J5120" t="s">
        <v>17</v>
      </c>
      <c r="K5120" t="str">
        <f>"764810311"</f>
        <v>764810311</v>
      </c>
      <c r="L5120" t="str">
        <f>"764810311"</f>
        <v>764810311</v>
      </c>
      <c r="M5120" t="s">
        <v>84</v>
      </c>
      <c r="N5120" s="1">
        <v>43451.669444444444</v>
      </c>
      <c r="O5120" t="s">
        <v>19</v>
      </c>
    </row>
    <row r="5121" spans="1:15" x14ac:dyDescent="0.25">
      <c r="A5121" t="s">
        <v>3968</v>
      </c>
      <c r="B5121" t="s">
        <v>15</v>
      </c>
      <c r="C5121" t="s">
        <v>27</v>
      </c>
      <c r="D5121" t="s">
        <v>17</v>
      </c>
      <c r="E5121" t="s">
        <v>18</v>
      </c>
      <c r="F5121" t="s">
        <v>19</v>
      </c>
      <c r="G5121" t="s">
        <v>20</v>
      </c>
      <c r="J5121" t="s">
        <v>17</v>
      </c>
      <c r="K5121" t="str">
        <f>"765110310"</f>
        <v>765110310</v>
      </c>
      <c r="L5121" t="str">
        <f>"765110310"</f>
        <v>765110310</v>
      </c>
      <c r="M5121" t="s">
        <v>75</v>
      </c>
      <c r="N5121" s="1">
        <v>43231.837500000001</v>
      </c>
      <c r="O5121" t="s">
        <v>19</v>
      </c>
    </row>
    <row r="5122" spans="1:15" x14ac:dyDescent="0.25">
      <c r="A5122" t="s">
        <v>3968</v>
      </c>
      <c r="B5122" t="s">
        <v>15</v>
      </c>
      <c r="C5122" t="s">
        <v>27</v>
      </c>
      <c r="D5122" t="s">
        <v>17</v>
      </c>
      <c r="E5122" t="s">
        <v>18</v>
      </c>
      <c r="F5122" t="s">
        <v>19</v>
      </c>
      <c r="G5122" t="s">
        <v>20</v>
      </c>
      <c r="J5122" t="s">
        <v>17</v>
      </c>
      <c r="K5122" t="str">
        <f>"763910310"</f>
        <v>763910310</v>
      </c>
      <c r="L5122" t="str">
        <f>"763910310"</f>
        <v>763910310</v>
      </c>
      <c r="M5122" t="s">
        <v>84</v>
      </c>
      <c r="N5122" s="1">
        <v>43335.714583333334</v>
      </c>
      <c r="O5122" t="s">
        <v>19</v>
      </c>
    </row>
    <row r="5123" spans="1:15" x14ac:dyDescent="0.25">
      <c r="A5123" t="s">
        <v>3968</v>
      </c>
      <c r="B5123" t="s">
        <v>15</v>
      </c>
      <c r="C5123" t="s">
        <v>27</v>
      </c>
      <c r="D5123" t="s">
        <v>17</v>
      </c>
      <c r="E5123" t="s">
        <v>18</v>
      </c>
      <c r="F5123" t="s">
        <v>19</v>
      </c>
      <c r="G5123" t="s">
        <v>20</v>
      </c>
      <c r="J5123" t="s">
        <v>17</v>
      </c>
      <c r="K5123" t="str">
        <f>"764810310"</f>
        <v>764810310</v>
      </c>
      <c r="L5123" t="str">
        <f>"764810310"</f>
        <v>764810310</v>
      </c>
      <c r="M5123" t="s">
        <v>84</v>
      </c>
      <c r="N5123" s="1">
        <v>43335.75277777778</v>
      </c>
      <c r="O5123" t="s">
        <v>19</v>
      </c>
    </row>
    <row r="5124" spans="1:15" x14ac:dyDescent="0.25">
      <c r="A5124" t="s">
        <v>3969</v>
      </c>
      <c r="B5124" t="s">
        <v>15</v>
      </c>
      <c r="C5124" t="s">
        <v>27</v>
      </c>
      <c r="D5124" t="s">
        <v>17</v>
      </c>
      <c r="E5124" t="s">
        <v>18</v>
      </c>
      <c r="F5124" t="s">
        <v>19</v>
      </c>
      <c r="G5124" t="s">
        <v>20</v>
      </c>
      <c r="J5124" t="s">
        <v>17</v>
      </c>
      <c r="K5124" t="str">
        <f>"766210323"</f>
        <v>766210323</v>
      </c>
      <c r="L5124" t="str">
        <f>"766210323"</f>
        <v>766210323</v>
      </c>
      <c r="M5124" t="s">
        <v>21</v>
      </c>
      <c r="N5124" s="1">
        <v>42872.849305555559</v>
      </c>
      <c r="O5124" t="s">
        <v>19</v>
      </c>
    </row>
    <row r="5125" spans="1:15" x14ac:dyDescent="0.25">
      <c r="A5125" t="s">
        <v>3969</v>
      </c>
      <c r="B5125" t="s">
        <v>15</v>
      </c>
      <c r="C5125" t="s">
        <v>27</v>
      </c>
      <c r="D5125" t="s">
        <v>17</v>
      </c>
      <c r="E5125" t="s">
        <v>18</v>
      </c>
      <c r="F5125" t="s">
        <v>19</v>
      </c>
      <c r="G5125" t="s">
        <v>20</v>
      </c>
      <c r="J5125" t="s">
        <v>17</v>
      </c>
      <c r="K5125" t="str">
        <f>"275815286"</f>
        <v>275815286</v>
      </c>
      <c r="L5125" t="str">
        <f>"275815286"</f>
        <v>275815286</v>
      </c>
      <c r="M5125" t="s">
        <v>75</v>
      </c>
      <c r="N5125" s="1">
        <v>42872.849305555559</v>
      </c>
      <c r="O5125" t="s">
        <v>19</v>
      </c>
    </row>
    <row r="5126" spans="1:15" x14ac:dyDescent="0.25">
      <c r="A5126" t="s">
        <v>3970</v>
      </c>
      <c r="B5126" t="s">
        <v>15</v>
      </c>
      <c r="C5126" t="s">
        <v>27</v>
      </c>
      <c r="D5126" t="s">
        <v>17</v>
      </c>
      <c r="E5126" t="s">
        <v>18</v>
      </c>
      <c r="F5126" t="s">
        <v>19</v>
      </c>
      <c r="G5126" t="s">
        <v>20</v>
      </c>
      <c r="J5126" t="s">
        <v>17</v>
      </c>
      <c r="K5126" t="str">
        <f>"17481059"</f>
        <v>17481059</v>
      </c>
      <c r="L5126" t="str">
        <f>"17481059"</f>
        <v>17481059</v>
      </c>
      <c r="M5126" t="s">
        <v>75</v>
      </c>
      <c r="N5126" s="1">
        <v>42872.839583333334</v>
      </c>
      <c r="O5126" t="s">
        <v>19</v>
      </c>
    </row>
    <row r="5127" spans="1:15" x14ac:dyDescent="0.25">
      <c r="A5127" t="s">
        <v>3970</v>
      </c>
      <c r="B5127" t="s">
        <v>15</v>
      </c>
      <c r="C5127" t="s">
        <v>27</v>
      </c>
      <c r="D5127" t="s">
        <v>17</v>
      </c>
      <c r="E5127" t="s">
        <v>18</v>
      </c>
      <c r="F5127" t="s">
        <v>19</v>
      </c>
      <c r="G5127" t="s">
        <v>20</v>
      </c>
      <c r="J5127" t="s">
        <v>17</v>
      </c>
      <c r="K5127" t="str">
        <f>"76481059"</f>
        <v>76481059</v>
      </c>
      <c r="L5127" t="str">
        <f>"76481059"</f>
        <v>76481059</v>
      </c>
      <c r="M5127" t="s">
        <v>75</v>
      </c>
      <c r="N5127" s="1">
        <v>42872.847222222219</v>
      </c>
      <c r="O5127" t="s">
        <v>19</v>
      </c>
    </row>
    <row r="5128" spans="1:15" x14ac:dyDescent="0.25">
      <c r="A5128" t="s">
        <v>3970</v>
      </c>
      <c r="B5128" t="s">
        <v>15</v>
      </c>
      <c r="C5128" t="s">
        <v>27</v>
      </c>
      <c r="D5128" t="s">
        <v>17</v>
      </c>
      <c r="E5128" t="s">
        <v>18</v>
      </c>
      <c r="F5128" t="s">
        <v>19</v>
      </c>
      <c r="G5128" t="s">
        <v>20</v>
      </c>
      <c r="J5128" t="s">
        <v>17</v>
      </c>
      <c r="K5128" t="str">
        <f>"76481061"</f>
        <v>76481061</v>
      </c>
      <c r="L5128" t="str">
        <f>"76481061"</f>
        <v>76481061</v>
      </c>
      <c r="M5128" t="s">
        <v>75</v>
      </c>
      <c r="N5128" s="1">
        <v>42872.847222222219</v>
      </c>
      <c r="O5128" t="s">
        <v>19</v>
      </c>
    </row>
    <row r="5129" spans="1:15" x14ac:dyDescent="0.25">
      <c r="A5129" t="s">
        <v>3970</v>
      </c>
      <c r="B5129" t="s">
        <v>15</v>
      </c>
      <c r="C5129" t="s">
        <v>27</v>
      </c>
      <c r="D5129" t="s">
        <v>17</v>
      </c>
      <c r="E5129" t="s">
        <v>18</v>
      </c>
      <c r="F5129" t="s">
        <v>19</v>
      </c>
      <c r="G5129" t="s">
        <v>20</v>
      </c>
      <c r="J5129" t="s">
        <v>17</v>
      </c>
      <c r="K5129" t="str">
        <f>"764810161"</f>
        <v>764810161</v>
      </c>
      <c r="L5129" t="str">
        <f>"764810161"</f>
        <v>764810161</v>
      </c>
      <c r="M5129" t="s">
        <v>75</v>
      </c>
      <c r="N5129" s="1">
        <v>42872.849305555559</v>
      </c>
      <c r="O5129" t="s">
        <v>19</v>
      </c>
    </row>
    <row r="5130" spans="1:15" x14ac:dyDescent="0.25">
      <c r="A5130" t="s">
        <v>3971</v>
      </c>
      <c r="B5130" t="s">
        <v>15</v>
      </c>
      <c r="C5130" t="s">
        <v>27</v>
      </c>
      <c r="D5130" t="s">
        <v>17</v>
      </c>
      <c r="E5130" t="s">
        <v>18</v>
      </c>
      <c r="F5130" t="s">
        <v>19</v>
      </c>
      <c r="G5130" t="s">
        <v>20</v>
      </c>
      <c r="J5130" t="s">
        <v>17</v>
      </c>
      <c r="K5130" t="str">
        <f>"17201062"</f>
        <v>17201062</v>
      </c>
      <c r="L5130" t="str">
        <f>"17201062"</f>
        <v>17201062</v>
      </c>
      <c r="M5130" t="s">
        <v>75</v>
      </c>
      <c r="N5130" s="1">
        <v>42872.839583333334</v>
      </c>
      <c r="O5130" t="s">
        <v>19</v>
      </c>
    </row>
    <row r="5131" spans="1:15" x14ac:dyDescent="0.25">
      <c r="A5131" t="s">
        <v>3971</v>
      </c>
      <c r="B5131" t="s">
        <v>15</v>
      </c>
      <c r="C5131" t="s">
        <v>27</v>
      </c>
      <c r="D5131" t="s">
        <v>17</v>
      </c>
      <c r="E5131" t="s">
        <v>18</v>
      </c>
      <c r="F5131" t="s">
        <v>19</v>
      </c>
      <c r="G5131" t="s">
        <v>20</v>
      </c>
      <c r="J5131" t="s">
        <v>17</v>
      </c>
      <c r="K5131" t="str">
        <f>"17481062"</f>
        <v>17481062</v>
      </c>
      <c r="L5131" t="str">
        <f>"17481062"</f>
        <v>17481062</v>
      </c>
      <c r="M5131" t="s">
        <v>75</v>
      </c>
      <c r="N5131" s="1">
        <v>42872.839583333334</v>
      </c>
      <c r="O5131" t="s">
        <v>19</v>
      </c>
    </row>
    <row r="5132" spans="1:15" x14ac:dyDescent="0.25">
      <c r="A5132" t="s">
        <v>3971</v>
      </c>
      <c r="B5132" t="s">
        <v>15</v>
      </c>
      <c r="C5132" t="s">
        <v>27</v>
      </c>
      <c r="D5132" t="s">
        <v>17</v>
      </c>
      <c r="E5132" t="s">
        <v>18</v>
      </c>
      <c r="F5132" t="s">
        <v>19</v>
      </c>
      <c r="G5132" t="s">
        <v>20</v>
      </c>
      <c r="J5132" t="s">
        <v>17</v>
      </c>
      <c r="K5132" t="str">
        <f>"27581062"</f>
        <v>27581062</v>
      </c>
      <c r="L5132" t="str">
        <f>"27581062"</f>
        <v>27581062</v>
      </c>
      <c r="M5132" t="s">
        <v>75</v>
      </c>
      <c r="N5132" s="1">
        <v>42872.839583333334</v>
      </c>
      <c r="O5132" t="s">
        <v>19</v>
      </c>
    </row>
    <row r="5133" spans="1:15" x14ac:dyDescent="0.25">
      <c r="A5133" t="s">
        <v>3971</v>
      </c>
      <c r="B5133" t="s">
        <v>15</v>
      </c>
      <c r="C5133" t="s">
        <v>27</v>
      </c>
      <c r="D5133" t="s">
        <v>17</v>
      </c>
      <c r="E5133" t="s">
        <v>18</v>
      </c>
      <c r="F5133" t="s">
        <v>19</v>
      </c>
      <c r="G5133" t="s">
        <v>20</v>
      </c>
      <c r="J5133" t="s">
        <v>17</v>
      </c>
      <c r="K5133" t="str">
        <f>"76461062"</f>
        <v>76461062</v>
      </c>
      <c r="L5133" t="str">
        <f>"76461062"</f>
        <v>76461062</v>
      </c>
      <c r="M5133" t="s">
        <v>75</v>
      </c>
      <c r="N5133" s="1">
        <v>42872.847222222219</v>
      </c>
      <c r="O5133" t="s">
        <v>19</v>
      </c>
    </row>
    <row r="5134" spans="1:15" x14ac:dyDescent="0.25">
      <c r="A5134" t="s">
        <v>3971</v>
      </c>
      <c r="B5134" t="s">
        <v>15</v>
      </c>
      <c r="C5134" t="s">
        <v>27</v>
      </c>
      <c r="D5134" t="s">
        <v>17</v>
      </c>
      <c r="E5134" t="s">
        <v>18</v>
      </c>
      <c r="F5134" t="s">
        <v>19</v>
      </c>
      <c r="G5134" t="s">
        <v>20</v>
      </c>
      <c r="J5134" t="s">
        <v>17</v>
      </c>
      <c r="K5134" t="str">
        <f>"171201062"</f>
        <v>171201062</v>
      </c>
      <c r="L5134" t="str">
        <f>"171201062"</f>
        <v>171201062</v>
      </c>
      <c r="M5134" t="s">
        <v>75</v>
      </c>
      <c r="N5134" s="1">
        <v>42872.847222222219</v>
      </c>
      <c r="O5134" t="s">
        <v>19</v>
      </c>
    </row>
    <row r="5135" spans="1:15" x14ac:dyDescent="0.25">
      <c r="A5135" t="s">
        <v>3971</v>
      </c>
      <c r="B5135" t="s">
        <v>15</v>
      </c>
      <c r="C5135" t="s">
        <v>27</v>
      </c>
      <c r="D5135" t="s">
        <v>17</v>
      </c>
      <c r="E5135" t="s">
        <v>18</v>
      </c>
      <c r="F5135" t="s">
        <v>19</v>
      </c>
      <c r="G5135" t="s">
        <v>20</v>
      </c>
      <c r="J5135" t="s">
        <v>17</v>
      </c>
      <c r="K5135" t="str">
        <f>"76471062"</f>
        <v>76471062</v>
      </c>
      <c r="L5135" t="str">
        <f>"76471062"</f>
        <v>76471062</v>
      </c>
      <c r="M5135" t="s">
        <v>75</v>
      </c>
      <c r="N5135" s="1">
        <v>42872.847222222219</v>
      </c>
      <c r="O5135" t="s">
        <v>19</v>
      </c>
    </row>
    <row r="5136" spans="1:15" x14ac:dyDescent="0.25">
      <c r="A5136" t="s">
        <v>3971</v>
      </c>
      <c r="B5136" t="s">
        <v>15</v>
      </c>
      <c r="C5136" t="s">
        <v>27</v>
      </c>
      <c r="D5136" t="s">
        <v>17</v>
      </c>
      <c r="E5136" t="s">
        <v>18</v>
      </c>
      <c r="F5136" t="s">
        <v>19</v>
      </c>
      <c r="G5136" t="s">
        <v>20</v>
      </c>
      <c r="J5136" t="s">
        <v>17</v>
      </c>
      <c r="K5136" t="str">
        <f>"76471063"</f>
        <v>76471063</v>
      </c>
      <c r="L5136" t="str">
        <f>"76471063"</f>
        <v>76471063</v>
      </c>
      <c r="M5136" t="s">
        <v>75</v>
      </c>
      <c r="N5136" s="1">
        <v>42872.847222222219</v>
      </c>
      <c r="O5136" t="s">
        <v>19</v>
      </c>
    </row>
    <row r="5137" spans="1:15" x14ac:dyDescent="0.25">
      <c r="A5137" t="s">
        <v>3971</v>
      </c>
      <c r="B5137" t="s">
        <v>15</v>
      </c>
      <c r="C5137" t="s">
        <v>27</v>
      </c>
      <c r="D5137" t="s">
        <v>17</v>
      </c>
      <c r="E5137" t="s">
        <v>18</v>
      </c>
      <c r="F5137" t="s">
        <v>19</v>
      </c>
      <c r="G5137" t="s">
        <v>20</v>
      </c>
      <c r="J5137" t="s">
        <v>17</v>
      </c>
      <c r="K5137" t="str">
        <f>"76481062"</f>
        <v>76481062</v>
      </c>
      <c r="L5137" t="str">
        <f>"76481062"</f>
        <v>76481062</v>
      </c>
      <c r="M5137" t="s">
        <v>75</v>
      </c>
      <c r="N5137" s="1">
        <v>42872.847222222219</v>
      </c>
      <c r="O5137" t="s">
        <v>19</v>
      </c>
    </row>
    <row r="5138" spans="1:15" x14ac:dyDescent="0.25">
      <c r="A5138" t="s">
        <v>3971</v>
      </c>
      <c r="B5138" t="s">
        <v>15</v>
      </c>
      <c r="C5138" t="s">
        <v>27</v>
      </c>
      <c r="D5138" t="s">
        <v>17</v>
      </c>
      <c r="E5138" t="s">
        <v>18</v>
      </c>
      <c r="F5138" t="s">
        <v>19</v>
      </c>
      <c r="G5138" t="s">
        <v>20</v>
      </c>
      <c r="J5138" t="s">
        <v>17</v>
      </c>
      <c r="K5138" t="str">
        <f>"76581062"</f>
        <v>76581062</v>
      </c>
      <c r="L5138" t="str">
        <f>"76581062"</f>
        <v>76581062</v>
      </c>
      <c r="M5138" t="s">
        <v>75</v>
      </c>
      <c r="N5138" s="1">
        <v>42872.847222222219</v>
      </c>
      <c r="O5138" t="s">
        <v>19</v>
      </c>
    </row>
    <row r="5139" spans="1:15" x14ac:dyDescent="0.25">
      <c r="A5139" t="s">
        <v>3971</v>
      </c>
      <c r="B5139" t="s">
        <v>15</v>
      </c>
      <c r="C5139" t="s">
        <v>27</v>
      </c>
      <c r="D5139" t="s">
        <v>17</v>
      </c>
      <c r="E5139" t="s">
        <v>18</v>
      </c>
      <c r="F5139" t="s">
        <v>19</v>
      </c>
      <c r="G5139" t="s">
        <v>20</v>
      </c>
      <c r="J5139" t="s">
        <v>17</v>
      </c>
      <c r="K5139" t="str">
        <f>"76751062"</f>
        <v>76751062</v>
      </c>
      <c r="L5139" t="str">
        <f>"76751062"</f>
        <v>76751062</v>
      </c>
      <c r="M5139" t="s">
        <v>75</v>
      </c>
      <c r="N5139" s="1">
        <v>42872.847222222219</v>
      </c>
      <c r="O5139" t="s">
        <v>19</v>
      </c>
    </row>
    <row r="5140" spans="1:15" x14ac:dyDescent="0.25">
      <c r="A5140" t="s">
        <v>3972</v>
      </c>
      <c r="B5140" t="s">
        <v>15</v>
      </c>
      <c r="C5140" t="s">
        <v>27</v>
      </c>
      <c r="D5140" t="s">
        <v>17</v>
      </c>
      <c r="E5140" t="s">
        <v>18</v>
      </c>
      <c r="F5140" t="s">
        <v>19</v>
      </c>
      <c r="G5140" t="s">
        <v>20</v>
      </c>
      <c r="J5140" t="s">
        <v>17</v>
      </c>
      <c r="K5140" t="str">
        <f>"17471064"</f>
        <v>17471064</v>
      </c>
      <c r="L5140" t="str">
        <f>"17471064"</f>
        <v>17471064</v>
      </c>
      <c r="M5140" t="s">
        <v>75</v>
      </c>
      <c r="N5140" s="1">
        <v>42872.839583333334</v>
      </c>
      <c r="O5140" t="s">
        <v>19</v>
      </c>
    </row>
    <row r="5141" spans="1:15" x14ac:dyDescent="0.25">
      <c r="A5141" t="s">
        <v>3972</v>
      </c>
      <c r="B5141" t="s">
        <v>15</v>
      </c>
      <c r="C5141" t="s">
        <v>27</v>
      </c>
      <c r="D5141" t="s">
        <v>17</v>
      </c>
      <c r="E5141" t="s">
        <v>18</v>
      </c>
      <c r="F5141" t="s">
        <v>19</v>
      </c>
      <c r="G5141" t="s">
        <v>20</v>
      </c>
      <c r="J5141" t="s">
        <v>17</v>
      </c>
      <c r="K5141" t="str">
        <f>"17481064"</f>
        <v>17481064</v>
      </c>
      <c r="L5141" t="str">
        <f>"17481064"</f>
        <v>17481064</v>
      </c>
      <c r="M5141" t="s">
        <v>75</v>
      </c>
      <c r="N5141" s="1">
        <v>42872.839583333334</v>
      </c>
      <c r="O5141" t="s">
        <v>19</v>
      </c>
    </row>
    <row r="5142" spans="1:15" x14ac:dyDescent="0.25">
      <c r="A5142" t="s">
        <v>3972</v>
      </c>
      <c r="B5142" t="s">
        <v>15</v>
      </c>
      <c r="C5142" t="s">
        <v>27</v>
      </c>
      <c r="D5142" t="s">
        <v>17</v>
      </c>
      <c r="E5142" t="s">
        <v>18</v>
      </c>
      <c r="F5142" t="s">
        <v>19</v>
      </c>
      <c r="G5142" t="s">
        <v>20</v>
      </c>
      <c r="J5142" t="s">
        <v>17</v>
      </c>
      <c r="K5142" t="str">
        <f>"76481064"</f>
        <v>76481064</v>
      </c>
      <c r="L5142" t="str">
        <f>"76481064"</f>
        <v>76481064</v>
      </c>
      <c r="M5142" t="s">
        <v>75</v>
      </c>
      <c r="N5142" s="1">
        <v>42872.847222222219</v>
      </c>
      <c r="O5142" t="s">
        <v>19</v>
      </c>
    </row>
    <row r="5143" spans="1:15" x14ac:dyDescent="0.25">
      <c r="A5143" t="s">
        <v>3972</v>
      </c>
      <c r="B5143" t="s">
        <v>15</v>
      </c>
      <c r="C5143" t="s">
        <v>27</v>
      </c>
      <c r="D5143" t="s">
        <v>17</v>
      </c>
      <c r="E5143" t="s">
        <v>18</v>
      </c>
      <c r="F5143" t="s">
        <v>19</v>
      </c>
      <c r="G5143" t="s">
        <v>20</v>
      </c>
      <c r="J5143" t="s">
        <v>17</v>
      </c>
      <c r="K5143" t="str">
        <f>"174810190"</f>
        <v>174810190</v>
      </c>
      <c r="L5143" t="str">
        <f>"174810190"</f>
        <v>174810190</v>
      </c>
      <c r="M5143" t="s">
        <v>75</v>
      </c>
      <c r="N5143" s="1">
        <v>42872.849305555559</v>
      </c>
      <c r="O5143" t="s">
        <v>19</v>
      </c>
    </row>
    <row r="5144" spans="1:15" x14ac:dyDescent="0.25">
      <c r="A5144" t="s">
        <v>3972</v>
      </c>
      <c r="B5144" t="s">
        <v>15</v>
      </c>
      <c r="C5144" t="s">
        <v>27</v>
      </c>
      <c r="D5144" t="s">
        <v>17</v>
      </c>
      <c r="E5144" t="s">
        <v>18</v>
      </c>
      <c r="F5144" t="s">
        <v>19</v>
      </c>
      <c r="G5144" t="s">
        <v>20</v>
      </c>
      <c r="J5144" t="s">
        <v>17</v>
      </c>
      <c r="K5144" t="str">
        <f>"76511064"</f>
        <v>76511064</v>
      </c>
      <c r="L5144" t="str">
        <f>"76511064"</f>
        <v>76511064</v>
      </c>
      <c r="M5144" t="s">
        <v>75</v>
      </c>
      <c r="N5144" s="1">
        <v>43217.634027777778</v>
      </c>
      <c r="O5144" t="s">
        <v>19</v>
      </c>
    </row>
    <row r="5145" spans="1:15" x14ac:dyDescent="0.25">
      <c r="A5145" t="s">
        <v>3972</v>
      </c>
      <c r="B5145" t="s">
        <v>15</v>
      </c>
      <c r="C5145" t="s">
        <v>27</v>
      </c>
      <c r="D5145" t="s">
        <v>17</v>
      </c>
      <c r="E5145" t="s">
        <v>18</v>
      </c>
      <c r="F5145" t="s">
        <v>19</v>
      </c>
      <c r="G5145" t="s">
        <v>20</v>
      </c>
      <c r="J5145" t="s">
        <v>17</v>
      </c>
      <c r="K5145" t="str">
        <f>"76641064"</f>
        <v>76641064</v>
      </c>
      <c r="L5145" t="str">
        <f>"76641064"</f>
        <v>76641064</v>
      </c>
      <c r="M5145" t="s">
        <v>84</v>
      </c>
      <c r="N5145" s="1">
        <v>43266.725694444445</v>
      </c>
      <c r="O5145" t="s">
        <v>19</v>
      </c>
    </row>
    <row r="5146" spans="1:15" x14ac:dyDescent="0.25">
      <c r="A5146" t="s">
        <v>3973</v>
      </c>
      <c r="B5146" t="s">
        <v>15</v>
      </c>
      <c r="C5146" t="s">
        <v>27</v>
      </c>
      <c r="D5146" t="s">
        <v>17</v>
      </c>
      <c r="E5146" t="s">
        <v>18</v>
      </c>
      <c r="F5146" t="s">
        <v>19</v>
      </c>
      <c r="G5146" t="s">
        <v>20</v>
      </c>
      <c r="J5146" t="s">
        <v>17</v>
      </c>
      <c r="K5146" t="str">
        <f>"174810231"</f>
        <v>174810231</v>
      </c>
      <c r="L5146" t="str">
        <f>"174810231"</f>
        <v>174810231</v>
      </c>
      <c r="M5146" t="s">
        <v>75</v>
      </c>
      <c r="N5146" s="1">
        <v>42872.849305555559</v>
      </c>
      <c r="O5146" t="s">
        <v>19</v>
      </c>
    </row>
    <row r="5147" spans="1:15" x14ac:dyDescent="0.25">
      <c r="A5147" t="s">
        <v>3973</v>
      </c>
      <c r="B5147" t="s">
        <v>15</v>
      </c>
      <c r="C5147" t="s">
        <v>27</v>
      </c>
      <c r="D5147" t="s">
        <v>17</v>
      </c>
      <c r="E5147" t="s">
        <v>18</v>
      </c>
      <c r="F5147" t="s">
        <v>19</v>
      </c>
      <c r="G5147" t="s">
        <v>20</v>
      </c>
      <c r="J5147" t="s">
        <v>17</v>
      </c>
      <c r="K5147" t="str">
        <f>"764810231"</f>
        <v>764810231</v>
      </c>
      <c r="L5147" t="str">
        <f>"764810231"</f>
        <v>764810231</v>
      </c>
      <c r="M5147" t="s">
        <v>75</v>
      </c>
      <c r="N5147" s="1">
        <v>42872.849305555559</v>
      </c>
      <c r="O5147" t="s">
        <v>19</v>
      </c>
    </row>
    <row r="5148" spans="1:15" x14ac:dyDescent="0.25">
      <c r="A5148" t="s">
        <v>3974</v>
      </c>
      <c r="B5148" t="s">
        <v>15</v>
      </c>
      <c r="C5148" t="s">
        <v>27</v>
      </c>
      <c r="D5148" t="s">
        <v>17</v>
      </c>
      <c r="E5148" t="s">
        <v>18</v>
      </c>
      <c r="F5148" t="s">
        <v>19</v>
      </c>
      <c r="G5148" t="s">
        <v>20</v>
      </c>
      <c r="J5148" t="s">
        <v>17</v>
      </c>
      <c r="K5148" t="str">
        <f>"174810268"</f>
        <v>174810268</v>
      </c>
      <c r="L5148" t="str">
        <f>"174810268"</f>
        <v>174810268</v>
      </c>
      <c r="M5148" t="s">
        <v>75</v>
      </c>
      <c r="N5148" s="1">
        <v>42872.849305555559</v>
      </c>
      <c r="O5148" t="s">
        <v>19</v>
      </c>
    </row>
    <row r="5149" spans="1:15" x14ac:dyDescent="0.25">
      <c r="A5149" t="s">
        <v>3974</v>
      </c>
      <c r="B5149" t="s">
        <v>15</v>
      </c>
      <c r="C5149" t="s">
        <v>27</v>
      </c>
      <c r="D5149" t="s">
        <v>17</v>
      </c>
      <c r="E5149" t="s">
        <v>18</v>
      </c>
      <c r="F5149" t="s">
        <v>19</v>
      </c>
      <c r="G5149" t="s">
        <v>20</v>
      </c>
      <c r="J5149" t="s">
        <v>17</v>
      </c>
      <c r="K5149" t="str">
        <f>"275810268"</f>
        <v>275810268</v>
      </c>
      <c r="L5149" t="str">
        <f>"275810268"</f>
        <v>275810268</v>
      </c>
      <c r="M5149" t="s">
        <v>75</v>
      </c>
      <c r="N5149" s="1">
        <v>42872.849305555559</v>
      </c>
      <c r="O5149" t="s">
        <v>19</v>
      </c>
    </row>
    <row r="5150" spans="1:15" x14ac:dyDescent="0.25">
      <c r="A5150" t="s">
        <v>3974</v>
      </c>
      <c r="B5150" t="s">
        <v>15</v>
      </c>
      <c r="C5150" t="s">
        <v>27</v>
      </c>
      <c r="D5150" t="s">
        <v>17</v>
      </c>
      <c r="E5150" t="s">
        <v>18</v>
      </c>
      <c r="F5150" t="s">
        <v>19</v>
      </c>
      <c r="G5150" t="s">
        <v>20</v>
      </c>
      <c r="J5150" t="s">
        <v>17</v>
      </c>
      <c r="K5150" t="str">
        <f>"764810268"</f>
        <v>764810268</v>
      </c>
      <c r="L5150" t="str">
        <f>"764810268"</f>
        <v>764810268</v>
      </c>
      <c r="M5150" t="s">
        <v>75</v>
      </c>
      <c r="N5150" s="1">
        <v>42872.849305555559</v>
      </c>
      <c r="O5150" t="s">
        <v>19</v>
      </c>
    </row>
    <row r="5151" spans="1:15" x14ac:dyDescent="0.25">
      <c r="A5151" t="s">
        <v>3974</v>
      </c>
      <c r="B5151" t="s">
        <v>15</v>
      </c>
      <c r="C5151" t="s">
        <v>27</v>
      </c>
      <c r="D5151" t="s">
        <v>17</v>
      </c>
      <c r="E5151" t="s">
        <v>18</v>
      </c>
      <c r="F5151" t="s">
        <v>19</v>
      </c>
      <c r="G5151" t="s">
        <v>20</v>
      </c>
      <c r="J5151" t="s">
        <v>17</v>
      </c>
      <c r="K5151" t="str">
        <f>"934810268"</f>
        <v>934810268</v>
      </c>
      <c r="L5151" t="str">
        <f>"934810268"</f>
        <v>934810268</v>
      </c>
      <c r="M5151" t="s">
        <v>75</v>
      </c>
      <c r="N5151" s="1">
        <v>42872.849305555559</v>
      </c>
      <c r="O5151" t="s">
        <v>19</v>
      </c>
    </row>
    <row r="5152" spans="1:15" x14ac:dyDescent="0.25">
      <c r="A5152" t="s">
        <v>3974</v>
      </c>
      <c r="B5152" t="s">
        <v>15</v>
      </c>
      <c r="C5152" t="s">
        <v>27</v>
      </c>
      <c r="D5152" t="s">
        <v>17</v>
      </c>
      <c r="E5152" t="s">
        <v>18</v>
      </c>
      <c r="F5152" t="s">
        <v>19</v>
      </c>
      <c r="G5152" t="s">
        <v>20</v>
      </c>
      <c r="J5152" t="s">
        <v>17</v>
      </c>
      <c r="K5152" t="str">
        <f>"5000005005470"</f>
        <v>5000005005470</v>
      </c>
      <c r="L5152" t="str">
        <f>"765110268"</f>
        <v>765110268</v>
      </c>
      <c r="M5152" t="s">
        <v>84</v>
      </c>
      <c r="N5152" s="1">
        <v>43351.677777777775</v>
      </c>
      <c r="O5152" t="s">
        <v>19</v>
      </c>
    </row>
    <row r="5153" spans="1:15" x14ac:dyDescent="0.25">
      <c r="A5153" t="s">
        <v>3975</v>
      </c>
      <c r="B5153" t="s">
        <v>15</v>
      </c>
      <c r="C5153" t="s">
        <v>27</v>
      </c>
      <c r="D5153" t="s">
        <v>17</v>
      </c>
      <c r="E5153" t="s">
        <v>18</v>
      </c>
      <c r="F5153" t="s">
        <v>19</v>
      </c>
      <c r="G5153" t="s">
        <v>20</v>
      </c>
      <c r="J5153" t="s">
        <v>17</v>
      </c>
      <c r="K5153" t="str">
        <f>"174710234"</f>
        <v>174710234</v>
      </c>
      <c r="L5153" t="str">
        <f>"174710234"</f>
        <v>174710234</v>
      </c>
      <c r="M5153" t="s">
        <v>75</v>
      </c>
      <c r="N5153" s="1">
        <v>42872.849305555559</v>
      </c>
      <c r="O5153" t="s">
        <v>19</v>
      </c>
    </row>
    <row r="5154" spans="1:15" x14ac:dyDescent="0.25">
      <c r="A5154" t="s">
        <v>3975</v>
      </c>
      <c r="B5154" t="s">
        <v>15</v>
      </c>
      <c r="C5154" t="s">
        <v>27</v>
      </c>
      <c r="D5154" t="s">
        <v>17</v>
      </c>
      <c r="E5154" t="s">
        <v>18</v>
      </c>
      <c r="F5154" t="s">
        <v>19</v>
      </c>
      <c r="G5154" t="s">
        <v>20</v>
      </c>
      <c r="J5154" t="s">
        <v>17</v>
      </c>
      <c r="K5154" t="str">
        <f>"174810234"</f>
        <v>174810234</v>
      </c>
      <c r="L5154" t="str">
        <f>"174810234"</f>
        <v>174810234</v>
      </c>
      <c r="M5154" t="s">
        <v>75</v>
      </c>
      <c r="N5154" s="1">
        <v>42872.849305555559</v>
      </c>
      <c r="O5154" t="s">
        <v>19</v>
      </c>
    </row>
    <row r="5155" spans="1:15" x14ac:dyDescent="0.25">
      <c r="A5155" t="s">
        <v>3975</v>
      </c>
      <c r="B5155" t="s">
        <v>15</v>
      </c>
      <c r="C5155" t="s">
        <v>27</v>
      </c>
      <c r="D5155" t="s">
        <v>17</v>
      </c>
      <c r="E5155" t="s">
        <v>18</v>
      </c>
      <c r="F5155" t="s">
        <v>19</v>
      </c>
      <c r="G5155" t="s">
        <v>20</v>
      </c>
      <c r="J5155" t="s">
        <v>17</v>
      </c>
      <c r="K5155" t="str">
        <f>"765110234"</f>
        <v>765110234</v>
      </c>
      <c r="L5155" t="str">
        <f>"765110234"</f>
        <v>765110234</v>
      </c>
      <c r="M5155" t="s">
        <v>75</v>
      </c>
      <c r="N5155" s="1">
        <v>43217.633333333331</v>
      </c>
      <c r="O5155" t="s">
        <v>19</v>
      </c>
    </row>
    <row r="5156" spans="1:15" x14ac:dyDescent="0.25">
      <c r="A5156" t="s">
        <v>3976</v>
      </c>
      <c r="B5156" t="s">
        <v>15</v>
      </c>
      <c r="C5156" t="s">
        <v>27</v>
      </c>
      <c r="D5156" t="s">
        <v>17</v>
      </c>
      <c r="E5156" t="s">
        <v>18</v>
      </c>
      <c r="F5156" t="s">
        <v>19</v>
      </c>
      <c r="G5156" t="s">
        <v>20</v>
      </c>
      <c r="J5156" t="s">
        <v>17</v>
      </c>
      <c r="K5156" t="str">
        <f>"174810295"</f>
        <v>174810295</v>
      </c>
      <c r="L5156" t="str">
        <f>"174810295"</f>
        <v>174810295</v>
      </c>
      <c r="M5156" t="s">
        <v>75</v>
      </c>
      <c r="N5156" s="1">
        <v>43113.703472222223</v>
      </c>
      <c r="O5156" t="s">
        <v>19</v>
      </c>
    </row>
    <row r="5157" spans="1:15" x14ac:dyDescent="0.25">
      <c r="A5157" t="s">
        <v>3976</v>
      </c>
      <c r="B5157" t="s">
        <v>15</v>
      </c>
      <c r="C5157" t="s">
        <v>27</v>
      </c>
      <c r="D5157" t="s">
        <v>17</v>
      </c>
      <c r="E5157" t="s">
        <v>18</v>
      </c>
      <c r="F5157" t="s">
        <v>19</v>
      </c>
      <c r="G5157" t="s">
        <v>20</v>
      </c>
      <c r="J5157" t="s">
        <v>17</v>
      </c>
      <c r="K5157" t="str">
        <f>"765110295"</f>
        <v>765110295</v>
      </c>
      <c r="L5157" t="str">
        <f>"765110295"</f>
        <v>765110295</v>
      </c>
      <c r="M5157" t="s">
        <v>75</v>
      </c>
      <c r="N5157" s="1">
        <v>43175.651388888888</v>
      </c>
      <c r="O5157" t="s">
        <v>19</v>
      </c>
    </row>
    <row r="5158" spans="1:15" x14ac:dyDescent="0.25">
      <c r="A5158" t="s">
        <v>3977</v>
      </c>
      <c r="B5158" t="s">
        <v>15</v>
      </c>
      <c r="C5158" t="s">
        <v>27</v>
      </c>
      <c r="D5158" t="s">
        <v>17</v>
      </c>
      <c r="E5158" t="s">
        <v>18</v>
      </c>
      <c r="F5158" t="s">
        <v>19</v>
      </c>
      <c r="G5158" t="s">
        <v>20</v>
      </c>
      <c r="J5158" t="s">
        <v>17</v>
      </c>
      <c r="K5158" t="str">
        <f>"767710296"</f>
        <v>767710296</v>
      </c>
      <c r="L5158" t="str">
        <f>"767710296"</f>
        <v>767710296</v>
      </c>
      <c r="M5158" t="s">
        <v>75</v>
      </c>
      <c r="N5158" s="1">
        <v>42872.849305555559</v>
      </c>
      <c r="O5158" t="s">
        <v>19</v>
      </c>
    </row>
    <row r="5159" spans="1:15" x14ac:dyDescent="0.25">
      <c r="A5159" t="s">
        <v>3977</v>
      </c>
      <c r="B5159" t="s">
        <v>15</v>
      </c>
      <c r="C5159" t="s">
        <v>27</v>
      </c>
      <c r="D5159" t="s">
        <v>17</v>
      </c>
      <c r="E5159" t="s">
        <v>18</v>
      </c>
      <c r="F5159" t="s">
        <v>19</v>
      </c>
      <c r="G5159" t="s">
        <v>20</v>
      </c>
      <c r="J5159" t="s">
        <v>17</v>
      </c>
      <c r="K5159" t="str">
        <f>"174810296"</f>
        <v>174810296</v>
      </c>
      <c r="L5159" t="str">
        <f>"174810296"</f>
        <v>174810296</v>
      </c>
      <c r="M5159" t="s">
        <v>75</v>
      </c>
      <c r="N5159" s="1">
        <v>42956.868750000001</v>
      </c>
      <c r="O5159" t="s">
        <v>19</v>
      </c>
    </row>
    <row r="5160" spans="1:15" x14ac:dyDescent="0.25">
      <c r="A5160" t="s">
        <v>3977</v>
      </c>
      <c r="B5160" t="s">
        <v>15</v>
      </c>
      <c r="C5160" t="s">
        <v>27</v>
      </c>
      <c r="D5160" t="s">
        <v>17</v>
      </c>
      <c r="E5160" t="s">
        <v>18</v>
      </c>
      <c r="F5160" t="s">
        <v>19</v>
      </c>
      <c r="G5160" t="s">
        <v>20</v>
      </c>
      <c r="J5160" t="s">
        <v>17</v>
      </c>
      <c r="K5160" t="str">
        <f>"345910296"</f>
        <v>345910296</v>
      </c>
      <c r="L5160" t="str">
        <f>"345910296"</f>
        <v>345910296</v>
      </c>
      <c r="M5160" t="s">
        <v>75</v>
      </c>
      <c r="N5160" s="1">
        <v>43131.69027777778</v>
      </c>
      <c r="O5160" t="s">
        <v>19</v>
      </c>
    </row>
    <row r="5161" spans="1:15" x14ac:dyDescent="0.25">
      <c r="A5161" t="s">
        <v>3977</v>
      </c>
      <c r="B5161" t="s">
        <v>15</v>
      </c>
      <c r="C5161" t="s">
        <v>27</v>
      </c>
      <c r="D5161" t="s">
        <v>17</v>
      </c>
      <c r="E5161" t="s">
        <v>18</v>
      </c>
      <c r="F5161" t="s">
        <v>19</v>
      </c>
      <c r="G5161" t="s">
        <v>20</v>
      </c>
      <c r="J5161" t="s">
        <v>17</v>
      </c>
      <c r="K5161" t="str">
        <f>"765110296"</f>
        <v>765110296</v>
      </c>
      <c r="L5161" t="str">
        <f>"765110296"</f>
        <v>765110296</v>
      </c>
      <c r="M5161" t="s">
        <v>84</v>
      </c>
      <c r="N5161" s="1">
        <v>43307.716666666667</v>
      </c>
      <c r="O5161" t="s">
        <v>19</v>
      </c>
    </row>
    <row r="5162" spans="1:15" x14ac:dyDescent="0.25">
      <c r="A5162" t="s">
        <v>3977</v>
      </c>
      <c r="B5162" t="s">
        <v>15</v>
      </c>
      <c r="C5162" t="s">
        <v>27</v>
      </c>
      <c r="D5162" t="s">
        <v>17</v>
      </c>
      <c r="E5162" t="s">
        <v>18</v>
      </c>
      <c r="F5162" t="s">
        <v>19</v>
      </c>
      <c r="G5162" t="s">
        <v>20</v>
      </c>
      <c r="J5162" t="s">
        <v>17</v>
      </c>
      <c r="K5162" t="str">
        <f>"764810296"</f>
        <v>764810296</v>
      </c>
      <c r="L5162" t="str">
        <f>"764810296"</f>
        <v>764810296</v>
      </c>
      <c r="M5162" t="s">
        <v>84</v>
      </c>
      <c r="N5162" s="1">
        <v>43419.906944444447</v>
      </c>
      <c r="O5162" t="s">
        <v>19</v>
      </c>
    </row>
    <row r="5163" spans="1:15" x14ac:dyDescent="0.25">
      <c r="A5163" t="s">
        <v>3978</v>
      </c>
      <c r="B5163" t="s">
        <v>15</v>
      </c>
      <c r="C5163" t="s">
        <v>27</v>
      </c>
      <c r="D5163" t="s">
        <v>17</v>
      </c>
      <c r="E5163" t="s">
        <v>18</v>
      </c>
      <c r="F5163" t="s">
        <v>19</v>
      </c>
      <c r="G5163" t="s">
        <v>20</v>
      </c>
      <c r="J5163" t="s">
        <v>17</v>
      </c>
      <c r="K5163" t="str">
        <f>"760410299"</f>
        <v>760410299</v>
      </c>
      <c r="L5163" t="str">
        <f>"760410299"</f>
        <v>760410299</v>
      </c>
      <c r="M5163" t="s">
        <v>75</v>
      </c>
      <c r="N5163" s="1">
        <v>43113.631944444445</v>
      </c>
      <c r="O5163" t="s">
        <v>19</v>
      </c>
    </row>
    <row r="5164" spans="1:15" x14ac:dyDescent="0.25">
      <c r="A5164" t="s">
        <v>3978</v>
      </c>
      <c r="B5164" t="s">
        <v>15</v>
      </c>
      <c r="C5164" t="s">
        <v>27</v>
      </c>
      <c r="D5164" t="s">
        <v>17</v>
      </c>
      <c r="E5164" t="s">
        <v>18</v>
      </c>
      <c r="F5164" t="s">
        <v>19</v>
      </c>
      <c r="G5164" t="s">
        <v>20</v>
      </c>
      <c r="J5164" t="s">
        <v>17</v>
      </c>
      <c r="K5164" t="str">
        <f>"174810299"</f>
        <v>174810299</v>
      </c>
      <c r="L5164" t="str">
        <f>"174810299"</f>
        <v>174810299</v>
      </c>
      <c r="M5164" t="s">
        <v>75</v>
      </c>
      <c r="N5164" s="1">
        <v>43113.705555555556</v>
      </c>
      <c r="O5164" t="s">
        <v>19</v>
      </c>
    </row>
    <row r="5165" spans="1:15" x14ac:dyDescent="0.25">
      <c r="A5165" t="s">
        <v>3978</v>
      </c>
      <c r="B5165" t="s">
        <v>15</v>
      </c>
      <c r="C5165" t="s">
        <v>27</v>
      </c>
      <c r="D5165" t="s">
        <v>17</v>
      </c>
      <c r="E5165" t="s">
        <v>18</v>
      </c>
      <c r="F5165" t="s">
        <v>19</v>
      </c>
      <c r="G5165" t="s">
        <v>20</v>
      </c>
      <c r="J5165" t="s">
        <v>17</v>
      </c>
      <c r="K5165" t="str">
        <f>"765110299"</f>
        <v>765110299</v>
      </c>
      <c r="L5165" t="str">
        <f>"765110299"</f>
        <v>765110299</v>
      </c>
      <c r="M5165" t="s">
        <v>75</v>
      </c>
      <c r="N5165" s="1">
        <v>43175.650694444441</v>
      </c>
      <c r="O5165" t="s">
        <v>19</v>
      </c>
    </row>
    <row r="5166" spans="1:15" x14ac:dyDescent="0.25">
      <c r="A5166" t="s">
        <v>3978</v>
      </c>
      <c r="B5166" t="s">
        <v>15</v>
      </c>
      <c r="C5166" t="s">
        <v>27</v>
      </c>
      <c r="D5166" t="s">
        <v>17</v>
      </c>
      <c r="E5166" t="s">
        <v>18</v>
      </c>
      <c r="F5166" t="s">
        <v>19</v>
      </c>
      <c r="G5166" t="s">
        <v>20</v>
      </c>
      <c r="J5166" t="s">
        <v>17</v>
      </c>
      <c r="K5166" t="str">
        <f>"765910299"</f>
        <v>765910299</v>
      </c>
      <c r="L5166" t="str">
        <f>"765910299"</f>
        <v>765910299</v>
      </c>
      <c r="M5166" t="s">
        <v>84</v>
      </c>
      <c r="N5166" s="1">
        <v>43236.899305555555</v>
      </c>
      <c r="O5166" t="s">
        <v>19</v>
      </c>
    </row>
    <row r="5167" spans="1:15" x14ac:dyDescent="0.25">
      <c r="A5167" t="s">
        <v>3979</v>
      </c>
      <c r="B5167" t="s">
        <v>15</v>
      </c>
      <c r="C5167" t="s">
        <v>27</v>
      </c>
      <c r="D5167" t="s">
        <v>17</v>
      </c>
      <c r="E5167" t="s">
        <v>18</v>
      </c>
      <c r="F5167" t="s">
        <v>19</v>
      </c>
      <c r="G5167" t="s">
        <v>20</v>
      </c>
      <c r="J5167" t="s">
        <v>17</v>
      </c>
      <c r="K5167" t="str">
        <f>"767510298"</f>
        <v>767510298</v>
      </c>
      <c r="L5167" t="str">
        <f>"767510298"</f>
        <v>767510298</v>
      </c>
      <c r="M5167" t="s">
        <v>75</v>
      </c>
      <c r="N5167" s="1">
        <v>43082.956250000003</v>
      </c>
      <c r="O5167" t="s">
        <v>19</v>
      </c>
    </row>
    <row r="5168" spans="1:15" x14ac:dyDescent="0.25">
      <c r="A5168" t="s">
        <v>3979</v>
      </c>
      <c r="B5168" t="s">
        <v>15</v>
      </c>
      <c r="C5168" t="s">
        <v>27</v>
      </c>
      <c r="D5168" t="s">
        <v>17</v>
      </c>
      <c r="E5168" t="s">
        <v>18</v>
      </c>
      <c r="F5168" t="s">
        <v>19</v>
      </c>
      <c r="G5168" t="s">
        <v>20</v>
      </c>
      <c r="J5168" t="s">
        <v>17</v>
      </c>
      <c r="K5168" t="str">
        <f>"174810298"</f>
        <v>174810298</v>
      </c>
      <c r="L5168" t="str">
        <f>"174810298"</f>
        <v>174810298</v>
      </c>
      <c r="M5168" t="s">
        <v>75</v>
      </c>
      <c r="N5168" s="1">
        <v>43133.656944444447</v>
      </c>
      <c r="O5168" t="s">
        <v>19</v>
      </c>
    </row>
    <row r="5169" spans="1:15" x14ac:dyDescent="0.25">
      <c r="A5169" t="s">
        <v>3979</v>
      </c>
      <c r="B5169" t="s">
        <v>15</v>
      </c>
      <c r="C5169" t="s">
        <v>27</v>
      </c>
      <c r="D5169" t="s">
        <v>17</v>
      </c>
      <c r="E5169" t="s">
        <v>18</v>
      </c>
      <c r="F5169" t="s">
        <v>19</v>
      </c>
      <c r="G5169" t="s">
        <v>20</v>
      </c>
      <c r="J5169" t="s">
        <v>17</v>
      </c>
      <c r="K5169" t="str">
        <f>"1000001087474"</f>
        <v>1000001087474</v>
      </c>
      <c r="L5169" t="str">
        <f>"765110298"</f>
        <v>765110298</v>
      </c>
      <c r="M5169" t="s">
        <v>84</v>
      </c>
      <c r="N5169" s="1">
        <v>43266.709722222222</v>
      </c>
      <c r="O5169" t="s">
        <v>19</v>
      </c>
    </row>
    <row r="5170" spans="1:15" x14ac:dyDescent="0.25">
      <c r="A5170" t="s">
        <v>3980</v>
      </c>
      <c r="B5170" t="s">
        <v>15</v>
      </c>
      <c r="C5170" t="s">
        <v>27</v>
      </c>
      <c r="D5170" t="s">
        <v>17</v>
      </c>
      <c r="E5170" t="s">
        <v>18</v>
      </c>
      <c r="F5170" t="s">
        <v>19</v>
      </c>
      <c r="G5170" t="s">
        <v>20</v>
      </c>
      <c r="J5170" t="s">
        <v>17</v>
      </c>
      <c r="K5170" t="str">
        <f>"765110308"</f>
        <v>765110308</v>
      </c>
      <c r="L5170" t="str">
        <f>"765110308"</f>
        <v>765110308</v>
      </c>
      <c r="M5170" t="s">
        <v>75</v>
      </c>
      <c r="N5170" s="1">
        <v>43231.835416666669</v>
      </c>
      <c r="O5170" t="s">
        <v>19</v>
      </c>
    </row>
    <row r="5171" spans="1:15" x14ac:dyDescent="0.25">
      <c r="A5171" t="s">
        <v>3980</v>
      </c>
      <c r="B5171" t="s">
        <v>15</v>
      </c>
      <c r="C5171" t="s">
        <v>27</v>
      </c>
      <c r="D5171" t="s">
        <v>17</v>
      </c>
      <c r="E5171" t="s">
        <v>18</v>
      </c>
      <c r="F5171" t="s">
        <v>19</v>
      </c>
      <c r="G5171" t="s">
        <v>20</v>
      </c>
      <c r="J5171" t="s">
        <v>17</v>
      </c>
      <c r="K5171" t="str">
        <f>"764810308"</f>
        <v>764810308</v>
      </c>
      <c r="L5171" t="str">
        <f>"764810308"</f>
        <v>764810308</v>
      </c>
      <c r="M5171" t="s">
        <v>84</v>
      </c>
      <c r="N5171" s="1">
        <v>43266.710416666669</v>
      </c>
      <c r="O5171" t="s">
        <v>19</v>
      </c>
    </row>
    <row r="5172" spans="1:15" x14ac:dyDescent="0.25">
      <c r="A5172" t="s">
        <v>3980</v>
      </c>
      <c r="B5172" t="s">
        <v>15</v>
      </c>
      <c r="C5172" t="s">
        <v>27</v>
      </c>
      <c r="D5172" t="s">
        <v>17</v>
      </c>
      <c r="E5172" t="s">
        <v>18</v>
      </c>
      <c r="F5172" t="s">
        <v>19</v>
      </c>
      <c r="G5172" t="s">
        <v>20</v>
      </c>
      <c r="J5172" t="s">
        <v>17</v>
      </c>
      <c r="K5172" t="str">
        <f>"415110308"</f>
        <v>415110308</v>
      </c>
      <c r="L5172" t="str">
        <f>"415110308"</f>
        <v>415110308</v>
      </c>
      <c r="M5172" t="s">
        <v>84</v>
      </c>
      <c r="N5172" s="1">
        <v>43350.870833333334</v>
      </c>
      <c r="O5172" t="s">
        <v>19</v>
      </c>
    </row>
    <row r="5173" spans="1:15" x14ac:dyDescent="0.25">
      <c r="A5173" t="s">
        <v>3980</v>
      </c>
      <c r="B5173" t="s">
        <v>15</v>
      </c>
      <c r="C5173" t="s">
        <v>27</v>
      </c>
      <c r="D5173" t="s">
        <v>17</v>
      </c>
      <c r="E5173" t="s">
        <v>18</v>
      </c>
      <c r="F5173" t="s">
        <v>19</v>
      </c>
      <c r="G5173" t="s">
        <v>20</v>
      </c>
      <c r="J5173" t="s">
        <v>17</v>
      </c>
      <c r="K5173" t="str">
        <f>"763910308"</f>
        <v>763910308</v>
      </c>
      <c r="L5173" t="str">
        <f>"763910308"</f>
        <v>763910308</v>
      </c>
      <c r="M5173" t="s">
        <v>84</v>
      </c>
      <c r="N5173" s="1">
        <v>43351.691666666666</v>
      </c>
      <c r="O5173" t="s">
        <v>19</v>
      </c>
    </row>
    <row r="5174" spans="1:15" x14ac:dyDescent="0.25">
      <c r="A5174" t="s">
        <v>3981</v>
      </c>
      <c r="B5174" t="s">
        <v>15</v>
      </c>
      <c r="C5174" t="s">
        <v>27</v>
      </c>
      <c r="D5174" t="s">
        <v>17</v>
      </c>
      <c r="E5174" t="s">
        <v>18</v>
      </c>
      <c r="F5174" t="s">
        <v>19</v>
      </c>
      <c r="G5174" t="s">
        <v>20</v>
      </c>
      <c r="J5174" t="s">
        <v>17</v>
      </c>
      <c r="K5174" t="str">
        <f>"615110312"</f>
        <v>615110312</v>
      </c>
      <c r="L5174" t="str">
        <f>"615110312"</f>
        <v>615110312</v>
      </c>
      <c r="M5174" t="s">
        <v>84</v>
      </c>
      <c r="N5174" s="1">
        <v>43328.623611111114</v>
      </c>
      <c r="O5174" t="s">
        <v>19</v>
      </c>
    </row>
    <row r="5175" spans="1:15" x14ac:dyDescent="0.25">
      <c r="A5175" t="s">
        <v>3981</v>
      </c>
      <c r="B5175" t="s">
        <v>15</v>
      </c>
      <c r="C5175" t="s">
        <v>27</v>
      </c>
      <c r="D5175" t="s">
        <v>17</v>
      </c>
      <c r="E5175" t="s">
        <v>18</v>
      </c>
      <c r="F5175" t="s">
        <v>19</v>
      </c>
      <c r="G5175" t="s">
        <v>20</v>
      </c>
      <c r="J5175" t="s">
        <v>17</v>
      </c>
      <c r="K5175" t="str">
        <f>"415110312"</f>
        <v>415110312</v>
      </c>
      <c r="L5175" t="str">
        <f>"415110312"</f>
        <v>415110312</v>
      </c>
      <c r="M5175" t="s">
        <v>84</v>
      </c>
      <c r="N5175" s="1">
        <v>43350.87222222222</v>
      </c>
      <c r="O5175" t="s">
        <v>19</v>
      </c>
    </row>
    <row r="5176" spans="1:15" x14ac:dyDescent="0.25">
      <c r="A5176" t="s">
        <v>3981</v>
      </c>
      <c r="B5176" t="s">
        <v>15</v>
      </c>
      <c r="C5176" t="s">
        <v>27</v>
      </c>
      <c r="D5176" t="s">
        <v>17</v>
      </c>
      <c r="E5176" t="s">
        <v>18</v>
      </c>
      <c r="F5176" t="s">
        <v>19</v>
      </c>
      <c r="G5176" t="s">
        <v>20</v>
      </c>
      <c r="J5176" t="s">
        <v>17</v>
      </c>
      <c r="K5176" t="str">
        <f>"764810312"</f>
        <v>764810312</v>
      </c>
      <c r="L5176" t="str">
        <f>"764810312"</f>
        <v>764810312</v>
      </c>
      <c r="M5176" t="s">
        <v>84</v>
      </c>
      <c r="N5176" s="1">
        <v>43465.643055555556</v>
      </c>
      <c r="O5176" t="s">
        <v>19</v>
      </c>
    </row>
    <row r="5177" spans="1:15" x14ac:dyDescent="0.25">
      <c r="A5177" t="s">
        <v>3982</v>
      </c>
      <c r="B5177" t="s">
        <v>15</v>
      </c>
      <c r="C5177" t="s">
        <v>27</v>
      </c>
      <c r="D5177" t="s">
        <v>17</v>
      </c>
      <c r="E5177" t="s">
        <v>18</v>
      </c>
      <c r="F5177" t="s">
        <v>19</v>
      </c>
      <c r="G5177" t="s">
        <v>20</v>
      </c>
      <c r="J5177" t="s">
        <v>17</v>
      </c>
      <c r="K5177" t="str">
        <f>"765110307"</f>
        <v>765110307</v>
      </c>
      <c r="L5177" t="str">
        <f>"765110307"</f>
        <v>765110307</v>
      </c>
      <c r="M5177" t="s">
        <v>75</v>
      </c>
      <c r="N5177" s="1">
        <v>43231.834722222222</v>
      </c>
      <c r="O5177" t="s">
        <v>19</v>
      </c>
    </row>
    <row r="5178" spans="1:15" x14ac:dyDescent="0.25">
      <c r="A5178" t="s">
        <v>3983</v>
      </c>
      <c r="B5178" t="s">
        <v>15</v>
      </c>
      <c r="C5178" t="s">
        <v>27</v>
      </c>
      <c r="D5178" t="s">
        <v>17</v>
      </c>
      <c r="E5178" t="s">
        <v>18</v>
      </c>
      <c r="F5178" t="s">
        <v>19</v>
      </c>
      <c r="G5178" t="s">
        <v>20</v>
      </c>
      <c r="J5178" t="s">
        <v>17</v>
      </c>
      <c r="K5178" t="str">
        <f>"765110314"</f>
        <v>765110314</v>
      </c>
      <c r="L5178" t="str">
        <f>"765110314"</f>
        <v>765110314</v>
      </c>
      <c r="M5178" t="s">
        <v>84</v>
      </c>
      <c r="N5178" s="1">
        <v>43545.647222222222</v>
      </c>
      <c r="O5178" t="s">
        <v>19</v>
      </c>
    </row>
    <row r="5179" spans="1:15" x14ac:dyDescent="0.25">
      <c r="A5179" t="s">
        <v>3983</v>
      </c>
      <c r="B5179" t="s">
        <v>15</v>
      </c>
      <c r="C5179" t="s">
        <v>27</v>
      </c>
      <c r="D5179" t="s">
        <v>17</v>
      </c>
      <c r="E5179" t="s">
        <v>18</v>
      </c>
      <c r="F5179" t="s">
        <v>19</v>
      </c>
      <c r="G5179" t="s">
        <v>20</v>
      </c>
      <c r="J5179" t="s">
        <v>17</v>
      </c>
      <c r="K5179" t="str">
        <f>"2019030400269"</f>
        <v>2019030400269</v>
      </c>
      <c r="L5179" t="str">
        <f>"187510314"</f>
        <v>187510314</v>
      </c>
      <c r="M5179" t="s">
        <v>21</v>
      </c>
      <c r="N5179" s="1">
        <v>43603.663888888892</v>
      </c>
      <c r="O5179" t="s">
        <v>19</v>
      </c>
    </row>
    <row r="5180" spans="1:15" x14ac:dyDescent="0.25">
      <c r="A5180" t="s">
        <v>3983</v>
      </c>
      <c r="B5180" t="s">
        <v>15</v>
      </c>
      <c r="C5180" t="s">
        <v>27</v>
      </c>
      <c r="D5180" t="s">
        <v>17</v>
      </c>
      <c r="E5180" t="s">
        <v>18</v>
      </c>
      <c r="F5180" t="s">
        <v>19</v>
      </c>
      <c r="G5180" t="s">
        <v>20</v>
      </c>
      <c r="J5180" t="s">
        <v>17</v>
      </c>
      <c r="K5180" t="str">
        <f>"2019030102378"</f>
        <v>2019030102378</v>
      </c>
      <c r="L5180" t="str">
        <f>"186410314"</f>
        <v>186410314</v>
      </c>
      <c r="M5180" t="s">
        <v>21</v>
      </c>
      <c r="N5180" s="1">
        <v>43603.693055555559</v>
      </c>
      <c r="O5180" t="s">
        <v>19</v>
      </c>
    </row>
    <row r="5181" spans="1:15" x14ac:dyDescent="0.25">
      <c r="A5181" t="s">
        <v>3984</v>
      </c>
      <c r="B5181" t="s">
        <v>15</v>
      </c>
      <c r="C5181" t="s">
        <v>27</v>
      </c>
      <c r="D5181" t="s">
        <v>17</v>
      </c>
      <c r="E5181" t="s">
        <v>18</v>
      </c>
      <c r="F5181" t="s">
        <v>19</v>
      </c>
      <c r="G5181" t="s">
        <v>20</v>
      </c>
      <c r="J5181" t="s">
        <v>17</v>
      </c>
      <c r="K5181" t="str">
        <f>"2019030102385"</f>
        <v>2019030102385</v>
      </c>
      <c r="L5181" t="str">
        <f>"186410315"</f>
        <v>186410315</v>
      </c>
      <c r="M5181" t="s">
        <v>21</v>
      </c>
      <c r="N5181" s="1">
        <v>43603.693055555559</v>
      </c>
      <c r="O5181" t="s">
        <v>19</v>
      </c>
    </row>
    <row r="5182" spans="1:15" x14ac:dyDescent="0.25">
      <c r="A5182" t="s">
        <v>3984</v>
      </c>
      <c r="B5182" t="s">
        <v>15</v>
      </c>
      <c r="C5182" t="s">
        <v>27</v>
      </c>
      <c r="D5182" t="s">
        <v>17</v>
      </c>
      <c r="E5182" t="s">
        <v>18</v>
      </c>
      <c r="F5182" t="s">
        <v>19</v>
      </c>
      <c r="G5182" t="s">
        <v>20</v>
      </c>
      <c r="J5182" t="s">
        <v>17</v>
      </c>
      <c r="K5182" t="str">
        <f>"1000001021560"</f>
        <v>1000001021560</v>
      </c>
      <c r="L5182" t="str">
        <f>"764810315"</f>
        <v>764810315</v>
      </c>
      <c r="M5182" t="s">
        <v>21</v>
      </c>
      <c r="N5182" s="1">
        <v>43720.741666666669</v>
      </c>
      <c r="O5182" t="s">
        <v>19</v>
      </c>
    </row>
    <row r="5183" spans="1:15" x14ac:dyDescent="0.25">
      <c r="A5183" t="s">
        <v>3985</v>
      </c>
      <c r="B5183" t="s">
        <v>15</v>
      </c>
      <c r="C5183" t="s">
        <v>27</v>
      </c>
      <c r="D5183" t="s">
        <v>17</v>
      </c>
      <c r="E5183" t="s">
        <v>18</v>
      </c>
      <c r="F5183" t="s">
        <v>19</v>
      </c>
      <c r="G5183" t="s">
        <v>20</v>
      </c>
      <c r="J5183" t="s">
        <v>17</v>
      </c>
      <c r="K5183" t="str">
        <f>"2019030102392"</f>
        <v>2019030102392</v>
      </c>
      <c r="L5183" t="str">
        <f>"186410316"</f>
        <v>186410316</v>
      </c>
      <c r="M5183" t="s">
        <v>21</v>
      </c>
      <c r="N5183" s="1">
        <v>43603.693749999999</v>
      </c>
      <c r="O5183" t="s">
        <v>19</v>
      </c>
    </row>
    <row r="5184" spans="1:15" x14ac:dyDescent="0.25">
      <c r="A5184" t="s">
        <v>3985</v>
      </c>
      <c r="B5184" t="s">
        <v>15</v>
      </c>
      <c r="C5184" t="s">
        <v>27</v>
      </c>
      <c r="D5184" t="s">
        <v>17</v>
      </c>
      <c r="E5184" t="s">
        <v>18</v>
      </c>
      <c r="F5184" t="s">
        <v>19</v>
      </c>
      <c r="G5184" t="s">
        <v>20</v>
      </c>
      <c r="J5184" t="s">
        <v>17</v>
      </c>
      <c r="K5184" t="str">
        <f>"2019030400283"</f>
        <v>2019030400283</v>
      </c>
      <c r="L5184" t="str">
        <f>"187510316"</f>
        <v>187510316</v>
      </c>
      <c r="M5184" t="s">
        <v>21</v>
      </c>
      <c r="N5184" s="1">
        <v>43609.95416666667</v>
      </c>
      <c r="O5184" t="s">
        <v>19</v>
      </c>
    </row>
    <row r="5185" spans="1:15" x14ac:dyDescent="0.25">
      <c r="A5185" t="s">
        <v>3985</v>
      </c>
      <c r="B5185" t="s">
        <v>15</v>
      </c>
      <c r="C5185" t="s">
        <v>27</v>
      </c>
      <c r="D5185" t="s">
        <v>17</v>
      </c>
      <c r="E5185" t="s">
        <v>18</v>
      </c>
      <c r="F5185" t="s">
        <v>19</v>
      </c>
      <c r="G5185" t="s">
        <v>20</v>
      </c>
      <c r="J5185" t="s">
        <v>17</v>
      </c>
      <c r="K5185" t="str">
        <f>"1000001022758"</f>
        <v>1000001022758</v>
      </c>
      <c r="L5185" t="str">
        <f>"764810316"</f>
        <v>764810316</v>
      </c>
      <c r="M5185" t="s">
        <v>21</v>
      </c>
      <c r="N5185" s="1">
        <v>43610.709722222222</v>
      </c>
      <c r="O5185" t="s">
        <v>19</v>
      </c>
    </row>
    <row r="5186" spans="1:15" x14ac:dyDescent="0.25">
      <c r="A5186" t="s">
        <v>3985</v>
      </c>
      <c r="B5186" t="s">
        <v>15</v>
      </c>
      <c r="C5186" t="s">
        <v>27</v>
      </c>
      <c r="D5186" t="s">
        <v>17</v>
      </c>
      <c r="E5186" t="s">
        <v>18</v>
      </c>
      <c r="F5186" t="s">
        <v>19</v>
      </c>
      <c r="G5186" t="s">
        <v>20</v>
      </c>
      <c r="J5186" t="s">
        <v>17</v>
      </c>
      <c r="K5186" t="str">
        <f>"685110316"</f>
        <v>685110316</v>
      </c>
      <c r="L5186" t="str">
        <f>"685110316"</f>
        <v>685110316</v>
      </c>
      <c r="M5186" t="s">
        <v>21</v>
      </c>
      <c r="N5186" s="1">
        <v>43798.825694444444</v>
      </c>
      <c r="O5186" t="s">
        <v>19</v>
      </c>
    </row>
    <row r="5187" spans="1:15" x14ac:dyDescent="0.25">
      <c r="A5187" t="s">
        <v>3986</v>
      </c>
      <c r="B5187" t="s">
        <v>15</v>
      </c>
      <c r="C5187" t="s">
        <v>27</v>
      </c>
      <c r="D5187" t="s">
        <v>17</v>
      </c>
      <c r="E5187" t="s">
        <v>18</v>
      </c>
      <c r="F5187" t="s">
        <v>19</v>
      </c>
      <c r="G5187" t="s">
        <v>20</v>
      </c>
      <c r="J5187" t="s">
        <v>17</v>
      </c>
      <c r="K5187" t="str">
        <f>"765110324"</f>
        <v>765110324</v>
      </c>
      <c r="L5187" t="str">
        <f>"765110324"</f>
        <v>765110324</v>
      </c>
      <c r="M5187" t="s">
        <v>21</v>
      </c>
      <c r="N5187" s="1">
        <v>43609.793749999997</v>
      </c>
      <c r="O5187" t="s">
        <v>19</v>
      </c>
    </row>
    <row r="5188" spans="1:15" x14ac:dyDescent="0.25">
      <c r="A5188" t="s">
        <v>3987</v>
      </c>
      <c r="B5188" t="s">
        <v>15</v>
      </c>
      <c r="C5188" t="s">
        <v>27</v>
      </c>
      <c r="D5188" t="s">
        <v>17</v>
      </c>
      <c r="E5188" t="s">
        <v>18</v>
      </c>
      <c r="F5188" t="s">
        <v>19</v>
      </c>
      <c r="G5188" t="s">
        <v>20</v>
      </c>
      <c r="J5188" t="s">
        <v>17</v>
      </c>
      <c r="K5188" t="str">
        <f>"1000001099897"</f>
        <v>1000001099897</v>
      </c>
      <c r="L5188" t="str">
        <f>"764810313"</f>
        <v>764810313</v>
      </c>
      <c r="M5188" t="s">
        <v>21</v>
      </c>
      <c r="N5188" s="1">
        <v>43451.665277777778</v>
      </c>
      <c r="O5188" t="s">
        <v>19</v>
      </c>
    </row>
    <row r="5189" spans="1:15" x14ac:dyDescent="0.25">
      <c r="A5189" t="s">
        <v>3988</v>
      </c>
      <c r="B5189" t="s">
        <v>15</v>
      </c>
      <c r="C5189" t="s">
        <v>27</v>
      </c>
      <c r="D5189" t="s">
        <v>17</v>
      </c>
      <c r="E5189" t="s">
        <v>18</v>
      </c>
      <c r="F5189" t="s">
        <v>19</v>
      </c>
      <c r="G5189" t="s">
        <v>20</v>
      </c>
      <c r="J5189" t="s">
        <v>17</v>
      </c>
      <c r="K5189" t="str">
        <f>"764810317"</f>
        <v>764810317</v>
      </c>
      <c r="L5189" t="str">
        <f>"764810317"</f>
        <v>764810317</v>
      </c>
      <c r="M5189" t="s">
        <v>21</v>
      </c>
      <c r="N5189" s="1">
        <v>43825.843055555553</v>
      </c>
      <c r="O5189" t="s">
        <v>19</v>
      </c>
    </row>
    <row r="5190" spans="1:15" x14ac:dyDescent="0.25">
      <c r="A5190" t="s">
        <v>3989</v>
      </c>
      <c r="B5190" t="s">
        <v>15</v>
      </c>
      <c r="C5190" t="s">
        <v>27</v>
      </c>
      <c r="D5190" t="s">
        <v>17</v>
      </c>
      <c r="E5190" t="s">
        <v>18</v>
      </c>
      <c r="F5190" t="s">
        <v>19</v>
      </c>
      <c r="G5190" t="s">
        <v>20</v>
      </c>
      <c r="J5190" t="s">
        <v>17</v>
      </c>
      <c r="K5190" t="str">
        <f>"17481079"</f>
        <v>17481079</v>
      </c>
      <c r="L5190" t="str">
        <f>"17481079"</f>
        <v>17481079</v>
      </c>
      <c r="M5190" t="s">
        <v>75</v>
      </c>
      <c r="N5190" s="1">
        <v>42872.839583333334</v>
      </c>
      <c r="O5190" t="s">
        <v>19</v>
      </c>
    </row>
    <row r="5191" spans="1:15" x14ac:dyDescent="0.25">
      <c r="A5191" t="s">
        <v>3990</v>
      </c>
      <c r="B5191" t="s">
        <v>15</v>
      </c>
      <c r="C5191" t="s">
        <v>27</v>
      </c>
      <c r="D5191" t="s">
        <v>17</v>
      </c>
      <c r="E5191" t="s">
        <v>18</v>
      </c>
      <c r="F5191" t="s">
        <v>19</v>
      </c>
      <c r="G5191" t="s">
        <v>20</v>
      </c>
      <c r="J5191" t="s">
        <v>17</v>
      </c>
      <c r="K5191" t="str">
        <f>"174810121"</f>
        <v>174810121</v>
      </c>
      <c r="L5191" t="str">
        <f>"174810121"</f>
        <v>174810121</v>
      </c>
      <c r="M5191" t="s">
        <v>75</v>
      </c>
      <c r="N5191" s="1">
        <v>42872.849305555559</v>
      </c>
      <c r="O5191" t="s">
        <v>19</v>
      </c>
    </row>
    <row r="5192" spans="1:15" x14ac:dyDescent="0.25">
      <c r="A5192" t="s">
        <v>3991</v>
      </c>
      <c r="B5192" t="s">
        <v>15</v>
      </c>
      <c r="C5192" t="s">
        <v>27</v>
      </c>
      <c r="D5192" t="s">
        <v>17</v>
      </c>
      <c r="E5192" t="s">
        <v>18</v>
      </c>
      <c r="F5192" t="s">
        <v>19</v>
      </c>
      <c r="G5192" t="s">
        <v>20</v>
      </c>
      <c r="J5192" t="s">
        <v>17</v>
      </c>
      <c r="K5192" t="str">
        <f>"17481082"</f>
        <v>17481082</v>
      </c>
      <c r="L5192" t="str">
        <f>"17481082"</f>
        <v>17481082</v>
      </c>
      <c r="M5192" t="s">
        <v>75</v>
      </c>
      <c r="N5192" s="1">
        <v>42872.839583333334</v>
      </c>
      <c r="O5192" t="s">
        <v>19</v>
      </c>
    </row>
    <row r="5193" spans="1:15" x14ac:dyDescent="0.25">
      <c r="A5193" t="s">
        <v>3991</v>
      </c>
      <c r="B5193" t="s">
        <v>15</v>
      </c>
      <c r="C5193" t="s">
        <v>27</v>
      </c>
      <c r="D5193" t="s">
        <v>17</v>
      </c>
      <c r="E5193" t="s">
        <v>18</v>
      </c>
      <c r="F5193" t="s">
        <v>19</v>
      </c>
      <c r="G5193" t="s">
        <v>20</v>
      </c>
      <c r="J5193" t="s">
        <v>17</v>
      </c>
      <c r="K5193" t="str">
        <f>"27581082"</f>
        <v>27581082</v>
      </c>
      <c r="L5193" t="str">
        <f>"27581082"</f>
        <v>27581082</v>
      </c>
      <c r="M5193" t="s">
        <v>75</v>
      </c>
      <c r="N5193" s="1">
        <v>42872.839583333334</v>
      </c>
      <c r="O5193" t="s">
        <v>19</v>
      </c>
    </row>
    <row r="5194" spans="1:15" x14ac:dyDescent="0.25">
      <c r="A5194" t="s">
        <v>3991</v>
      </c>
      <c r="B5194" t="s">
        <v>15</v>
      </c>
      <c r="C5194" t="s">
        <v>27</v>
      </c>
      <c r="D5194" t="s">
        <v>17</v>
      </c>
      <c r="E5194" t="s">
        <v>18</v>
      </c>
      <c r="F5194" t="s">
        <v>19</v>
      </c>
      <c r="G5194" t="s">
        <v>20</v>
      </c>
      <c r="J5194" t="s">
        <v>17</v>
      </c>
      <c r="K5194" t="str">
        <f>"76471059"</f>
        <v>76471059</v>
      </c>
      <c r="L5194" t="str">
        <f>"76471059"</f>
        <v>76471059</v>
      </c>
      <c r="M5194" t="s">
        <v>75</v>
      </c>
      <c r="N5194" s="1">
        <v>42872.847222222219</v>
      </c>
      <c r="O5194" t="s">
        <v>19</v>
      </c>
    </row>
    <row r="5195" spans="1:15" x14ac:dyDescent="0.25">
      <c r="A5195" t="s">
        <v>3992</v>
      </c>
      <c r="B5195" t="s">
        <v>15</v>
      </c>
      <c r="C5195" t="s">
        <v>27</v>
      </c>
      <c r="D5195" t="s">
        <v>17</v>
      </c>
      <c r="E5195" t="s">
        <v>18</v>
      </c>
      <c r="F5195" t="s">
        <v>19</v>
      </c>
      <c r="G5195" t="s">
        <v>20</v>
      </c>
      <c r="J5195" t="s">
        <v>17</v>
      </c>
      <c r="K5195" t="str">
        <f>"174810305"</f>
        <v>174810305</v>
      </c>
      <c r="L5195" t="str">
        <f>"174810305"</f>
        <v>174810305</v>
      </c>
      <c r="M5195" t="s">
        <v>75</v>
      </c>
      <c r="N5195" s="1">
        <v>43113.706944444442</v>
      </c>
      <c r="O5195" t="s">
        <v>19</v>
      </c>
    </row>
    <row r="5196" spans="1:15" x14ac:dyDescent="0.25">
      <c r="A5196" t="s">
        <v>3992</v>
      </c>
      <c r="B5196" t="s">
        <v>15</v>
      </c>
      <c r="C5196" t="s">
        <v>27</v>
      </c>
      <c r="D5196" t="s">
        <v>17</v>
      </c>
      <c r="E5196" t="s">
        <v>18</v>
      </c>
      <c r="F5196" t="s">
        <v>19</v>
      </c>
      <c r="G5196" t="s">
        <v>20</v>
      </c>
      <c r="J5196" t="s">
        <v>17</v>
      </c>
      <c r="K5196" t="str">
        <f>"765110305"</f>
        <v>765110305</v>
      </c>
      <c r="L5196" t="str">
        <f>"765110305"</f>
        <v>765110305</v>
      </c>
      <c r="M5196" t="s">
        <v>75</v>
      </c>
      <c r="N5196" s="1">
        <v>43217.634027777778</v>
      </c>
      <c r="O5196" t="s">
        <v>19</v>
      </c>
    </row>
    <row r="5197" spans="1:15" x14ac:dyDescent="0.25">
      <c r="A5197" t="s">
        <v>3992</v>
      </c>
      <c r="B5197" t="s">
        <v>15</v>
      </c>
      <c r="C5197" t="s">
        <v>27</v>
      </c>
      <c r="D5197" t="s">
        <v>17</v>
      </c>
      <c r="E5197" t="s">
        <v>18</v>
      </c>
      <c r="F5197" t="s">
        <v>19</v>
      </c>
      <c r="G5197" t="s">
        <v>20</v>
      </c>
      <c r="J5197" t="s">
        <v>17</v>
      </c>
      <c r="K5197" t="str">
        <f>"764810305"</f>
        <v>764810305</v>
      </c>
      <c r="L5197" t="str">
        <f>"764810305"</f>
        <v>764810305</v>
      </c>
      <c r="M5197" t="s">
        <v>84</v>
      </c>
      <c r="N5197" s="1">
        <v>43258.926388888889</v>
      </c>
      <c r="O5197" t="s">
        <v>19</v>
      </c>
    </row>
    <row r="5198" spans="1:15" x14ac:dyDescent="0.25">
      <c r="A5198" t="s">
        <v>3992</v>
      </c>
      <c r="B5198" t="s">
        <v>15</v>
      </c>
      <c r="C5198" t="s">
        <v>27</v>
      </c>
      <c r="D5198" t="s">
        <v>17</v>
      </c>
      <c r="E5198" t="s">
        <v>18</v>
      </c>
      <c r="F5198" t="s">
        <v>19</v>
      </c>
      <c r="G5198" t="s">
        <v>20</v>
      </c>
      <c r="J5198" t="s">
        <v>17</v>
      </c>
      <c r="K5198" t="str">
        <f>"175110305"</f>
        <v>175110305</v>
      </c>
      <c r="L5198" t="str">
        <f>"175110305"</f>
        <v>175110305</v>
      </c>
      <c r="M5198" t="s">
        <v>84</v>
      </c>
      <c r="N5198" s="1">
        <v>43419.948611111111</v>
      </c>
      <c r="O5198" t="s">
        <v>19</v>
      </c>
    </row>
    <row r="5199" spans="1:15" x14ac:dyDescent="0.25">
      <c r="A5199" t="s">
        <v>3993</v>
      </c>
      <c r="B5199" t="s">
        <v>15</v>
      </c>
      <c r="C5199" t="s">
        <v>27</v>
      </c>
      <c r="D5199" t="s">
        <v>17</v>
      </c>
      <c r="E5199" t="s">
        <v>18</v>
      </c>
      <c r="F5199" t="s">
        <v>19</v>
      </c>
      <c r="G5199" t="s">
        <v>20</v>
      </c>
      <c r="J5199" t="s">
        <v>17</v>
      </c>
      <c r="K5199" t="str">
        <f>"174810282"</f>
        <v>174810282</v>
      </c>
      <c r="L5199" t="str">
        <f>"174810282"</f>
        <v>174810282</v>
      </c>
      <c r="M5199" t="s">
        <v>75</v>
      </c>
      <c r="N5199" s="1">
        <v>42872.849305555559</v>
      </c>
      <c r="O5199" t="s">
        <v>19</v>
      </c>
    </row>
    <row r="5200" spans="1:15" x14ac:dyDescent="0.25">
      <c r="A5200" t="s">
        <v>3993</v>
      </c>
      <c r="B5200" t="s">
        <v>15</v>
      </c>
      <c r="C5200" t="s">
        <v>27</v>
      </c>
      <c r="D5200" t="s">
        <v>17</v>
      </c>
      <c r="E5200" t="s">
        <v>18</v>
      </c>
      <c r="F5200" t="s">
        <v>19</v>
      </c>
      <c r="G5200" t="s">
        <v>20</v>
      </c>
      <c r="J5200" t="s">
        <v>17</v>
      </c>
      <c r="K5200" t="str">
        <f>"275810282"</f>
        <v>275810282</v>
      </c>
      <c r="L5200" t="str">
        <f>"275810282"</f>
        <v>275810282</v>
      </c>
      <c r="M5200" t="s">
        <v>75</v>
      </c>
      <c r="N5200" s="1">
        <v>42872.849305555559</v>
      </c>
      <c r="O5200" t="s">
        <v>19</v>
      </c>
    </row>
    <row r="5201" spans="1:15" x14ac:dyDescent="0.25">
      <c r="A5201" t="s">
        <v>3994</v>
      </c>
      <c r="B5201" t="s">
        <v>15</v>
      </c>
      <c r="C5201" t="s">
        <v>27</v>
      </c>
      <c r="D5201" t="s">
        <v>17</v>
      </c>
      <c r="E5201" t="s">
        <v>18</v>
      </c>
      <c r="F5201" t="s">
        <v>19</v>
      </c>
      <c r="G5201" t="s">
        <v>20</v>
      </c>
      <c r="J5201" t="s">
        <v>17</v>
      </c>
      <c r="K5201" t="str">
        <f>"174710284"</f>
        <v>174710284</v>
      </c>
      <c r="L5201" t="str">
        <f>"174710284"</f>
        <v>174710284</v>
      </c>
      <c r="M5201" t="s">
        <v>75</v>
      </c>
      <c r="N5201" s="1">
        <v>42872.849305555559</v>
      </c>
      <c r="O5201" t="s">
        <v>19</v>
      </c>
    </row>
    <row r="5202" spans="1:15" x14ac:dyDescent="0.25">
      <c r="A5202" t="s">
        <v>3994</v>
      </c>
      <c r="B5202" t="s">
        <v>15</v>
      </c>
      <c r="C5202" t="s">
        <v>27</v>
      </c>
      <c r="D5202" t="s">
        <v>17</v>
      </c>
      <c r="E5202" t="s">
        <v>18</v>
      </c>
      <c r="F5202" t="s">
        <v>19</v>
      </c>
      <c r="G5202" t="s">
        <v>20</v>
      </c>
      <c r="J5202" t="s">
        <v>17</v>
      </c>
      <c r="K5202" t="str">
        <f>"174810284"</f>
        <v>174810284</v>
      </c>
      <c r="L5202" t="str">
        <f>"174810284"</f>
        <v>174810284</v>
      </c>
      <c r="M5202" t="s">
        <v>75</v>
      </c>
      <c r="N5202" s="1">
        <v>42872.849305555559</v>
      </c>
      <c r="O5202" t="s">
        <v>19</v>
      </c>
    </row>
    <row r="5203" spans="1:15" x14ac:dyDescent="0.25">
      <c r="A5203" t="s">
        <v>3994</v>
      </c>
      <c r="B5203" t="s">
        <v>15</v>
      </c>
      <c r="C5203" t="s">
        <v>27</v>
      </c>
      <c r="D5203" t="s">
        <v>17</v>
      </c>
      <c r="E5203" t="s">
        <v>18</v>
      </c>
      <c r="F5203" t="s">
        <v>19</v>
      </c>
      <c r="G5203" t="s">
        <v>20</v>
      </c>
      <c r="J5203" t="s">
        <v>17</v>
      </c>
      <c r="K5203" t="str">
        <f>"175810284"</f>
        <v>175810284</v>
      </c>
      <c r="L5203" t="str">
        <f>"175810284"</f>
        <v>175810284</v>
      </c>
      <c r="M5203" t="s">
        <v>75</v>
      </c>
      <c r="N5203" s="1">
        <v>42872.849305555559</v>
      </c>
      <c r="O5203" t="s">
        <v>19</v>
      </c>
    </row>
    <row r="5204" spans="1:15" x14ac:dyDescent="0.25">
      <c r="A5204" t="s">
        <v>3994</v>
      </c>
      <c r="B5204" t="s">
        <v>15</v>
      </c>
      <c r="C5204" t="s">
        <v>27</v>
      </c>
      <c r="D5204" t="s">
        <v>17</v>
      </c>
      <c r="E5204" t="s">
        <v>18</v>
      </c>
      <c r="F5204" t="s">
        <v>19</v>
      </c>
      <c r="G5204" t="s">
        <v>20</v>
      </c>
      <c r="J5204" t="s">
        <v>17</v>
      </c>
      <c r="K5204" t="str">
        <f>"684810284"</f>
        <v>684810284</v>
      </c>
      <c r="L5204" t="str">
        <f>"684810284"</f>
        <v>684810284</v>
      </c>
      <c r="M5204" t="s">
        <v>75</v>
      </c>
      <c r="N5204" s="1">
        <v>43007.68472222222</v>
      </c>
      <c r="O5204" t="s">
        <v>19</v>
      </c>
    </row>
    <row r="5205" spans="1:15" x14ac:dyDescent="0.25">
      <c r="A5205" t="s">
        <v>3995</v>
      </c>
      <c r="B5205" t="s">
        <v>15</v>
      </c>
      <c r="C5205" t="s">
        <v>27</v>
      </c>
      <c r="D5205" t="s">
        <v>17</v>
      </c>
      <c r="E5205" t="s">
        <v>18</v>
      </c>
      <c r="F5205" t="s">
        <v>19</v>
      </c>
      <c r="G5205" t="s">
        <v>20</v>
      </c>
      <c r="J5205" t="s">
        <v>17</v>
      </c>
      <c r="K5205" t="str">
        <f>"68481025"</f>
        <v>68481025</v>
      </c>
      <c r="L5205" t="str">
        <f>"68481025"</f>
        <v>68481025</v>
      </c>
      <c r="M5205" t="s">
        <v>75</v>
      </c>
      <c r="N5205" s="1">
        <v>43008.769444444442</v>
      </c>
      <c r="O5205" t="s">
        <v>19</v>
      </c>
    </row>
    <row r="5206" spans="1:15" x14ac:dyDescent="0.25">
      <c r="A5206" t="s">
        <v>3995</v>
      </c>
      <c r="B5206" t="s">
        <v>15</v>
      </c>
      <c r="C5206" t="s">
        <v>27</v>
      </c>
      <c r="D5206" t="s">
        <v>17</v>
      </c>
      <c r="E5206" t="s">
        <v>18</v>
      </c>
      <c r="F5206" t="s">
        <v>19</v>
      </c>
      <c r="G5206" t="s">
        <v>20</v>
      </c>
      <c r="J5206" t="s">
        <v>17</v>
      </c>
      <c r="K5206" t="str">
        <f>"76751025"</f>
        <v>76751025</v>
      </c>
      <c r="L5206" t="str">
        <f>"76751025"</f>
        <v>76751025</v>
      </c>
      <c r="M5206" t="s">
        <v>75</v>
      </c>
      <c r="N5206" s="1">
        <v>43033.840277777781</v>
      </c>
      <c r="O5206" t="s">
        <v>19</v>
      </c>
    </row>
    <row r="5207" spans="1:15" x14ac:dyDescent="0.25">
      <c r="A5207" t="s">
        <v>3995</v>
      </c>
      <c r="B5207" t="s">
        <v>15</v>
      </c>
      <c r="C5207" t="s">
        <v>27</v>
      </c>
      <c r="D5207" t="s">
        <v>17</v>
      </c>
      <c r="E5207" t="s">
        <v>18</v>
      </c>
      <c r="F5207" t="s">
        <v>19</v>
      </c>
      <c r="G5207" t="s">
        <v>20</v>
      </c>
      <c r="J5207" t="s">
        <v>17</v>
      </c>
      <c r="K5207" t="str">
        <f>"76511025"</f>
        <v>76511025</v>
      </c>
      <c r="L5207" t="str">
        <f>"76511025"</f>
        <v>76511025</v>
      </c>
      <c r="M5207" t="s">
        <v>75</v>
      </c>
      <c r="N5207" s="1">
        <v>43148.65</v>
      </c>
      <c r="O5207" t="s">
        <v>19</v>
      </c>
    </row>
    <row r="5208" spans="1:15" x14ac:dyDescent="0.25">
      <c r="A5208" t="s">
        <v>3995</v>
      </c>
      <c r="B5208" t="s">
        <v>15</v>
      </c>
      <c r="C5208" t="s">
        <v>27</v>
      </c>
      <c r="D5208" t="s">
        <v>17</v>
      </c>
      <c r="E5208" t="s">
        <v>18</v>
      </c>
      <c r="F5208" t="s">
        <v>19</v>
      </c>
      <c r="G5208" t="s">
        <v>20</v>
      </c>
      <c r="J5208" t="s">
        <v>17</v>
      </c>
      <c r="K5208" t="str">
        <f>"17481025"</f>
        <v>17481025</v>
      </c>
      <c r="L5208" t="str">
        <f>"17481025"</f>
        <v>17481025</v>
      </c>
      <c r="M5208" t="s">
        <v>75</v>
      </c>
      <c r="N5208" s="1">
        <v>43175.78125</v>
      </c>
      <c r="O5208" t="s">
        <v>19</v>
      </c>
    </row>
    <row r="5209" spans="1:15" x14ac:dyDescent="0.25">
      <c r="A5209" t="s">
        <v>3996</v>
      </c>
      <c r="B5209" t="s">
        <v>15</v>
      </c>
      <c r="C5209" t="s">
        <v>27</v>
      </c>
      <c r="D5209" t="s">
        <v>17</v>
      </c>
      <c r="E5209" t="s">
        <v>18</v>
      </c>
      <c r="F5209" t="s">
        <v>19</v>
      </c>
      <c r="G5209" t="s">
        <v>20</v>
      </c>
      <c r="J5209" t="s">
        <v>17</v>
      </c>
      <c r="K5209" t="str">
        <f>"76513161"</f>
        <v>76513161</v>
      </c>
      <c r="L5209" t="str">
        <f>"76513161"</f>
        <v>76513161</v>
      </c>
      <c r="M5209" t="s">
        <v>84</v>
      </c>
      <c r="N5209" s="1">
        <v>43451.662499999999</v>
      </c>
      <c r="O5209" t="s">
        <v>19</v>
      </c>
    </row>
    <row r="5210" spans="1:15" x14ac:dyDescent="0.25">
      <c r="A5210" t="s">
        <v>3997</v>
      </c>
      <c r="B5210" t="s">
        <v>15</v>
      </c>
      <c r="C5210" t="s">
        <v>27</v>
      </c>
      <c r="D5210" t="s">
        <v>17</v>
      </c>
      <c r="E5210" t="s">
        <v>18</v>
      </c>
      <c r="F5210" t="s">
        <v>19</v>
      </c>
      <c r="G5210" t="s">
        <v>20</v>
      </c>
      <c r="J5210" t="s">
        <v>17</v>
      </c>
      <c r="K5210" t="str">
        <f>"17483162"</f>
        <v>17483162</v>
      </c>
      <c r="L5210" t="str">
        <f>"17483162"</f>
        <v>17483162</v>
      </c>
      <c r="M5210" t="s">
        <v>75</v>
      </c>
      <c r="N5210" s="1">
        <v>43220.622916666667</v>
      </c>
      <c r="O5210" t="s">
        <v>19</v>
      </c>
    </row>
    <row r="5211" spans="1:15" x14ac:dyDescent="0.25">
      <c r="A5211" t="s">
        <v>3998</v>
      </c>
      <c r="B5211" t="s">
        <v>15</v>
      </c>
      <c r="C5211" t="s">
        <v>27</v>
      </c>
      <c r="D5211" t="s">
        <v>17</v>
      </c>
      <c r="E5211" t="s">
        <v>18</v>
      </c>
      <c r="F5211" t="s">
        <v>19</v>
      </c>
      <c r="G5211" t="s">
        <v>20</v>
      </c>
      <c r="J5211" t="s">
        <v>17</v>
      </c>
      <c r="K5211" t="str">
        <f>"1000001098432"</f>
        <v>1000001098432</v>
      </c>
      <c r="L5211" t="str">
        <f>"765131621"</f>
        <v>765131621</v>
      </c>
      <c r="M5211" t="s">
        <v>84</v>
      </c>
      <c r="N5211" s="1">
        <v>43465.645138888889</v>
      </c>
      <c r="O5211" t="s">
        <v>19</v>
      </c>
    </row>
    <row r="5212" spans="1:15" x14ac:dyDescent="0.25">
      <c r="A5212" t="s">
        <v>3998</v>
      </c>
      <c r="B5212" t="s">
        <v>15</v>
      </c>
      <c r="C5212" t="s">
        <v>27</v>
      </c>
      <c r="D5212" t="s">
        <v>17</v>
      </c>
      <c r="E5212" t="s">
        <v>18</v>
      </c>
      <c r="F5212" t="s">
        <v>19</v>
      </c>
      <c r="G5212" t="s">
        <v>20</v>
      </c>
      <c r="J5212" t="s">
        <v>17</v>
      </c>
      <c r="K5212" t="str">
        <f>"764831621"</f>
        <v>764831621</v>
      </c>
      <c r="L5212" t="str">
        <f>"764831621"</f>
        <v>764831621</v>
      </c>
      <c r="M5212" t="s">
        <v>21</v>
      </c>
      <c r="N5212" s="1">
        <v>43588.679861111108</v>
      </c>
      <c r="O5212" t="s">
        <v>19</v>
      </c>
    </row>
    <row r="5213" spans="1:15" x14ac:dyDescent="0.25">
      <c r="A5213" t="s">
        <v>3999</v>
      </c>
      <c r="B5213" t="s">
        <v>15</v>
      </c>
      <c r="C5213" t="s">
        <v>27</v>
      </c>
      <c r="D5213" t="s">
        <v>17</v>
      </c>
      <c r="E5213" t="s">
        <v>18</v>
      </c>
      <c r="F5213" t="s">
        <v>19</v>
      </c>
      <c r="G5213" t="s">
        <v>20</v>
      </c>
      <c r="J5213" t="s">
        <v>17</v>
      </c>
      <c r="K5213" t="str">
        <f>"76753163"</f>
        <v>76753163</v>
      </c>
      <c r="L5213" t="str">
        <f>"76753163"</f>
        <v>76753163</v>
      </c>
      <c r="M5213" t="s">
        <v>75</v>
      </c>
      <c r="N5213" s="1">
        <v>43045.749305555553</v>
      </c>
      <c r="O5213" t="s">
        <v>19</v>
      </c>
    </row>
    <row r="5214" spans="1:15" x14ac:dyDescent="0.25">
      <c r="A5214" t="s">
        <v>3999</v>
      </c>
      <c r="B5214" t="s">
        <v>15</v>
      </c>
      <c r="C5214" t="s">
        <v>27</v>
      </c>
      <c r="D5214" t="s">
        <v>17</v>
      </c>
      <c r="E5214" t="s">
        <v>18</v>
      </c>
      <c r="F5214" t="s">
        <v>19</v>
      </c>
      <c r="G5214" t="s">
        <v>20</v>
      </c>
      <c r="J5214" t="s">
        <v>17</v>
      </c>
      <c r="K5214" t="str">
        <f>"17483163"</f>
        <v>17483163</v>
      </c>
      <c r="L5214" t="str">
        <f>"17483163"</f>
        <v>17483163</v>
      </c>
      <c r="M5214" t="s">
        <v>75</v>
      </c>
      <c r="N5214" s="1">
        <v>43096.694444444445</v>
      </c>
      <c r="O5214" t="s">
        <v>19</v>
      </c>
    </row>
    <row r="5215" spans="1:15" x14ac:dyDescent="0.25">
      <c r="A5215" t="s">
        <v>3999</v>
      </c>
      <c r="B5215" t="s">
        <v>15</v>
      </c>
      <c r="C5215" t="s">
        <v>27</v>
      </c>
      <c r="D5215" t="s">
        <v>17</v>
      </c>
      <c r="E5215" t="s">
        <v>18</v>
      </c>
      <c r="F5215" t="s">
        <v>19</v>
      </c>
      <c r="G5215" t="s">
        <v>20</v>
      </c>
      <c r="J5215" t="s">
        <v>17</v>
      </c>
      <c r="K5215" t="str">
        <f>"76513163"</f>
        <v>76513163</v>
      </c>
      <c r="L5215" t="str">
        <f>"76513163"</f>
        <v>76513163</v>
      </c>
      <c r="M5215" t="s">
        <v>75</v>
      </c>
      <c r="N5215" s="1">
        <v>43132.961805555555</v>
      </c>
      <c r="O5215" t="s">
        <v>19</v>
      </c>
    </row>
    <row r="5216" spans="1:15" x14ac:dyDescent="0.25">
      <c r="A5216" t="s">
        <v>3999</v>
      </c>
      <c r="B5216" t="s">
        <v>15</v>
      </c>
      <c r="C5216" t="s">
        <v>27</v>
      </c>
      <c r="D5216" t="s">
        <v>17</v>
      </c>
      <c r="E5216" t="s">
        <v>18</v>
      </c>
      <c r="F5216" t="s">
        <v>19</v>
      </c>
      <c r="G5216" t="s">
        <v>20</v>
      </c>
      <c r="J5216" t="s">
        <v>17</v>
      </c>
      <c r="K5216" t="str">
        <f>"76483163"</f>
        <v>76483163</v>
      </c>
      <c r="L5216" t="str">
        <f>"76483163"</f>
        <v>76483163</v>
      </c>
      <c r="M5216" t="s">
        <v>84</v>
      </c>
      <c r="N5216" s="1">
        <v>43266.714583333334</v>
      </c>
      <c r="O5216" t="s">
        <v>19</v>
      </c>
    </row>
    <row r="5217" spans="1:15" x14ac:dyDescent="0.25">
      <c r="A5217" t="s">
        <v>3999</v>
      </c>
      <c r="B5217" t="s">
        <v>15</v>
      </c>
      <c r="C5217" t="s">
        <v>27</v>
      </c>
      <c r="D5217" t="s">
        <v>17</v>
      </c>
      <c r="E5217" t="s">
        <v>18</v>
      </c>
      <c r="F5217" t="s">
        <v>19</v>
      </c>
      <c r="G5217" t="s">
        <v>20</v>
      </c>
      <c r="J5217" t="s">
        <v>17</v>
      </c>
      <c r="K5217" t="str">
        <f>"76643163"</f>
        <v>76643163</v>
      </c>
      <c r="L5217" t="str">
        <f>"76643163"</f>
        <v>76643163</v>
      </c>
      <c r="M5217" t="s">
        <v>84</v>
      </c>
      <c r="N5217" s="1">
        <v>43370.634027777778</v>
      </c>
      <c r="O5217" t="s">
        <v>19</v>
      </c>
    </row>
    <row r="5218" spans="1:15" x14ac:dyDescent="0.25">
      <c r="A5218" t="s">
        <v>4000</v>
      </c>
      <c r="B5218" t="s">
        <v>15</v>
      </c>
      <c r="C5218" t="s">
        <v>27</v>
      </c>
      <c r="D5218" t="s">
        <v>17</v>
      </c>
      <c r="E5218" t="s">
        <v>18</v>
      </c>
      <c r="F5218" t="s">
        <v>19</v>
      </c>
      <c r="G5218" t="s">
        <v>20</v>
      </c>
      <c r="J5218" t="s">
        <v>17</v>
      </c>
      <c r="K5218" t="str">
        <f>"765131631"</f>
        <v>765131631</v>
      </c>
      <c r="L5218" t="str">
        <f>"765131631"</f>
        <v>765131631</v>
      </c>
      <c r="M5218" t="s">
        <v>21</v>
      </c>
      <c r="N5218" s="1">
        <v>43610.710416666669</v>
      </c>
      <c r="O5218" t="s">
        <v>19</v>
      </c>
    </row>
    <row r="5219" spans="1:15" x14ac:dyDescent="0.25">
      <c r="A5219" t="s">
        <v>4001</v>
      </c>
      <c r="B5219" t="s">
        <v>15</v>
      </c>
      <c r="C5219" t="s">
        <v>27</v>
      </c>
      <c r="D5219" t="s">
        <v>17</v>
      </c>
      <c r="E5219" t="s">
        <v>18</v>
      </c>
      <c r="F5219" t="s">
        <v>19</v>
      </c>
      <c r="G5219" t="s">
        <v>20</v>
      </c>
      <c r="J5219" t="s">
        <v>17</v>
      </c>
      <c r="K5219" t="str">
        <f>"76753165"</f>
        <v>76753165</v>
      </c>
      <c r="L5219" t="str">
        <f>"76753165"</f>
        <v>76753165</v>
      </c>
      <c r="M5219" t="s">
        <v>75</v>
      </c>
      <c r="N5219" s="1">
        <v>43045.74722222222</v>
      </c>
      <c r="O5219" t="s">
        <v>19</v>
      </c>
    </row>
    <row r="5220" spans="1:15" x14ac:dyDescent="0.25">
      <c r="A5220" t="s">
        <v>4001</v>
      </c>
      <c r="B5220" t="s">
        <v>15</v>
      </c>
      <c r="C5220" t="s">
        <v>27</v>
      </c>
      <c r="D5220" t="s">
        <v>17</v>
      </c>
      <c r="E5220" t="s">
        <v>18</v>
      </c>
      <c r="F5220" t="s">
        <v>19</v>
      </c>
      <c r="G5220" t="s">
        <v>20</v>
      </c>
      <c r="J5220" t="s">
        <v>17</v>
      </c>
      <c r="K5220" t="str">
        <f>"17483165"</f>
        <v>17483165</v>
      </c>
      <c r="L5220" t="str">
        <f>"17483165"</f>
        <v>17483165</v>
      </c>
      <c r="M5220" t="s">
        <v>75</v>
      </c>
      <c r="N5220" s="1">
        <v>43096.695138888892</v>
      </c>
      <c r="O5220" t="s">
        <v>19</v>
      </c>
    </row>
    <row r="5221" spans="1:15" x14ac:dyDescent="0.25">
      <c r="A5221" t="s">
        <v>4001</v>
      </c>
      <c r="B5221" t="s">
        <v>15</v>
      </c>
      <c r="C5221" t="s">
        <v>27</v>
      </c>
      <c r="D5221" t="s">
        <v>17</v>
      </c>
      <c r="E5221" t="s">
        <v>18</v>
      </c>
      <c r="F5221" t="s">
        <v>19</v>
      </c>
      <c r="G5221" t="s">
        <v>20</v>
      </c>
      <c r="J5221" t="s">
        <v>17</v>
      </c>
      <c r="K5221" t="str">
        <f>"76393165"</f>
        <v>76393165</v>
      </c>
      <c r="L5221" t="str">
        <f>"76393165"</f>
        <v>76393165</v>
      </c>
      <c r="M5221" t="s">
        <v>75</v>
      </c>
      <c r="N5221" s="1">
        <v>43196.836805555555</v>
      </c>
      <c r="O5221" t="s">
        <v>19</v>
      </c>
    </row>
    <row r="5222" spans="1:15" x14ac:dyDescent="0.25">
      <c r="A5222" t="s">
        <v>4001</v>
      </c>
      <c r="B5222" t="s">
        <v>15</v>
      </c>
      <c r="C5222" t="s">
        <v>27</v>
      </c>
      <c r="D5222" t="s">
        <v>17</v>
      </c>
      <c r="E5222" t="s">
        <v>18</v>
      </c>
      <c r="F5222" t="s">
        <v>19</v>
      </c>
      <c r="G5222" t="s">
        <v>20</v>
      </c>
      <c r="J5222" t="s">
        <v>17</v>
      </c>
      <c r="K5222" t="str">
        <f>"76483165"</f>
        <v>76483165</v>
      </c>
      <c r="L5222" t="str">
        <f>"76483165"</f>
        <v>76483165</v>
      </c>
      <c r="M5222" t="s">
        <v>84</v>
      </c>
      <c r="N5222" s="1">
        <v>43258.927083333336</v>
      </c>
      <c r="O5222" t="s">
        <v>19</v>
      </c>
    </row>
    <row r="5223" spans="1:15" x14ac:dyDescent="0.25">
      <c r="A5223" t="s">
        <v>4002</v>
      </c>
      <c r="B5223" t="s">
        <v>15</v>
      </c>
      <c r="C5223" t="s">
        <v>27</v>
      </c>
      <c r="D5223" t="s">
        <v>17</v>
      </c>
      <c r="E5223" t="s">
        <v>18</v>
      </c>
      <c r="F5223" t="s">
        <v>19</v>
      </c>
      <c r="G5223" t="s">
        <v>20</v>
      </c>
      <c r="J5223" t="s">
        <v>17</v>
      </c>
      <c r="K5223" t="str">
        <f>"764831651"</f>
        <v>764831651</v>
      </c>
      <c r="L5223" t="str">
        <f>"764831651"</f>
        <v>764831651</v>
      </c>
      <c r="M5223" t="s">
        <v>21</v>
      </c>
      <c r="N5223" s="1">
        <v>43588.681250000001</v>
      </c>
      <c r="O5223" t="s">
        <v>19</v>
      </c>
    </row>
    <row r="5224" spans="1:15" x14ac:dyDescent="0.25">
      <c r="A5224" t="s">
        <v>4003</v>
      </c>
      <c r="B5224" t="s">
        <v>15</v>
      </c>
      <c r="C5224" t="s">
        <v>27</v>
      </c>
      <c r="D5224" t="s">
        <v>17</v>
      </c>
      <c r="E5224" t="s">
        <v>18</v>
      </c>
      <c r="F5224" t="s">
        <v>19</v>
      </c>
      <c r="G5224" t="s">
        <v>20</v>
      </c>
      <c r="J5224" t="s">
        <v>17</v>
      </c>
      <c r="K5224" t="str">
        <f>"764831652"</f>
        <v>764831652</v>
      </c>
      <c r="L5224" t="str">
        <f>"764831652"</f>
        <v>764831652</v>
      </c>
      <c r="M5224" t="s">
        <v>21</v>
      </c>
      <c r="N5224" s="1">
        <v>43588.681250000001</v>
      </c>
      <c r="O5224" t="s">
        <v>19</v>
      </c>
    </row>
    <row r="5225" spans="1:15" x14ac:dyDescent="0.25">
      <c r="A5225" t="s">
        <v>4003</v>
      </c>
      <c r="B5225" t="s">
        <v>15</v>
      </c>
      <c r="C5225" t="s">
        <v>27</v>
      </c>
      <c r="D5225" t="s">
        <v>17</v>
      </c>
      <c r="E5225" t="s">
        <v>18</v>
      </c>
      <c r="F5225" t="s">
        <v>19</v>
      </c>
      <c r="G5225" t="s">
        <v>20</v>
      </c>
      <c r="J5225" t="s">
        <v>17</v>
      </c>
      <c r="K5225" t="str">
        <f>"68483351"</f>
        <v>68483351</v>
      </c>
      <c r="L5225" t="str">
        <f>"68483351"</f>
        <v>68483351</v>
      </c>
      <c r="M5225" t="s">
        <v>21</v>
      </c>
      <c r="N5225" s="1">
        <v>43721.59097222222</v>
      </c>
      <c r="O5225" t="s">
        <v>19</v>
      </c>
    </row>
    <row r="5226" spans="1:15" x14ac:dyDescent="0.25">
      <c r="A5226" t="s">
        <v>4004</v>
      </c>
      <c r="B5226" t="s">
        <v>15</v>
      </c>
      <c r="C5226" t="s">
        <v>27</v>
      </c>
      <c r="D5226" t="s">
        <v>17</v>
      </c>
      <c r="E5226" t="s">
        <v>18</v>
      </c>
      <c r="F5226" t="s">
        <v>19</v>
      </c>
      <c r="G5226" t="s">
        <v>20</v>
      </c>
      <c r="J5226" t="s">
        <v>17</v>
      </c>
      <c r="K5226" t="str">
        <f>"76753166"</f>
        <v>76753166</v>
      </c>
      <c r="L5226" t="str">
        <f>"76753166"</f>
        <v>76753166</v>
      </c>
      <c r="M5226" t="s">
        <v>75</v>
      </c>
      <c r="N5226" s="1">
        <v>43045.746527777781</v>
      </c>
      <c r="O5226" t="s">
        <v>19</v>
      </c>
    </row>
    <row r="5227" spans="1:15" x14ac:dyDescent="0.25">
      <c r="A5227" t="s">
        <v>4005</v>
      </c>
      <c r="B5227" t="s">
        <v>15</v>
      </c>
      <c r="C5227" t="s">
        <v>27</v>
      </c>
      <c r="D5227" t="s">
        <v>17</v>
      </c>
      <c r="E5227" t="s">
        <v>18</v>
      </c>
      <c r="F5227" t="s">
        <v>19</v>
      </c>
      <c r="G5227" t="s">
        <v>20</v>
      </c>
      <c r="J5227" t="s">
        <v>17</v>
      </c>
      <c r="K5227" t="str">
        <f>"17483166"</f>
        <v>17483166</v>
      </c>
      <c r="L5227" t="str">
        <f>"17483166"</f>
        <v>17483166</v>
      </c>
      <c r="M5227" t="s">
        <v>75</v>
      </c>
      <c r="N5227" s="1">
        <v>43096.695833333331</v>
      </c>
      <c r="O5227" t="s">
        <v>19</v>
      </c>
    </row>
    <row r="5228" spans="1:15" x14ac:dyDescent="0.25">
      <c r="A5228" t="s">
        <v>4004</v>
      </c>
      <c r="B5228" t="s">
        <v>15</v>
      </c>
      <c r="C5228" t="s">
        <v>27</v>
      </c>
      <c r="D5228" t="s">
        <v>17</v>
      </c>
      <c r="E5228" t="s">
        <v>18</v>
      </c>
      <c r="F5228" t="s">
        <v>19</v>
      </c>
      <c r="G5228" t="s">
        <v>20</v>
      </c>
      <c r="J5228" t="s">
        <v>17</v>
      </c>
      <c r="K5228" t="str">
        <f>"76513166"</f>
        <v>76513166</v>
      </c>
      <c r="L5228" t="str">
        <f>"76513166"</f>
        <v>76513166</v>
      </c>
      <c r="M5228" t="s">
        <v>75</v>
      </c>
      <c r="N5228" s="1">
        <v>43196.713888888888</v>
      </c>
      <c r="O5228" t="s">
        <v>19</v>
      </c>
    </row>
    <row r="5229" spans="1:15" x14ac:dyDescent="0.25">
      <c r="A5229" t="s">
        <v>4004</v>
      </c>
      <c r="B5229" t="s">
        <v>15</v>
      </c>
      <c r="C5229" t="s">
        <v>27</v>
      </c>
      <c r="D5229" t="s">
        <v>17</v>
      </c>
      <c r="E5229" t="s">
        <v>18</v>
      </c>
      <c r="F5229" t="s">
        <v>19</v>
      </c>
      <c r="G5229" t="s">
        <v>20</v>
      </c>
      <c r="J5229" t="s">
        <v>17</v>
      </c>
      <c r="K5229" t="str">
        <f>"76393166"</f>
        <v>76393166</v>
      </c>
      <c r="L5229" t="str">
        <f>"76393166"</f>
        <v>76393166</v>
      </c>
      <c r="M5229" t="s">
        <v>75</v>
      </c>
      <c r="N5229" s="1">
        <v>43196.838194444441</v>
      </c>
      <c r="O5229" t="s">
        <v>19</v>
      </c>
    </row>
    <row r="5230" spans="1:15" x14ac:dyDescent="0.25">
      <c r="A5230" t="s">
        <v>4005</v>
      </c>
      <c r="B5230" t="s">
        <v>15</v>
      </c>
      <c r="C5230" t="s">
        <v>27</v>
      </c>
      <c r="D5230" t="s">
        <v>17</v>
      </c>
      <c r="E5230" t="s">
        <v>18</v>
      </c>
      <c r="F5230" t="s">
        <v>19</v>
      </c>
      <c r="G5230" t="s">
        <v>20</v>
      </c>
      <c r="J5230" t="s">
        <v>17</v>
      </c>
      <c r="K5230" t="str">
        <f>"76483166"</f>
        <v>76483166</v>
      </c>
      <c r="L5230" t="str">
        <f>"76483166"</f>
        <v>76483166</v>
      </c>
      <c r="M5230" t="s">
        <v>84</v>
      </c>
      <c r="N5230" s="1">
        <v>43332.581944444442</v>
      </c>
      <c r="O5230" t="s">
        <v>19</v>
      </c>
    </row>
    <row r="5231" spans="1:15" x14ac:dyDescent="0.25">
      <c r="A5231" t="s">
        <v>4006</v>
      </c>
      <c r="B5231" t="s">
        <v>15</v>
      </c>
      <c r="C5231" t="s">
        <v>27</v>
      </c>
      <c r="D5231" t="s">
        <v>17</v>
      </c>
      <c r="E5231" t="s">
        <v>18</v>
      </c>
      <c r="F5231" t="s">
        <v>19</v>
      </c>
      <c r="G5231" t="s">
        <v>20</v>
      </c>
      <c r="J5231" t="s">
        <v>17</v>
      </c>
      <c r="K5231" t="str">
        <f>"765131661"</f>
        <v>765131661</v>
      </c>
      <c r="L5231" t="str">
        <f>"765131661"</f>
        <v>765131661</v>
      </c>
      <c r="M5231" t="s">
        <v>84</v>
      </c>
      <c r="N5231" s="1">
        <v>43328.945138888892</v>
      </c>
      <c r="O5231" t="s">
        <v>19</v>
      </c>
    </row>
    <row r="5232" spans="1:15" x14ac:dyDescent="0.25">
      <c r="A5232" t="s">
        <v>4007</v>
      </c>
      <c r="B5232" t="s">
        <v>15</v>
      </c>
      <c r="C5232" t="s">
        <v>27</v>
      </c>
      <c r="D5232" t="s">
        <v>17</v>
      </c>
      <c r="E5232" t="s">
        <v>18</v>
      </c>
      <c r="F5232" t="s">
        <v>19</v>
      </c>
      <c r="G5232" t="s">
        <v>20</v>
      </c>
      <c r="J5232" t="s">
        <v>17</v>
      </c>
      <c r="K5232" t="str">
        <f>"76513168"</f>
        <v>76513168</v>
      </c>
      <c r="L5232" t="str">
        <f>"76513168"</f>
        <v>76513168</v>
      </c>
      <c r="M5232" t="s">
        <v>75</v>
      </c>
      <c r="N5232" s="1">
        <v>43175.650694444441</v>
      </c>
      <c r="O5232" t="s">
        <v>19</v>
      </c>
    </row>
    <row r="5233" spans="1:15" x14ac:dyDescent="0.25">
      <c r="A5233" t="s">
        <v>4008</v>
      </c>
      <c r="B5233" t="s">
        <v>15</v>
      </c>
      <c r="C5233" t="s">
        <v>27</v>
      </c>
      <c r="D5233" t="s">
        <v>17</v>
      </c>
      <c r="E5233" t="s">
        <v>18</v>
      </c>
      <c r="F5233" t="s">
        <v>19</v>
      </c>
      <c r="G5233" t="s">
        <v>20</v>
      </c>
      <c r="J5233" t="s">
        <v>17</v>
      </c>
      <c r="K5233" t="str">
        <f>"174820182"</f>
        <v>174820182</v>
      </c>
      <c r="L5233" t="str">
        <f>"174820182"</f>
        <v>174820182</v>
      </c>
      <c r="M5233" t="s">
        <v>75</v>
      </c>
      <c r="N5233" s="1">
        <v>42872.849305555559</v>
      </c>
      <c r="O5233" t="s">
        <v>19</v>
      </c>
    </row>
    <row r="5234" spans="1:15" x14ac:dyDescent="0.25">
      <c r="A5234" t="s">
        <v>4009</v>
      </c>
      <c r="B5234" t="s">
        <v>15</v>
      </c>
      <c r="C5234" t="s">
        <v>27</v>
      </c>
      <c r="D5234" t="s">
        <v>17</v>
      </c>
      <c r="E5234" t="s">
        <v>18</v>
      </c>
      <c r="F5234" t="s">
        <v>19</v>
      </c>
      <c r="G5234" t="s">
        <v>20</v>
      </c>
      <c r="J5234" t="s">
        <v>17</v>
      </c>
      <c r="K5234" t="str">
        <f>"17480123"</f>
        <v>17480123</v>
      </c>
      <c r="L5234" t="str">
        <f>"17480123"</f>
        <v>17480123</v>
      </c>
      <c r="M5234" t="s">
        <v>75</v>
      </c>
      <c r="N5234" s="1">
        <v>42872.839583333334</v>
      </c>
      <c r="O5234" t="s">
        <v>19</v>
      </c>
    </row>
    <row r="5235" spans="1:15" x14ac:dyDescent="0.25">
      <c r="A5235" t="s">
        <v>4009</v>
      </c>
      <c r="B5235" t="s">
        <v>15</v>
      </c>
      <c r="C5235" t="s">
        <v>27</v>
      </c>
      <c r="D5235" t="s">
        <v>17</v>
      </c>
      <c r="E5235" t="s">
        <v>18</v>
      </c>
      <c r="F5235" t="s">
        <v>19</v>
      </c>
      <c r="G5235" t="s">
        <v>20</v>
      </c>
      <c r="J5235" t="s">
        <v>17</v>
      </c>
      <c r="K5235" t="str">
        <f>"174820123"</f>
        <v>174820123</v>
      </c>
      <c r="L5235" t="str">
        <f>"174820123"</f>
        <v>174820123</v>
      </c>
      <c r="M5235" t="s">
        <v>75</v>
      </c>
      <c r="N5235" s="1">
        <v>42872.849305555559</v>
      </c>
      <c r="O5235" t="s">
        <v>19</v>
      </c>
    </row>
    <row r="5236" spans="1:15" x14ac:dyDescent="0.25">
      <c r="A5236" t="s">
        <v>4010</v>
      </c>
      <c r="B5236" t="s">
        <v>15</v>
      </c>
      <c r="C5236" t="s">
        <v>27</v>
      </c>
      <c r="D5236" t="s">
        <v>17</v>
      </c>
      <c r="E5236" t="s">
        <v>18</v>
      </c>
      <c r="F5236" t="s">
        <v>19</v>
      </c>
      <c r="G5236" t="s">
        <v>20</v>
      </c>
      <c r="J5236" t="s">
        <v>17</v>
      </c>
      <c r="K5236" t="str">
        <f>"174820115"</f>
        <v>174820115</v>
      </c>
      <c r="L5236" t="str">
        <f>"174820115"</f>
        <v>174820115</v>
      </c>
      <c r="M5236" t="s">
        <v>75</v>
      </c>
      <c r="N5236" s="1">
        <v>42872.839583333334</v>
      </c>
      <c r="O5236" t="s">
        <v>19</v>
      </c>
    </row>
    <row r="5237" spans="1:15" x14ac:dyDescent="0.25">
      <c r="A5237" t="s">
        <v>4010</v>
      </c>
      <c r="B5237" t="s">
        <v>15</v>
      </c>
      <c r="C5237" t="s">
        <v>27</v>
      </c>
      <c r="D5237" t="s">
        <v>17</v>
      </c>
      <c r="E5237" t="s">
        <v>18</v>
      </c>
      <c r="F5237" t="s">
        <v>19</v>
      </c>
      <c r="G5237" t="s">
        <v>20</v>
      </c>
      <c r="J5237" t="s">
        <v>17</v>
      </c>
      <c r="K5237" t="str">
        <f>"174820114"</f>
        <v>174820114</v>
      </c>
      <c r="L5237" t="str">
        <f>"174820114"</f>
        <v>174820114</v>
      </c>
      <c r="M5237" t="s">
        <v>75</v>
      </c>
      <c r="N5237" s="1">
        <v>42872.849305555559</v>
      </c>
      <c r="O5237" t="s">
        <v>19</v>
      </c>
    </row>
    <row r="5238" spans="1:15" x14ac:dyDescent="0.25">
      <c r="A5238" t="s">
        <v>4011</v>
      </c>
      <c r="B5238" t="s">
        <v>15</v>
      </c>
      <c r="C5238" t="s">
        <v>27</v>
      </c>
      <c r="D5238" t="s">
        <v>17</v>
      </c>
      <c r="E5238" t="s">
        <v>18</v>
      </c>
      <c r="F5238" t="s">
        <v>19</v>
      </c>
      <c r="G5238" t="s">
        <v>20</v>
      </c>
      <c r="J5238" t="s">
        <v>17</v>
      </c>
      <c r="K5238" t="str">
        <f>"1748020182"</f>
        <v>1748020182</v>
      </c>
      <c r="L5238" t="str">
        <f>"1748020182"</f>
        <v>1748020182</v>
      </c>
      <c r="M5238" t="s">
        <v>75</v>
      </c>
      <c r="N5238" s="1">
        <v>42872.849305555559</v>
      </c>
      <c r="O5238" t="s">
        <v>19</v>
      </c>
    </row>
    <row r="5239" spans="1:15" x14ac:dyDescent="0.25">
      <c r="A5239" t="s">
        <v>4012</v>
      </c>
      <c r="B5239" t="s">
        <v>15</v>
      </c>
      <c r="C5239" t="s">
        <v>27</v>
      </c>
      <c r="D5239" t="s">
        <v>17</v>
      </c>
      <c r="E5239" t="s">
        <v>18</v>
      </c>
      <c r="F5239" t="s">
        <v>19</v>
      </c>
      <c r="G5239" t="s">
        <v>20</v>
      </c>
      <c r="J5239" t="s">
        <v>17</v>
      </c>
      <c r="K5239" t="str">
        <f>"174820206"</f>
        <v>174820206</v>
      </c>
      <c r="L5239" t="str">
        <f>"174820206"</f>
        <v>174820206</v>
      </c>
      <c r="M5239" t="s">
        <v>75</v>
      </c>
      <c r="N5239" s="1">
        <v>42872.849305555559</v>
      </c>
      <c r="O5239" t="s">
        <v>19</v>
      </c>
    </row>
    <row r="5240" spans="1:15" x14ac:dyDescent="0.25">
      <c r="A5240" t="s">
        <v>4013</v>
      </c>
      <c r="B5240" t="s">
        <v>15</v>
      </c>
      <c r="C5240" t="s">
        <v>27</v>
      </c>
      <c r="D5240" t="s">
        <v>17</v>
      </c>
      <c r="E5240" t="s">
        <v>18</v>
      </c>
      <c r="F5240" t="s">
        <v>19</v>
      </c>
      <c r="G5240" t="s">
        <v>20</v>
      </c>
      <c r="J5240" t="s">
        <v>17</v>
      </c>
      <c r="K5240" t="str">
        <f>"174820205"</f>
        <v>174820205</v>
      </c>
      <c r="L5240" t="str">
        <f>"174820205"</f>
        <v>174820205</v>
      </c>
      <c r="M5240" t="s">
        <v>75</v>
      </c>
      <c r="N5240" s="1">
        <v>42872.849305555559</v>
      </c>
      <c r="O5240" t="s">
        <v>19</v>
      </c>
    </row>
    <row r="5241" spans="1:15" x14ac:dyDescent="0.25">
      <c r="A5241" t="s">
        <v>4014</v>
      </c>
      <c r="B5241" t="s">
        <v>15</v>
      </c>
      <c r="C5241" t="s">
        <v>27</v>
      </c>
      <c r="D5241" t="s">
        <v>17</v>
      </c>
      <c r="E5241" t="s">
        <v>18</v>
      </c>
      <c r="F5241" t="s">
        <v>19</v>
      </c>
      <c r="G5241" t="s">
        <v>20</v>
      </c>
      <c r="J5241" t="s">
        <v>17</v>
      </c>
      <c r="K5241" t="str">
        <f>"17201460"</f>
        <v>17201460</v>
      </c>
      <c r="L5241" t="str">
        <f>"17201460"</f>
        <v>17201460</v>
      </c>
      <c r="M5241" t="s">
        <v>75</v>
      </c>
      <c r="N5241" s="1">
        <v>42872.839583333334</v>
      </c>
      <c r="O5241" t="s">
        <v>19</v>
      </c>
    </row>
    <row r="5242" spans="1:15" x14ac:dyDescent="0.25">
      <c r="A5242" t="s">
        <v>4015</v>
      </c>
      <c r="B5242" t="s">
        <v>15</v>
      </c>
      <c r="C5242" t="s">
        <v>27</v>
      </c>
      <c r="D5242" t="s">
        <v>17</v>
      </c>
      <c r="E5242" t="s">
        <v>18</v>
      </c>
      <c r="F5242" t="s">
        <v>19</v>
      </c>
      <c r="G5242" t="s">
        <v>20</v>
      </c>
      <c r="J5242" t="s">
        <v>17</v>
      </c>
      <c r="K5242" t="str">
        <f>"17201430"</f>
        <v>17201430</v>
      </c>
      <c r="L5242" t="str">
        <f>"17201430"</f>
        <v>17201430</v>
      </c>
      <c r="M5242" t="s">
        <v>75</v>
      </c>
      <c r="N5242" s="1">
        <v>42872.839583333334</v>
      </c>
      <c r="O5242" t="s">
        <v>19</v>
      </c>
    </row>
    <row r="5243" spans="1:15" x14ac:dyDescent="0.25">
      <c r="A5243" t="s">
        <v>4016</v>
      </c>
      <c r="B5243" t="s">
        <v>15</v>
      </c>
      <c r="C5243" t="s">
        <v>27</v>
      </c>
      <c r="D5243" t="s">
        <v>17</v>
      </c>
      <c r="E5243" t="s">
        <v>18</v>
      </c>
      <c r="F5243" t="s">
        <v>19</v>
      </c>
      <c r="G5243" t="s">
        <v>20</v>
      </c>
      <c r="J5243" t="s">
        <v>17</v>
      </c>
      <c r="K5243" t="str">
        <f>"110330793"</f>
        <v>110330793</v>
      </c>
      <c r="L5243" t="str">
        <f>"110330793"</f>
        <v>110330793</v>
      </c>
      <c r="M5243" t="s">
        <v>75</v>
      </c>
      <c r="N5243" s="1">
        <v>42872.847222222219</v>
      </c>
      <c r="O5243" t="s">
        <v>19</v>
      </c>
    </row>
    <row r="5244" spans="1:15" x14ac:dyDescent="0.25">
      <c r="A5244" t="s">
        <v>4017</v>
      </c>
      <c r="B5244" t="s">
        <v>15</v>
      </c>
      <c r="C5244" t="s">
        <v>27</v>
      </c>
      <c r="D5244" t="s">
        <v>17</v>
      </c>
      <c r="E5244" t="s">
        <v>18</v>
      </c>
      <c r="F5244" t="s">
        <v>19</v>
      </c>
      <c r="G5244" t="s">
        <v>20</v>
      </c>
      <c r="J5244" t="s">
        <v>17</v>
      </c>
      <c r="K5244" t="str">
        <f>"17481485"</f>
        <v>17481485</v>
      </c>
      <c r="L5244" t="str">
        <f>"17481485"</f>
        <v>17481485</v>
      </c>
      <c r="M5244" t="s">
        <v>75</v>
      </c>
      <c r="N5244" s="1">
        <v>42872.839583333334</v>
      </c>
      <c r="O5244" t="s">
        <v>19</v>
      </c>
    </row>
    <row r="5245" spans="1:15" x14ac:dyDescent="0.25">
      <c r="A5245" t="s">
        <v>4018</v>
      </c>
      <c r="B5245" t="s">
        <v>15</v>
      </c>
      <c r="C5245" t="s">
        <v>27</v>
      </c>
      <c r="D5245" t="s">
        <v>17</v>
      </c>
      <c r="E5245" t="s">
        <v>18</v>
      </c>
      <c r="F5245" t="s">
        <v>19</v>
      </c>
      <c r="G5245" t="s">
        <v>20</v>
      </c>
      <c r="J5245" t="s">
        <v>17</v>
      </c>
      <c r="K5245" t="str">
        <f>"797914289"</f>
        <v>797914289</v>
      </c>
      <c r="L5245" t="str">
        <f>"797914289"</f>
        <v>797914289</v>
      </c>
      <c r="M5245" t="s">
        <v>21</v>
      </c>
      <c r="N5245" s="1">
        <v>42872.839583333334</v>
      </c>
      <c r="O5245" t="s">
        <v>19</v>
      </c>
    </row>
    <row r="5246" spans="1:15" x14ac:dyDescent="0.25">
      <c r="A5246" t="s">
        <v>4019</v>
      </c>
      <c r="B5246" t="s">
        <v>15</v>
      </c>
      <c r="C5246" t="s">
        <v>27</v>
      </c>
      <c r="D5246" t="s">
        <v>17</v>
      </c>
      <c r="E5246" t="s">
        <v>18</v>
      </c>
      <c r="F5246" t="s">
        <v>19</v>
      </c>
      <c r="G5246" t="s">
        <v>20</v>
      </c>
      <c r="J5246" t="s">
        <v>17</v>
      </c>
      <c r="K5246" t="str">
        <f>"135614306"</f>
        <v>135614306</v>
      </c>
      <c r="L5246" t="str">
        <f>"135614306"</f>
        <v>135614306</v>
      </c>
      <c r="M5246" t="s">
        <v>21</v>
      </c>
      <c r="N5246" s="1">
        <v>44348.854166666664</v>
      </c>
      <c r="O5246" t="s">
        <v>19</v>
      </c>
    </row>
    <row r="5247" spans="1:15" x14ac:dyDescent="0.25">
      <c r="A5247" t="s">
        <v>4019</v>
      </c>
      <c r="B5247" t="s">
        <v>15</v>
      </c>
      <c r="C5247" t="s">
        <v>27</v>
      </c>
      <c r="D5247" t="s">
        <v>17</v>
      </c>
      <c r="E5247" t="s">
        <v>18</v>
      </c>
      <c r="F5247" t="s">
        <v>19</v>
      </c>
      <c r="G5247" t="s">
        <v>20</v>
      </c>
      <c r="J5247" t="s">
        <v>17</v>
      </c>
      <c r="K5247" t="str">
        <f>"134814306"</f>
        <v>134814306</v>
      </c>
      <c r="L5247" t="str">
        <f>"134814306"</f>
        <v>134814306</v>
      </c>
      <c r="M5247" t="s">
        <v>21</v>
      </c>
      <c r="N5247" s="1">
        <v>44348.909722222219</v>
      </c>
      <c r="O5247" t="s">
        <v>19</v>
      </c>
    </row>
    <row r="5248" spans="1:15" x14ac:dyDescent="0.25">
      <c r="A5248" t="s">
        <v>4020</v>
      </c>
      <c r="B5248" t="s">
        <v>15</v>
      </c>
      <c r="C5248" t="s">
        <v>27</v>
      </c>
      <c r="D5248" t="s">
        <v>17</v>
      </c>
      <c r="E5248" t="s">
        <v>18</v>
      </c>
      <c r="F5248" t="s">
        <v>19</v>
      </c>
      <c r="G5248" t="s">
        <v>20</v>
      </c>
      <c r="J5248" t="s">
        <v>17</v>
      </c>
      <c r="K5248" t="str">
        <f>"765114301"</f>
        <v>765114301</v>
      </c>
      <c r="L5248" t="str">
        <f>"765114301"</f>
        <v>765114301</v>
      </c>
      <c r="M5248" t="s">
        <v>21</v>
      </c>
      <c r="N5248" s="1">
        <v>44285.630555555559</v>
      </c>
      <c r="O5248" t="s">
        <v>19</v>
      </c>
    </row>
    <row r="5249" spans="1:15" x14ac:dyDescent="0.25">
      <c r="A5249" t="s">
        <v>4021</v>
      </c>
      <c r="B5249" t="s">
        <v>15</v>
      </c>
      <c r="C5249" t="s">
        <v>27</v>
      </c>
      <c r="D5249" t="s">
        <v>17</v>
      </c>
      <c r="E5249" t="s">
        <v>18</v>
      </c>
      <c r="F5249" t="s">
        <v>19</v>
      </c>
      <c r="G5249" t="s">
        <v>20</v>
      </c>
      <c r="J5249" t="s">
        <v>17</v>
      </c>
      <c r="K5249" t="str">
        <f>"135114309"</f>
        <v>135114309</v>
      </c>
      <c r="L5249" t="str">
        <f>"135114309"</f>
        <v>135114309</v>
      </c>
      <c r="M5249" t="s">
        <v>21</v>
      </c>
      <c r="N5249" s="1">
        <v>44414.951388888891</v>
      </c>
      <c r="O5249" t="s">
        <v>19</v>
      </c>
    </row>
    <row r="5250" spans="1:15" x14ac:dyDescent="0.25">
      <c r="A5250" t="s">
        <v>4022</v>
      </c>
      <c r="B5250" t="s">
        <v>15</v>
      </c>
      <c r="C5250" t="s">
        <v>27</v>
      </c>
      <c r="D5250" t="s">
        <v>17</v>
      </c>
      <c r="E5250" t="s">
        <v>18</v>
      </c>
      <c r="F5250" t="s">
        <v>19</v>
      </c>
      <c r="G5250" t="s">
        <v>20</v>
      </c>
      <c r="J5250" t="s">
        <v>17</v>
      </c>
      <c r="K5250" t="str">
        <f>"2019030678286"</f>
        <v>2019030678286</v>
      </c>
      <c r="L5250" t="str">
        <f>"614814279"</f>
        <v>614814279</v>
      </c>
      <c r="M5250" t="s">
        <v>21</v>
      </c>
      <c r="N5250" s="1">
        <v>43603.696527777778</v>
      </c>
      <c r="O5250" t="s">
        <v>19</v>
      </c>
    </row>
    <row r="5251" spans="1:15" x14ac:dyDescent="0.25">
      <c r="A5251" t="s">
        <v>4022</v>
      </c>
      <c r="B5251" t="s">
        <v>15</v>
      </c>
      <c r="C5251" t="s">
        <v>27</v>
      </c>
      <c r="D5251" t="s">
        <v>17</v>
      </c>
      <c r="E5251" t="s">
        <v>18</v>
      </c>
      <c r="F5251" t="s">
        <v>19</v>
      </c>
      <c r="G5251" t="s">
        <v>20</v>
      </c>
      <c r="J5251" t="s">
        <v>17</v>
      </c>
      <c r="K5251" t="str">
        <f>"2019030400153"</f>
        <v>2019030400153</v>
      </c>
      <c r="L5251" t="str">
        <f>"187514279"</f>
        <v>187514279</v>
      </c>
      <c r="M5251" t="s">
        <v>21</v>
      </c>
      <c r="N5251" s="1">
        <v>43649.634027777778</v>
      </c>
      <c r="O5251" t="s">
        <v>19</v>
      </c>
    </row>
    <row r="5252" spans="1:15" x14ac:dyDescent="0.25">
      <c r="A5252" t="s">
        <v>4022</v>
      </c>
      <c r="B5252" t="s">
        <v>15</v>
      </c>
      <c r="C5252" t="s">
        <v>27</v>
      </c>
      <c r="D5252" t="s">
        <v>17</v>
      </c>
      <c r="E5252" t="s">
        <v>18</v>
      </c>
      <c r="F5252" t="s">
        <v>19</v>
      </c>
      <c r="G5252" t="s">
        <v>20</v>
      </c>
      <c r="J5252" t="s">
        <v>17</v>
      </c>
      <c r="K5252" t="str">
        <f>"1000001023441"</f>
        <v>1000001023441</v>
      </c>
      <c r="L5252" t="str">
        <f>"765114279"</f>
        <v>765114279</v>
      </c>
      <c r="M5252" t="s">
        <v>21</v>
      </c>
      <c r="N5252" s="1">
        <v>43666.671527777777</v>
      </c>
      <c r="O5252" t="s">
        <v>19</v>
      </c>
    </row>
    <row r="5253" spans="1:15" x14ac:dyDescent="0.25">
      <c r="A5253" t="s">
        <v>4022</v>
      </c>
      <c r="B5253" t="s">
        <v>15</v>
      </c>
      <c r="C5253" t="s">
        <v>27</v>
      </c>
      <c r="D5253" t="s">
        <v>17</v>
      </c>
      <c r="E5253" t="s">
        <v>18</v>
      </c>
      <c r="F5253" t="s">
        <v>19</v>
      </c>
      <c r="G5253" t="s">
        <v>20</v>
      </c>
      <c r="J5253" t="s">
        <v>17</v>
      </c>
      <c r="K5253" t="str">
        <f>"764814279"</f>
        <v>764814279</v>
      </c>
      <c r="L5253" t="str">
        <f>"764814279"</f>
        <v>764814279</v>
      </c>
      <c r="M5253" t="s">
        <v>21</v>
      </c>
      <c r="N5253" s="1">
        <v>43754.863888888889</v>
      </c>
      <c r="O5253" t="s">
        <v>19</v>
      </c>
    </row>
    <row r="5254" spans="1:15" x14ac:dyDescent="0.25">
      <c r="A5254" t="s">
        <v>4022</v>
      </c>
      <c r="B5254" t="s">
        <v>15</v>
      </c>
      <c r="C5254" t="s">
        <v>27</v>
      </c>
      <c r="D5254" t="s">
        <v>17</v>
      </c>
      <c r="E5254" t="s">
        <v>18</v>
      </c>
      <c r="F5254" t="s">
        <v>19</v>
      </c>
      <c r="G5254" t="s">
        <v>20</v>
      </c>
      <c r="J5254" t="s">
        <v>17</v>
      </c>
      <c r="K5254" t="str">
        <f>"685114279"</f>
        <v>685114279</v>
      </c>
      <c r="L5254" t="str">
        <f>"685114279"</f>
        <v>685114279</v>
      </c>
      <c r="M5254" t="s">
        <v>21</v>
      </c>
      <c r="N5254" s="1">
        <v>43798.824999999997</v>
      </c>
      <c r="O5254" t="s">
        <v>19</v>
      </c>
    </row>
    <row r="5255" spans="1:15" x14ac:dyDescent="0.25">
      <c r="A5255" t="s">
        <v>4022</v>
      </c>
      <c r="B5255" t="s">
        <v>15</v>
      </c>
      <c r="C5255" t="s">
        <v>27</v>
      </c>
      <c r="D5255" t="s">
        <v>17</v>
      </c>
      <c r="E5255" t="s">
        <v>18</v>
      </c>
      <c r="F5255" t="s">
        <v>19</v>
      </c>
      <c r="G5255" t="s">
        <v>20</v>
      </c>
      <c r="J5255" t="s">
        <v>17</v>
      </c>
      <c r="K5255" t="str">
        <f>"684814279"</f>
        <v>684814279</v>
      </c>
      <c r="L5255" t="str">
        <f>"684814279"</f>
        <v>684814279</v>
      </c>
      <c r="M5255" t="s">
        <v>21</v>
      </c>
      <c r="N5255" s="1">
        <v>43798.827777777777</v>
      </c>
      <c r="O5255" t="s">
        <v>19</v>
      </c>
    </row>
    <row r="5256" spans="1:15" x14ac:dyDescent="0.25">
      <c r="A5256" t="s">
        <v>4022</v>
      </c>
      <c r="B5256" t="s">
        <v>15</v>
      </c>
      <c r="C5256" t="s">
        <v>27</v>
      </c>
      <c r="D5256" t="s">
        <v>17</v>
      </c>
      <c r="E5256" t="s">
        <v>18</v>
      </c>
      <c r="F5256" t="s">
        <v>19</v>
      </c>
      <c r="G5256" t="s">
        <v>20</v>
      </c>
      <c r="J5256" t="s">
        <v>17</v>
      </c>
      <c r="K5256" t="str">
        <f>"134814279"</f>
        <v>134814279</v>
      </c>
      <c r="L5256" t="str">
        <f>"134814279"</f>
        <v>134814279</v>
      </c>
      <c r="M5256" t="s">
        <v>21</v>
      </c>
      <c r="N5256" s="1">
        <v>44348.911111111112</v>
      </c>
      <c r="O5256" t="s">
        <v>19</v>
      </c>
    </row>
    <row r="5257" spans="1:15" x14ac:dyDescent="0.25">
      <c r="A5257" t="s">
        <v>4023</v>
      </c>
      <c r="B5257" t="s">
        <v>15</v>
      </c>
      <c r="C5257" t="s">
        <v>27</v>
      </c>
      <c r="D5257" t="s">
        <v>17</v>
      </c>
      <c r="E5257" t="s">
        <v>18</v>
      </c>
      <c r="F5257" t="s">
        <v>19</v>
      </c>
      <c r="G5257" t="s">
        <v>20</v>
      </c>
      <c r="J5257" t="s">
        <v>17</v>
      </c>
      <c r="K5257" t="str">
        <f>"685114284"</f>
        <v>685114284</v>
      </c>
      <c r="L5257" t="str">
        <f>"685114284"</f>
        <v>685114284</v>
      </c>
      <c r="M5257" t="s">
        <v>21</v>
      </c>
      <c r="N5257" s="1">
        <v>43798.829861111109</v>
      </c>
      <c r="O5257" t="s">
        <v>19</v>
      </c>
    </row>
    <row r="5258" spans="1:15" x14ac:dyDescent="0.25">
      <c r="A5258" t="s">
        <v>4023</v>
      </c>
      <c r="B5258" t="s">
        <v>15</v>
      </c>
      <c r="C5258" t="s">
        <v>27</v>
      </c>
      <c r="D5258" t="s">
        <v>17</v>
      </c>
      <c r="E5258" t="s">
        <v>18</v>
      </c>
      <c r="F5258" t="s">
        <v>19</v>
      </c>
      <c r="G5258" t="s">
        <v>20</v>
      </c>
      <c r="J5258" t="s">
        <v>17</v>
      </c>
      <c r="K5258" t="str">
        <f>"1000001023922"</f>
        <v>1000001023922</v>
      </c>
      <c r="L5258" t="str">
        <f>"764814284"</f>
        <v>764814284</v>
      </c>
      <c r="M5258" t="s">
        <v>21</v>
      </c>
      <c r="N5258" s="1">
        <v>43825.847222222219</v>
      </c>
      <c r="O5258" t="s">
        <v>19</v>
      </c>
    </row>
    <row r="5259" spans="1:15" x14ac:dyDescent="0.25">
      <c r="A5259" t="s">
        <v>4023</v>
      </c>
      <c r="B5259" t="s">
        <v>15</v>
      </c>
      <c r="C5259" t="s">
        <v>27</v>
      </c>
      <c r="D5259" t="s">
        <v>17</v>
      </c>
      <c r="E5259" t="s">
        <v>18</v>
      </c>
      <c r="F5259" t="s">
        <v>19</v>
      </c>
      <c r="G5259" t="s">
        <v>20</v>
      </c>
      <c r="J5259" t="s">
        <v>17</v>
      </c>
      <c r="K5259" t="str">
        <f>"765114284"</f>
        <v>765114284</v>
      </c>
      <c r="L5259" t="str">
        <f>"765114284"</f>
        <v>765114284</v>
      </c>
      <c r="M5259" t="s">
        <v>21</v>
      </c>
      <c r="N5259" s="1">
        <v>43825.870138888888</v>
      </c>
      <c r="O5259" t="s">
        <v>19</v>
      </c>
    </row>
    <row r="5260" spans="1:15" x14ac:dyDescent="0.25">
      <c r="A5260" t="s">
        <v>4023</v>
      </c>
      <c r="B5260" t="s">
        <v>15</v>
      </c>
      <c r="C5260" t="s">
        <v>27</v>
      </c>
      <c r="D5260" t="s">
        <v>17</v>
      </c>
      <c r="E5260" t="s">
        <v>18</v>
      </c>
      <c r="F5260" t="s">
        <v>19</v>
      </c>
      <c r="G5260" t="s">
        <v>20</v>
      </c>
      <c r="J5260" t="s">
        <v>17</v>
      </c>
      <c r="K5260" t="str">
        <f>"7655114284"</f>
        <v>7655114284</v>
      </c>
      <c r="L5260" t="str">
        <f>"7655114284"</f>
        <v>7655114284</v>
      </c>
      <c r="M5260" t="s">
        <v>21</v>
      </c>
      <c r="N5260" s="1">
        <v>44251.865972222222</v>
      </c>
      <c r="O5260" t="s">
        <v>19</v>
      </c>
    </row>
    <row r="5261" spans="1:15" x14ac:dyDescent="0.25">
      <c r="A5261" t="s">
        <v>4024</v>
      </c>
      <c r="B5261" t="s">
        <v>15</v>
      </c>
      <c r="C5261" t="s">
        <v>27</v>
      </c>
      <c r="D5261" t="s">
        <v>17</v>
      </c>
      <c r="E5261" t="s">
        <v>18</v>
      </c>
      <c r="F5261" t="s">
        <v>19</v>
      </c>
      <c r="G5261" t="s">
        <v>20</v>
      </c>
      <c r="J5261" t="s">
        <v>17</v>
      </c>
      <c r="K5261" t="str">
        <f>"1000001025650"</f>
        <v>1000001025650</v>
      </c>
      <c r="L5261" t="str">
        <f>"765614287"</f>
        <v>765614287</v>
      </c>
      <c r="M5261" t="s">
        <v>21</v>
      </c>
      <c r="N5261" s="1">
        <v>42872.839583333334</v>
      </c>
      <c r="O5261" t="s">
        <v>19</v>
      </c>
    </row>
    <row r="5262" spans="1:15" x14ac:dyDescent="0.25">
      <c r="A5262" t="s">
        <v>4024</v>
      </c>
      <c r="B5262" t="s">
        <v>15</v>
      </c>
      <c r="C5262" t="s">
        <v>27</v>
      </c>
      <c r="D5262" t="s">
        <v>17</v>
      </c>
      <c r="E5262" t="s">
        <v>18</v>
      </c>
      <c r="F5262" t="s">
        <v>19</v>
      </c>
      <c r="G5262" t="s">
        <v>20</v>
      </c>
      <c r="J5262" t="s">
        <v>17</v>
      </c>
      <c r="K5262" t="str">
        <f>"765114287"</f>
        <v>765114287</v>
      </c>
      <c r="L5262" t="str">
        <f>"765114287"</f>
        <v>765114287</v>
      </c>
      <c r="M5262" t="s">
        <v>21</v>
      </c>
      <c r="N5262" s="1">
        <v>42872.839583333334</v>
      </c>
      <c r="O5262" t="s">
        <v>19</v>
      </c>
    </row>
    <row r="5263" spans="1:15" x14ac:dyDescent="0.25">
      <c r="A5263" t="s">
        <v>4024</v>
      </c>
      <c r="B5263" t="s">
        <v>15</v>
      </c>
      <c r="C5263" t="s">
        <v>27</v>
      </c>
      <c r="D5263" t="s">
        <v>17</v>
      </c>
      <c r="E5263" t="s">
        <v>18</v>
      </c>
      <c r="F5263" t="s">
        <v>19</v>
      </c>
      <c r="G5263" t="s">
        <v>20</v>
      </c>
      <c r="J5263" t="s">
        <v>17</v>
      </c>
      <c r="K5263" t="str">
        <f>"766414287"</f>
        <v>766414287</v>
      </c>
      <c r="L5263" t="str">
        <f>"766414287"</f>
        <v>766414287</v>
      </c>
      <c r="M5263" t="s">
        <v>21</v>
      </c>
      <c r="N5263" s="1">
        <v>44210.931250000001</v>
      </c>
      <c r="O5263" t="s">
        <v>19</v>
      </c>
    </row>
    <row r="5264" spans="1:15" x14ac:dyDescent="0.25">
      <c r="A5264" t="s">
        <v>4025</v>
      </c>
      <c r="B5264" t="s">
        <v>15</v>
      </c>
      <c r="C5264" t="s">
        <v>27</v>
      </c>
      <c r="D5264" t="s">
        <v>17</v>
      </c>
      <c r="E5264" t="s">
        <v>18</v>
      </c>
      <c r="F5264" t="s">
        <v>19</v>
      </c>
      <c r="G5264" t="s">
        <v>20</v>
      </c>
      <c r="J5264" t="s">
        <v>17</v>
      </c>
      <c r="K5264" t="str">
        <f>"2020111900332"</f>
        <v>2020111900332</v>
      </c>
      <c r="L5264" t="str">
        <f>"694814300"</f>
        <v>694814300</v>
      </c>
      <c r="M5264" t="s">
        <v>21</v>
      </c>
      <c r="N5264" s="1">
        <v>44265.674305555556</v>
      </c>
      <c r="O5264" t="s">
        <v>19</v>
      </c>
    </row>
    <row r="5265" spans="1:15" x14ac:dyDescent="0.25">
      <c r="A5265" t="s">
        <v>4025</v>
      </c>
      <c r="B5265" t="s">
        <v>15</v>
      </c>
      <c r="C5265" t="s">
        <v>27</v>
      </c>
      <c r="D5265" t="s">
        <v>17</v>
      </c>
      <c r="E5265" t="s">
        <v>18</v>
      </c>
      <c r="F5265" t="s">
        <v>19</v>
      </c>
      <c r="G5265" t="s">
        <v>20</v>
      </c>
      <c r="J5265" t="s">
        <v>17</v>
      </c>
      <c r="K5265" t="str">
        <f>"765114300"</f>
        <v>765114300</v>
      </c>
      <c r="L5265" t="str">
        <f>"765114300"</f>
        <v>765114300</v>
      </c>
      <c r="M5265" t="s">
        <v>21</v>
      </c>
      <c r="N5265" s="1">
        <v>44285.627083333333</v>
      </c>
      <c r="O5265" t="s">
        <v>19</v>
      </c>
    </row>
    <row r="5266" spans="1:15" x14ac:dyDescent="0.25">
      <c r="A5266" t="s">
        <v>4026</v>
      </c>
      <c r="B5266" t="s">
        <v>15</v>
      </c>
      <c r="C5266" t="s">
        <v>27</v>
      </c>
      <c r="D5266" t="s">
        <v>17</v>
      </c>
      <c r="E5266" t="s">
        <v>18</v>
      </c>
      <c r="F5266" t="s">
        <v>19</v>
      </c>
      <c r="G5266" t="s">
        <v>20</v>
      </c>
      <c r="J5266" t="s">
        <v>17</v>
      </c>
      <c r="K5266" t="str">
        <f>"1000001023946"</f>
        <v>1000001023946</v>
      </c>
      <c r="L5266" t="str">
        <f>"765114281"</f>
        <v>765114281</v>
      </c>
      <c r="M5266" t="s">
        <v>21</v>
      </c>
      <c r="N5266" s="1">
        <v>43666.67291666667</v>
      </c>
      <c r="O5266" t="s">
        <v>19</v>
      </c>
    </row>
    <row r="5267" spans="1:15" x14ac:dyDescent="0.25">
      <c r="A5267" t="s">
        <v>4026</v>
      </c>
      <c r="B5267" t="s">
        <v>15</v>
      </c>
      <c r="C5267" t="s">
        <v>27</v>
      </c>
      <c r="D5267" t="s">
        <v>17</v>
      </c>
      <c r="E5267" t="s">
        <v>18</v>
      </c>
      <c r="F5267" t="s">
        <v>19</v>
      </c>
      <c r="G5267" t="s">
        <v>20</v>
      </c>
      <c r="J5267" t="s">
        <v>17</v>
      </c>
      <c r="K5267" t="str">
        <f>"684814281"</f>
        <v>684814281</v>
      </c>
      <c r="L5267" t="str">
        <f>"684814281"</f>
        <v>684814281</v>
      </c>
      <c r="M5267" t="s">
        <v>21</v>
      </c>
      <c r="N5267" s="1">
        <v>43798.824305555558</v>
      </c>
      <c r="O5267" t="s">
        <v>19</v>
      </c>
    </row>
    <row r="5268" spans="1:15" x14ac:dyDescent="0.25">
      <c r="A5268" t="s">
        <v>4026</v>
      </c>
      <c r="B5268" t="s">
        <v>15</v>
      </c>
      <c r="C5268" t="s">
        <v>27</v>
      </c>
      <c r="D5268" t="s">
        <v>17</v>
      </c>
      <c r="E5268" t="s">
        <v>18</v>
      </c>
      <c r="F5268" t="s">
        <v>19</v>
      </c>
      <c r="G5268" t="s">
        <v>20</v>
      </c>
      <c r="J5268" t="s">
        <v>17</v>
      </c>
      <c r="K5268" t="str">
        <f>"685114281"</f>
        <v>685114281</v>
      </c>
      <c r="L5268" t="str">
        <f>"685114281"</f>
        <v>685114281</v>
      </c>
      <c r="M5268" t="s">
        <v>21</v>
      </c>
      <c r="N5268" s="1">
        <v>43798.824999999997</v>
      </c>
      <c r="O5268" t="s">
        <v>19</v>
      </c>
    </row>
    <row r="5269" spans="1:15" x14ac:dyDescent="0.25">
      <c r="A5269" t="s">
        <v>4027</v>
      </c>
      <c r="B5269" t="s">
        <v>15</v>
      </c>
      <c r="C5269" t="s">
        <v>27</v>
      </c>
      <c r="D5269" t="s">
        <v>17</v>
      </c>
      <c r="E5269" t="s">
        <v>18</v>
      </c>
      <c r="F5269" t="s">
        <v>19</v>
      </c>
      <c r="G5269" t="s">
        <v>20</v>
      </c>
      <c r="J5269" t="s">
        <v>17</v>
      </c>
      <c r="K5269" t="str">
        <f>"1000001024479"</f>
        <v>1000001024479</v>
      </c>
      <c r="L5269" t="str">
        <f>"765614285"</f>
        <v>765614285</v>
      </c>
      <c r="M5269" t="s">
        <v>21</v>
      </c>
      <c r="N5269" s="1">
        <v>42872.839583333334</v>
      </c>
      <c r="O5269" t="s">
        <v>19</v>
      </c>
    </row>
    <row r="5270" spans="1:15" x14ac:dyDescent="0.25">
      <c r="A5270" t="s">
        <v>4027</v>
      </c>
      <c r="B5270" t="s">
        <v>15</v>
      </c>
      <c r="C5270" t="s">
        <v>27</v>
      </c>
      <c r="D5270" t="s">
        <v>17</v>
      </c>
      <c r="E5270" t="s">
        <v>18</v>
      </c>
      <c r="F5270" t="s">
        <v>19</v>
      </c>
      <c r="G5270" t="s">
        <v>20</v>
      </c>
      <c r="J5270" t="s">
        <v>17</v>
      </c>
      <c r="K5270" t="str">
        <f>"765114285"</f>
        <v>765114285</v>
      </c>
      <c r="L5270" t="str">
        <f>"765114285"</f>
        <v>765114285</v>
      </c>
      <c r="M5270" t="s">
        <v>21</v>
      </c>
      <c r="N5270" s="1">
        <v>43819.666666666664</v>
      </c>
      <c r="O5270" t="s">
        <v>19</v>
      </c>
    </row>
    <row r="5271" spans="1:15" x14ac:dyDescent="0.25">
      <c r="A5271" t="s">
        <v>4027</v>
      </c>
      <c r="B5271" t="s">
        <v>15</v>
      </c>
      <c r="C5271" t="s">
        <v>27</v>
      </c>
      <c r="D5271" t="s">
        <v>17</v>
      </c>
      <c r="E5271" t="s">
        <v>18</v>
      </c>
      <c r="F5271" t="s">
        <v>19</v>
      </c>
      <c r="G5271" t="s">
        <v>20</v>
      </c>
      <c r="J5271" t="s">
        <v>17</v>
      </c>
      <c r="K5271" t="str">
        <f>"675114285"</f>
        <v>675114285</v>
      </c>
      <c r="L5271" t="str">
        <f>"615114285"</f>
        <v>615114285</v>
      </c>
      <c r="M5271" t="s">
        <v>21</v>
      </c>
      <c r="N5271" s="1">
        <v>43873.780555555553</v>
      </c>
      <c r="O5271" t="s">
        <v>19</v>
      </c>
    </row>
    <row r="5272" spans="1:15" x14ac:dyDescent="0.25">
      <c r="A5272" t="s">
        <v>4027</v>
      </c>
      <c r="B5272" t="s">
        <v>15</v>
      </c>
      <c r="C5272" t="s">
        <v>27</v>
      </c>
      <c r="D5272" t="s">
        <v>17</v>
      </c>
      <c r="E5272" t="s">
        <v>18</v>
      </c>
      <c r="F5272" t="s">
        <v>19</v>
      </c>
      <c r="G5272" t="s">
        <v>20</v>
      </c>
      <c r="J5272" t="s">
        <v>17</v>
      </c>
      <c r="K5272" t="str">
        <f>"2019120400025"</f>
        <v>2019120400025</v>
      </c>
      <c r="L5272" t="str">
        <f>"174805285"</f>
        <v>174805285</v>
      </c>
      <c r="M5272" t="s">
        <v>21</v>
      </c>
      <c r="N5272" s="1">
        <v>43890.575694444444</v>
      </c>
      <c r="O5272" t="s">
        <v>19</v>
      </c>
    </row>
    <row r="5273" spans="1:15" x14ac:dyDescent="0.25">
      <c r="A5273" t="s">
        <v>4027</v>
      </c>
      <c r="B5273" t="s">
        <v>15</v>
      </c>
      <c r="C5273" t="s">
        <v>27</v>
      </c>
      <c r="D5273" t="s">
        <v>17</v>
      </c>
      <c r="E5273" t="s">
        <v>18</v>
      </c>
      <c r="F5273" t="s">
        <v>19</v>
      </c>
      <c r="G5273" t="s">
        <v>20</v>
      </c>
      <c r="J5273" t="s">
        <v>17</v>
      </c>
      <c r="K5273" t="str">
        <f>"2019081000302"</f>
        <v>2019081000302</v>
      </c>
      <c r="L5273" t="str">
        <f>"175105285"</f>
        <v>175105285</v>
      </c>
      <c r="M5273" t="s">
        <v>21</v>
      </c>
      <c r="N5273" s="1">
        <v>43890.576388888891</v>
      </c>
      <c r="O5273" t="s">
        <v>19</v>
      </c>
    </row>
    <row r="5274" spans="1:15" x14ac:dyDescent="0.25">
      <c r="A5274" t="s">
        <v>4027</v>
      </c>
      <c r="B5274" t="s">
        <v>15</v>
      </c>
      <c r="C5274" t="s">
        <v>27</v>
      </c>
      <c r="D5274" t="s">
        <v>17</v>
      </c>
      <c r="E5274" t="s">
        <v>18</v>
      </c>
      <c r="F5274" t="s">
        <v>19</v>
      </c>
      <c r="G5274" t="s">
        <v>20</v>
      </c>
      <c r="J5274" t="s">
        <v>17</v>
      </c>
      <c r="K5274" t="str">
        <f>"134814285"</f>
        <v>134814285</v>
      </c>
      <c r="L5274" t="str">
        <f>"134814285"</f>
        <v>134814285</v>
      </c>
      <c r="M5274" t="s">
        <v>21</v>
      </c>
      <c r="N5274" s="1">
        <v>44348.90902777778</v>
      </c>
      <c r="O5274" t="s">
        <v>19</v>
      </c>
    </row>
    <row r="5275" spans="1:15" x14ac:dyDescent="0.25">
      <c r="A5275" t="s">
        <v>4027</v>
      </c>
      <c r="B5275" t="s">
        <v>15</v>
      </c>
      <c r="C5275" t="s">
        <v>27</v>
      </c>
      <c r="D5275" t="s">
        <v>17</v>
      </c>
      <c r="E5275" t="s">
        <v>18</v>
      </c>
      <c r="F5275" t="s">
        <v>19</v>
      </c>
      <c r="G5275" t="s">
        <v>20</v>
      </c>
      <c r="J5275" t="s">
        <v>17</v>
      </c>
      <c r="K5275" t="str">
        <f>"135114286"</f>
        <v>135114286</v>
      </c>
      <c r="L5275" t="str">
        <f>"135114286"</f>
        <v>135114286</v>
      </c>
      <c r="M5275" t="s">
        <v>21</v>
      </c>
      <c r="N5275" s="1">
        <v>44348.915972222225</v>
      </c>
      <c r="O5275" t="s">
        <v>19</v>
      </c>
    </row>
    <row r="5276" spans="1:15" x14ac:dyDescent="0.25">
      <c r="A5276" t="s">
        <v>4028</v>
      </c>
      <c r="B5276" t="s">
        <v>15</v>
      </c>
      <c r="C5276" t="s">
        <v>27</v>
      </c>
      <c r="D5276" t="s">
        <v>17</v>
      </c>
      <c r="E5276" t="s">
        <v>18</v>
      </c>
      <c r="F5276" t="s">
        <v>19</v>
      </c>
      <c r="G5276" t="s">
        <v>20</v>
      </c>
      <c r="J5276" t="s">
        <v>17</v>
      </c>
      <c r="K5276" t="str">
        <f>"764814293"</f>
        <v>764814293</v>
      </c>
      <c r="L5276" t="str">
        <f>"764814293"</f>
        <v>764814293</v>
      </c>
      <c r="M5276" t="s">
        <v>21</v>
      </c>
      <c r="N5276" s="1">
        <v>42872.839583333334</v>
      </c>
      <c r="O5276" t="s">
        <v>19</v>
      </c>
    </row>
    <row r="5277" spans="1:15" x14ac:dyDescent="0.25">
      <c r="A5277" t="s">
        <v>4028</v>
      </c>
      <c r="B5277" t="s">
        <v>15</v>
      </c>
      <c r="C5277" t="s">
        <v>27</v>
      </c>
      <c r="D5277" t="s">
        <v>17</v>
      </c>
      <c r="E5277" t="s">
        <v>18</v>
      </c>
      <c r="F5277" t="s">
        <v>19</v>
      </c>
      <c r="G5277" t="s">
        <v>20</v>
      </c>
      <c r="J5277" t="s">
        <v>17</v>
      </c>
      <c r="K5277" t="str">
        <f>"765114293"</f>
        <v>765114293</v>
      </c>
      <c r="L5277" t="str">
        <f>"765114293"</f>
        <v>765114293</v>
      </c>
      <c r="M5277" t="s">
        <v>21</v>
      </c>
      <c r="N5277" s="1">
        <v>42872.849305555559</v>
      </c>
      <c r="O5277" t="s">
        <v>19</v>
      </c>
    </row>
    <row r="5278" spans="1:15" x14ac:dyDescent="0.25">
      <c r="A5278" t="s">
        <v>4028</v>
      </c>
      <c r="B5278" t="s">
        <v>15</v>
      </c>
      <c r="C5278" t="s">
        <v>27</v>
      </c>
      <c r="D5278" t="s">
        <v>17</v>
      </c>
      <c r="E5278" t="s">
        <v>18</v>
      </c>
      <c r="F5278" t="s">
        <v>19</v>
      </c>
      <c r="G5278" t="s">
        <v>20</v>
      </c>
      <c r="J5278" t="s">
        <v>17</v>
      </c>
      <c r="K5278" t="str">
        <f>"765614293"</f>
        <v>765614293</v>
      </c>
      <c r="L5278" t="str">
        <f>"614814293"</f>
        <v>614814293</v>
      </c>
      <c r="M5278" t="s">
        <v>21</v>
      </c>
      <c r="N5278" s="1">
        <v>42872.849305555559</v>
      </c>
      <c r="O5278" t="s">
        <v>19</v>
      </c>
    </row>
    <row r="5279" spans="1:15" x14ac:dyDescent="0.25">
      <c r="A5279" t="s">
        <v>4028</v>
      </c>
      <c r="B5279" t="s">
        <v>15</v>
      </c>
      <c r="C5279" t="s">
        <v>27</v>
      </c>
      <c r="D5279" t="s">
        <v>17</v>
      </c>
      <c r="E5279" t="s">
        <v>18</v>
      </c>
      <c r="F5279" t="s">
        <v>19</v>
      </c>
      <c r="G5279" t="s">
        <v>20</v>
      </c>
      <c r="J5279" t="s">
        <v>17</v>
      </c>
      <c r="K5279" t="str">
        <f>"135614293"</f>
        <v>135614293</v>
      </c>
      <c r="L5279" t="str">
        <f>"135614293"</f>
        <v>135614293</v>
      </c>
      <c r="M5279" t="s">
        <v>21</v>
      </c>
      <c r="N5279" s="1">
        <v>44348.855555555558</v>
      </c>
      <c r="O5279" t="s">
        <v>19</v>
      </c>
    </row>
    <row r="5280" spans="1:15" x14ac:dyDescent="0.25">
      <c r="A5280" t="s">
        <v>4028</v>
      </c>
      <c r="B5280" t="s">
        <v>15</v>
      </c>
      <c r="C5280" t="s">
        <v>27</v>
      </c>
      <c r="D5280" t="s">
        <v>17</v>
      </c>
      <c r="E5280" t="s">
        <v>18</v>
      </c>
      <c r="F5280" t="s">
        <v>19</v>
      </c>
      <c r="G5280" t="s">
        <v>20</v>
      </c>
      <c r="J5280" t="s">
        <v>17</v>
      </c>
      <c r="K5280" t="str">
        <f>"134814293"</f>
        <v>134814293</v>
      </c>
      <c r="L5280" t="str">
        <f>"134814293"</f>
        <v>134814293</v>
      </c>
      <c r="M5280" t="s">
        <v>21</v>
      </c>
      <c r="N5280" s="1">
        <v>44348.910416666666</v>
      </c>
      <c r="O5280" t="s">
        <v>19</v>
      </c>
    </row>
    <row r="5281" spans="1:15" x14ac:dyDescent="0.25">
      <c r="A5281" t="s">
        <v>4029</v>
      </c>
      <c r="B5281" t="s">
        <v>15</v>
      </c>
      <c r="C5281" t="s">
        <v>27</v>
      </c>
      <c r="D5281" t="s">
        <v>17</v>
      </c>
      <c r="E5281" t="s">
        <v>18</v>
      </c>
      <c r="F5281" t="s">
        <v>19</v>
      </c>
      <c r="G5281" t="s">
        <v>20</v>
      </c>
      <c r="J5281" t="s">
        <v>17</v>
      </c>
      <c r="K5281" t="str">
        <f>"110763924"</f>
        <v>110763924</v>
      </c>
      <c r="L5281" t="str">
        <f>"110763924"</f>
        <v>110763924</v>
      </c>
      <c r="M5281" t="s">
        <v>75</v>
      </c>
      <c r="N5281" s="1">
        <v>42872.847222222219</v>
      </c>
      <c r="O5281" t="s">
        <v>19</v>
      </c>
    </row>
    <row r="5282" spans="1:15" x14ac:dyDescent="0.25">
      <c r="A5282" t="s">
        <v>4029</v>
      </c>
      <c r="B5282" t="s">
        <v>15</v>
      </c>
      <c r="C5282" t="s">
        <v>27</v>
      </c>
      <c r="D5282" t="s">
        <v>17</v>
      </c>
      <c r="E5282" t="s">
        <v>18</v>
      </c>
      <c r="F5282" t="s">
        <v>19</v>
      </c>
      <c r="G5282" t="s">
        <v>20</v>
      </c>
      <c r="J5282" t="s">
        <v>17</v>
      </c>
      <c r="K5282" t="str">
        <f>"764714178"</f>
        <v>764714178</v>
      </c>
      <c r="L5282" t="str">
        <f>"764714178"</f>
        <v>764714178</v>
      </c>
      <c r="M5282" t="s">
        <v>75</v>
      </c>
      <c r="N5282" s="1">
        <v>42872.849305555559</v>
      </c>
      <c r="O5282" t="s">
        <v>19</v>
      </c>
    </row>
    <row r="5283" spans="1:15" x14ac:dyDescent="0.25">
      <c r="A5283" t="s">
        <v>4029</v>
      </c>
      <c r="B5283" t="s">
        <v>15</v>
      </c>
      <c r="C5283" t="s">
        <v>27</v>
      </c>
      <c r="D5283" t="s">
        <v>17</v>
      </c>
      <c r="E5283" t="s">
        <v>18</v>
      </c>
      <c r="F5283" t="s">
        <v>19</v>
      </c>
      <c r="G5283" t="s">
        <v>20</v>
      </c>
      <c r="J5283" t="s">
        <v>17</v>
      </c>
      <c r="K5283" t="str">
        <f>"764714198"</f>
        <v>764714198</v>
      </c>
      <c r="L5283" t="str">
        <f>"764714198"</f>
        <v>764714198</v>
      </c>
      <c r="M5283" t="s">
        <v>75</v>
      </c>
      <c r="N5283" s="1">
        <v>42872.849305555559</v>
      </c>
      <c r="O5283" t="s">
        <v>19</v>
      </c>
    </row>
    <row r="5284" spans="1:15" x14ac:dyDescent="0.25">
      <c r="A5284" t="s">
        <v>4030</v>
      </c>
      <c r="B5284" t="s">
        <v>15</v>
      </c>
      <c r="C5284" t="s">
        <v>27</v>
      </c>
      <c r="D5284" t="s">
        <v>17</v>
      </c>
      <c r="E5284" t="s">
        <v>18</v>
      </c>
      <c r="F5284" t="s">
        <v>19</v>
      </c>
      <c r="G5284" t="s">
        <v>20</v>
      </c>
      <c r="J5284" t="s">
        <v>17</v>
      </c>
      <c r="K5284" t="str">
        <f>"764814197"</f>
        <v>764814197</v>
      </c>
      <c r="L5284" t="str">
        <f>"764814197"</f>
        <v>764814197</v>
      </c>
      <c r="M5284" t="s">
        <v>75</v>
      </c>
      <c r="N5284" s="1">
        <v>42872.849305555559</v>
      </c>
      <c r="O5284" t="s">
        <v>19</v>
      </c>
    </row>
    <row r="5285" spans="1:15" x14ac:dyDescent="0.25">
      <c r="A5285" t="s">
        <v>4031</v>
      </c>
      <c r="B5285" t="s">
        <v>15</v>
      </c>
      <c r="C5285" t="s">
        <v>27</v>
      </c>
      <c r="D5285" t="s">
        <v>17</v>
      </c>
      <c r="E5285" t="s">
        <v>18</v>
      </c>
      <c r="F5285" t="s">
        <v>19</v>
      </c>
      <c r="G5285" t="s">
        <v>20</v>
      </c>
      <c r="J5285" t="s">
        <v>17</v>
      </c>
      <c r="K5285" t="str">
        <f>"2019030400160"</f>
        <v>2019030400160</v>
      </c>
      <c r="L5285" t="str">
        <f>"187514274"</f>
        <v>187514274</v>
      </c>
      <c r="M5285" t="s">
        <v>21</v>
      </c>
      <c r="N5285" s="1">
        <v>43603.668055555558</v>
      </c>
      <c r="O5285" t="s">
        <v>19</v>
      </c>
    </row>
    <row r="5286" spans="1:15" x14ac:dyDescent="0.25">
      <c r="A5286" t="s">
        <v>4031</v>
      </c>
      <c r="B5286" t="s">
        <v>15</v>
      </c>
      <c r="C5286" t="s">
        <v>27</v>
      </c>
      <c r="D5286" t="s">
        <v>17</v>
      </c>
      <c r="E5286" t="s">
        <v>18</v>
      </c>
      <c r="F5286" t="s">
        <v>19</v>
      </c>
      <c r="G5286" t="s">
        <v>20</v>
      </c>
      <c r="J5286" t="s">
        <v>17</v>
      </c>
      <c r="K5286" t="str">
        <f>"2019030102231"</f>
        <v>2019030102231</v>
      </c>
      <c r="L5286" t="str">
        <f>"186414274"</f>
        <v>186414274</v>
      </c>
      <c r="M5286" t="s">
        <v>21</v>
      </c>
      <c r="N5286" s="1">
        <v>43603.677083333336</v>
      </c>
      <c r="O5286" t="s">
        <v>19</v>
      </c>
    </row>
    <row r="5287" spans="1:15" x14ac:dyDescent="0.25">
      <c r="A5287" t="s">
        <v>4031</v>
      </c>
      <c r="B5287" t="s">
        <v>15</v>
      </c>
      <c r="C5287" t="s">
        <v>27</v>
      </c>
      <c r="D5287" t="s">
        <v>17</v>
      </c>
      <c r="E5287" t="s">
        <v>18</v>
      </c>
      <c r="F5287" t="s">
        <v>19</v>
      </c>
      <c r="G5287" t="s">
        <v>20</v>
      </c>
      <c r="J5287" t="s">
        <v>17</v>
      </c>
      <c r="K5287" t="str">
        <f>"1000001021997"</f>
        <v>1000001021997</v>
      </c>
      <c r="L5287" t="str">
        <f>"765114274"</f>
        <v>765114274</v>
      </c>
      <c r="M5287" t="s">
        <v>21</v>
      </c>
      <c r="N5287" s="1">
        <v>43610.708333333336</v>
      </c>
      <c r="O5287" t="s">
        <v>19</v>
      </c>
    </row>
    <row r="5288" spans="1:15" x14ac:dyDescent="0.25">
      <c r="A5288" t="s">
        <v>4031</v>
      </c>
      <c r="B5288" t="s">
        <v>15</v>
      </c>
      <c r="C5288" t="s">
        <v>27</v>
      </c>
      <c r="D5288" t="s">
        <v>17</v>
      </c>
      <c r="E5288" t="s">
        <v>18</v>
      </c>
      <c r="F5288" t="s">
        <v>19</v>
      </c>
      <c r="G5288" t="s">
        <v>20</v>
      </c>
      <c r="J5288" t="s">
        <v>17</v>
      </c>
      <c r="K5288" t="str">
        <f>"764814274"</f>
        <v>764814274</v>
      </c>
      <c r="L5288" t="str">
        <f>"764814274"</f>
        <v>764814274</v>
      </c>
      <c r="M5288" t="s">
        <v>21</v>
      </c>
      <c r="N5288" s="1">
        <v>43720.712500000001</v>
      </c>
      <c r="O5288" t="s">
        <v>19</v>
      </c>
    </row>
    <row r="5289" spans="1:15" x14ac:dyDescent="0.25">
      <c r="A5289" t="s">
        <v>4031</v>
      </c>
      <c r="B5289" t="s">
        <v>15</v>
      </c>
      <c r="C5289" t="s">
        <v>27</v>
      </c>
      <c r="D5289" t="s">
        <v>17</v>
      </c>
      <c r="E5289" t="s">
        <v>18</v>
      </c>
      <c r="F5289" t="s">
        <v>19</v>
      </c>
      <c r="G5289" t="s">
        <v>20</v>
      </c>
      <c r="J5289" t="s">
        <v>17</v>
      </c>
      <c r="K5289" t="str">
        <f>"684814274"</f>
        <v>684814274</v>
      </c>
      <c r="L5289" t="str">
        <f>"684814274"</f>
        <v>684814274</v>
      </c>
      <c r="M5289" t="s">
        <v>21</v>
      </c>
      <c r="N5289" s="1">
        <v>43721.59097222222</v>
      </c>
      <c r="O5289" t="s">
        <v>19</v>
      </c>
    </row>
    <row r="5290" spans="1:15" x14ac:dyDescent="0.25">
      <c r="A5290" t="s">
        <v>4031</v>
      </c>
      <c r="B5290" t="s">
        <v>15</v>
      </c>
      <c r="C5290" t="s">
        <v>27</v>
      </c>
      <c r="D5290" t="s">
        <v>17</v>
      </c>
      <c r="E5290" t="s">
        <v>18</v>
      </c>
      <c r="F5290" t="s">
        <v>19</v>
      </c>
      <c r="G5290" t="s">
        <v>20</v>
      </c>
      <c r="J5290" t="s">
        <v>17</v>
      </c>
      <c r="K5290" t="str">
        <f>"1578087896098"</f>
        <v>1578087896098</v>
      </c>
      <c r="L5290" t="str">
        <f>"765114981"</f>
        <v>765114981</v>
      </c>
      <c r="M5290" t="s">
        <v>21</v>
      </c>
      <c r="N5290" s="1">
        <v>43833.905555555553</v>
      </c>
      <c r="O5290" t="s">
        <v>19</v>
      </c>
    </row>
    <row r="5291" spans="1:15" x14ac:dyDescent="0.25">
      <c r="A5291" t="s">
        <v>4031</v>
      </c>
      <c r="B5291" t="s">
        <v>15</v>
      </c>
      <c r="C5291" t="s">
        <v>27</v>
      </c>
      <c r="D5291" t="s">
        <v>17</v>
      </c>
      <c r="E5291" t="s">
        <v>18</v>
      </c>
      <c r="F5291" t="s">
        <v>19</v>
      </c>
      <c r="G5291" t="s">
        <v>20</v>
      </c>
      <c r="H5291" t="s">
        <v>4031</v>
      </c>
      <c r="J5291" t="s">
        <v>17</v>
      </c>
      <c r="K5291" t="str">
        <f>"1578086759867"</f>
        <v>1578086759867</v>
      </c>
      <c r="L5291" t="str">
        <f>"764810290"</f>
        <v>764810290</v>
      </c>
      <c r="M5291" t="s">
        <v>21</v>
      </c>
      <c r="N5291" s="1">
        <v>43833.892361111109</v>
      </c>
      <c r="O5291" t="s">
        <v>33</v>
      </c>
    </row>
    <row r="5292" spans="1:15" x14ac:dyDescent="0.25">
      <c r="A5292" t="s">
        <v>4032</v>
      </c>
      <c r="B5292" t="s">
        <v>15</v>
      </c>
      <c r="C5292" t="s">
        <v>27</v>
      </c>
      <c r="D5292" t="s">
        <v>17</v>
      </c>
      <c r="E5292" t="s">
        <v>18</v>
      </c>
      <c r="F5292" t="s">
        <v>19</v>
      </c>
      <c r="G5292" t="s">
        <v>20</v>
      </c>
      <c r="J5292" t="s">
        <v>17</v>
      </c>
      <c r="K5292" t="str">
        <f>"765114286"</f>
        <v>765114286</v>
      </c>
      <c r="L5292" t="str">
        <f>"765114286"</f>
        <v>765114286</v>
      </c>
      <c r="M5292" t="s">
        <v>21</v>
      </c>
      <c r="N5292" s="1">
        <v>43825.865972222222</v>
      </c>
      <c r="O5292" t="s">
        <v>19</v>
      </c>
    </row>
    <row r="5293" spans="1:15" x14ac:dyDescent="0.25">
      <c r="A5293" t="s">
        <v>4033</v>
      </c>
      <c r="B5293" t="s">
        <v>15</v>
      </c>
      <c r="C5293" t="s">
        <v>27</v>
      </c>
      <c r="D5293" t="s">
        <v>17</v>
      </c>
      <c r="E5293" t="s">
        <v>18</v>
      </c>
      <c r="F5293" t="s">
        <v>19</v>
      </c>
      <c r="G5293" t="s">
        <v>20</v>
      </c>
      <c r="J5293" t="s">
        <v>17</v>
      </c>
      <c r="K5293" t="str">
        <f>"797914294"</f>
        <v>797914294</v>
      </c>
      <c r="L5293" t="str">
        <f>"797914294"</f>
        <v>797914294</v>
      </c>
      <c r="M5293" t="s">
        <v>21</v>
      </c>
      <c r="N5293" s="1">
        <v>42872.839583333334</v>
      </c>
      <c r="O5293" t="s">
        <v>19</v>
      </c>
    </row>
    <row r="5294" spans="1:15" x14ac:dyDescent="0.25">
      <c r="A5294" t="s">
        <v>4034</v>
      </c>
      <c r="B5294" t="s">
        <v>15</v>
      </c>
      <c r="C5294" t="s">
        <v>27</v>
      </c>
      <c r="D5294" t="s">
        <v>17</v>
      </c>
      <c r="E5294" t="s">
        <v>18</v>
      </c>
      <c r="F5294" t="s">
        <v>19</v>
      </c>
      <c r="G5294" t="s">
        <v>20</v>
      </c>
      <c r="J5294" t="s">
        <v>18</v>
      </c>
      <c r="K5294" t="str">
        <f>"765114304"</f>
        <v>765114304</v>
      </c>
      <c r="L5294" t="str">
        <f>"765114304"</f>
        <v>765114304</v>
      </c>
      <c r="M5294" t="s">
        <v>21</v>
      </c>
      <c r="N5294" s="1">
        <v>44355.825694444444</v>
      </c>
      <c r="O5294" t="s">
        <v>19</v>
      </c>
    </row>
    <row r="5295" spans="1:15" x14ac:dyDescent="0.25">
      <c r="A5295" t="s">
        <v>4034</v>
      </c>
      <c r="B5295" t="s">
        <v>15</v>
      </c>
      <c r="C5295" t="s">
        <v>27</v>
      </c>
      <c r="D5295" t="s">
        <v>17</v>
      </c>
      <c r="E5295" t="s">
        <v>18</v>
      </c>
      <c r="F5295" t="s">
        <v>19</v>
      </c>
      <c r="G5295" t="s">
        <v>20</v>
      </c>
      <c r="J5295" t="s">
        <v>17</v>
      </c>
      <c r="K5295" t="str">
        <f>"135114304"</f>
        <v>135114304</v>
      </c>
      <c r="L5295" t="str">
        <f>"135114304"</f>
        <v>135114304</v>
      </c>
      <c r="M5295" t="s">
        <v>21</v>
      </c>
      <c r="N5295" s="1">
        <v>44414.951388888891</v>
      </c>
      <c r="O5295" t="s">
        <v>19</v>
      </c>
    </row>
    <row r="5296" spans="1:15" x14ac:dyDescent="0.25">
      <c r="A5296" t="s">
        <v>4035</v>
      </c>
      <c r="B5296" t="s">
        <v>15</v>
      </c>
      <c r="C5296" t="s">
        <v>27</v>
      </c>
      <c r="D5296" t="s">
        <v>17</v>
      </c>
      <c r="E5296" t="s">
        <v>18</v>
      </c>
      <c r="F5296" t="s">
        <v>19</v>
      </c>
      <c r="G5296" t="s">
        <v>20</v>
      </c>
      <c r="J5296" t="s">
        <v>17</v>
      </c>
      <c r="K5296" t="str">
        <f>"2019030400177"</f>
        <v>2019030400177</v>
      </c>
      <c r="L5296" t="str">
        <f>"187514278"</f>
        <v>187514278</v>
      </c>
      <c r="M5296" t="s">
        <v>21</v>
      </c>
      <c r="N5296" s="1">
        <v>43603.664583333331</v>
      </c>
      <c r="O5296" t="s">
        <v>19</v>
      </c>
    </row>
    <row r="5297" spans="1:15" x14ac:dyDescent="0.25">
      <c r="A5297" t="s">
        <v>4035</v>
      </c>
      <c r="B5297" t="s">
        <v>15</v>
      </c>
      <c r="C5297" t="s">
        <v>27</v>
      </c>
      <c r="D5297" t="s">
        <v>17</v>
      </c>
      <c r="E5297" t="s">
        <v>18</v>
      </c>
      <c r="F5297" t="s">
        <v>19</v>
      </c>
      <c r="G5297" t="s">
        <v>20</v>
      </c>
      <c r="J5297" t="s">
        <v>17</v>
      </c>
      <c r="K5297" t="str">
        <f>"2019030678767"</f>
        <v>2019030678767</v>
      </c>
      <c r="L5297" t="str">
        <f>"186414278"</f>
        <v>186414278</v>
      </c>
      <c r="M5297" t="s">
        <v>21</v>
      </c>
      <c r="N5297" s="1">
        <v>43603.678472222222</v>
      </c>
      <c r="O5297" t="s">
        <v>19</v>
      </c>
    </row>
    <row r="5298" spans="1:15" x14ac:dyDescent="0.25">
      <c r="A5298" t="s">
        <v>4036</v>
      </c>
      <c r="B5298" t="s">
        <v>15</v>
      </c>
      <c r="C5298" t="s">
        <v>27</v>
      </c>
      <c r="D5298" t="s">
        <v>17</v>
      </c>
      <c r="E5298" t="s">
        <v>18</v>
      </c>
      <c r="F5298" t="s">
        <v>19</v>
      </c>
      <c r="G5298" t="s">
        <v>20</v>
      </c>
      <c r="J5298" t="s">
        <v>17</v>
      </c>
      <c r="K5298" t="str">
        <f>"17481401"</f>
        <v>17481401</v>
      </c>
      <c r="L5298" t="str">
        <f>"17481401"</f>
        <v>17481401</v>
      </c>
      <c r="M5298" t="s">
        <v>75</v>
      </c>
      <c r="N5298" s="1">
        <v>42872.839583333334</v>
      </c>
      <c r="O5298" t="s">
        <v>19</v>
      </c>
    </row>
    <row r="5299" spans="1:15" x14ac:dyDescent="0.25">
      <c r="A5299" t="s">
        <v>4036</v>
      </c>
      <c r="B5299" t="s">
        <v>15</v>
      </c>
      <c r="C5299" t="s">
        <v>27</v>
      </c>
      <c r="D5299" t="s">
        <v>17</v>
      </c>
      <c r="E5299" t="s">
        <v>18</v>
      </c>
      <c r="F5299" t="s">
        <v>19</v>
      </c>
      <c r="G5299" t="s">
        <v>20</v>
      </c>
      <c r="J5299" t="s">
        <v>17</v>
      </c>
      <c r="K5299" t="str">
        <f>"110762065"</f>
        <v>110762065</v>
      </c>
      <c r="L5299" t="str">
        <f>"110762065"</f>
        <v>110762065</v>
      </c>
      <c r="M5299" t="s">
        <v>75</v>
      </c>
      <c r="N5299" s="1">
        <v>42872.847222222219</v>
      </c>
      <c r="O5299" t="s">
        <v>19</v>
      </c>
    </row>
    <row r="5300" spans="1:15" x14ac:dyDescent="0.25">
      <c r="A5300" t="s">
        <v>4037</v>
      </c>
      <c r="B5300" t="s">
        <v>15</v>
      </c>
      <c r="C5300" t="s">
        <v>27</v>
      </c>
      <c r="D5300" t="s">
        <v>17</v>
      </c>
      <c r="E5300" t="s">
        <v>18</v>
      </c>
      <c r="F5300" t="s">
        <v>19</v>
      </c>
      <c r="G5300" t="s">
        <v>20</v>
      </c>
      <c r="J5300" t="s">
        <v>17</v>
      </c>
      <c r="K5300" t="str">
        <f>"764714179"</f>
        <v>764714179</v>
      </c>
      <c r="L5300" t="str">
        <f>"764714179"</f>
        <v>764714179</v>
      </c>
      <c r="M5300" t="s">
        <v>75</v>
      </c>
      <c r="N5300" s="1">
        <v>42872.849305555559</v>
      </c>
      <c r="O5300" t="s">
        <v>19</v>
      </c>
    </row>
    <row r="5301" spans="1:15" x14ac:dyDescent="0.25">
      <c r="A5301" t="s">
        <v>4037</v>
      </c>
      <c r="B5301" t="s">
        <v>15</v>
      </c>
      <c r="C5301" t="s">
        <v>27</v>
      </c>
      <c r="D5301" t="s">
        <v>17</v>
      </c>
      <c r="E5301" t="s">
        <v>18</v>
      </c>
      <c r="F5301" t="s">
        <v>19</v>
      </c>
      <c r="G5301" t="s">
        <v>20</v>
      </c>
      <c r="J5301" t="s">
        <v>17</v>
      </c>
      <c r="K5301" t="str">
        <f>"764814179"</f>
        <v>764814179</v>
      </c>
      <c r="L5301" t="str">
        <f>"764814179"</f>
        <v>764814179</v>
      </c>
      <c r="M5301" t="s">
        <v>75</v>
      </c>
      <c r="N5301" s="1">
        <v>42872.849305555559</v>
      </c>
      <c r="O5301" t="s">
        <v>19</v>
      </c>
    </row>
    <row r="5302" spans="1:15" x14ac:dyDescent="0.25">
      <c r="A5302" t="s">
        <v>4038</v>
      </c>
      <c r="B5302" t="s">
        <v>15</v>
      </c>
      <c r="C5302" t="s">
        <v>27</v>
      </c>
      <c r="D5302" t="s">
        <v>17</v>
      </c>
      <c r="E5302" t="s">
        <v>18</v>
      </c>
      <c r="F5302" t="s">
        <v>19</v>
      </c>
      <c r="G5302" t="s">
        <v>20</v>
      </c>
      <c r="J5302" t="s">
        <v>17</v>
      </c>
      <c r="K5302" t="str">
        <f>"174814293"</f>
        <v>174814293</v>
      </c>
      <c r="L5302" t="str">
        <f>"174814293"</f>
        <v>174814293</v>
      </c>
      <c r="M5302" t="s">
        <v>75</v>
      </c>
      <c r="N5302" s="1">
        <v>43096.710416666669</v>
      </c>
      <c r="O5302" t="s">
        <v>19</v>
      </c>
    </row>
    <row r="5303" spans="1:15" x14ac:dyDescent="0.25">
      <c r="A5303" t="s">
        <v>4039</v>
      </c>
      <c r="B5303" t="s">
        <v>15</v>
      </c>
      <c r="C5303" t="s">
        <v>27</v>
      </c>
      <c r="D5303" t="s">
        <v>17</v>
      </c>
      <c r="E5303" t="s">
        <v>18</v>
      </c>
      <c r="F5303" t="s">
        <v>19</v>
      </c>
      <c r="G5303" t="s">
        <v>20</v>
      </c>
      <c r="J5303" t="s">
        <v>17</v>
      </c>
      <c r="K5303" t="str">
        <f>"2019030400184"</f>
        <v>2019030400184</v>
      </c>
      <c r="L5303" t="str">
        <f>"187514275"</f>
        <v>187514275</v>
      </c>
      <c r="M5303" t="s">
        <v>21</v>
      </c>
      <c r="N5303" s="1">
        <v>43603.667361111111</v>
      </c>
      <c r="O5303" t="s">
        <v>19</v>
      </c>
    </row>
    <row r="5304" spans="1:15" x14ac:dyDescent="0.25">
      <c r="A5304" t="s">
        <v>4039</v>
      </c>
      <c r="B5304" t="s">
        <v>15</v>
      </c>
      <c r="C5304" t="s">
        <v>27</v>
      </c>
      <c r="D5304" t="s">
        <v>17</v>
      </c>
      <c r="E5304" t="s">
        <v>18</v>
      </c>
      <c r="F5304" t="s">
        <v>19</v>
      </c>
      <c r="G5304" t="s">
        <v>20</v>
      </c>
      <c r="J5304" t="s">
        <v>17</v>
      </c>
      <c r="K5304" t="str">
        <f>"2019030102248"</f>
        <v>2019030102248</v>
      </c>
      <c r="L5304" t="str">
        <f>"186414275"</f>
        <v>186414275</v>
      </c>
      <c r="M5304" t="s">
        <v>21</v>
      </c>
      <c r="N5304" s="1">
        <v>43603.691666666666</v>
      </c>
      <c r="O5304" t="s">
        <v>19</v>
      </c>
    </row>
    <row r="5305" spans="1:15" x14ac:dyDescent="0.25">
      <c r="A5305" t="s">
        <v>4039</v>
      </c>
      <c r="B5305" t="s">
        <v>15</v>
      </c>
      <c r="C5305" t="s">
        <v>27</v>
      </c>
      <c r="D5305" t="s">
        <v>17</v>
      </c>
      <c r="E5305" t="s">
        <v>18</v>
      </c>
      <c r="F5305" t="s">
        <v>19</v>
      </c>
      <c r="G5305" t="s">
        <v>20</v>
      </c>
      <c r="J5305" t="s">
        <v>17</v>
      </c>
      <c r="K5305" t="str">
        <f>"1000001022000"</f>
        <v>1000001022000</v>
      </c>
      <c r="L5305" t="str">
        <f>"764814275"</f>
        <v>764814275</v>
      </c>
      <c r="M5305" t="s">
        <v>21</v>
      </c>
      <c r="N5305" s="1">
        <v>43666.668055555558</v>
      </c>
      <c r="O5305" t="s">
        <v>19</v>
      </c>
    </row>
    <row r="5306" spans="1:15" x14ac:dyDescent="0.25">
      <c r="A5306" t="s">
        <v>4039</v>
      </c>
      <c r="B5306" t="s">
        <v>15</v>
      </c>
      <c r="C5306" t="s">
        <v>27</v>
      </c>
      <c r="D5306" t="s">
        <v>17</v>
      </c>
      <c r="E5306" t="s">
        <v>18</v>
      </c>
      <c r="F5306" t="s">
        <v>19</v>
      </c>
      <c r="G5306" t="s">
        <v>20</v>
      </c>
      <c r="J5306" t="s">
        <v>17</v>
      </c>
      <c r="K5306" t="str">
        <f>"765114275"</f>
        <v>765114275</v>
      </c>
      <c r="L5306" t="str">
        <f>"765114275"</f>
        <v>765114275</v>
      </c>
      <c r="M5306" t="s">
        <v>21</v>
      </c>
      <c r="N5306" s="1">
        <v>43754.865277777775</v>
      </c>
      <c r="O5306" t="s">
        <v>19</v>
      </c>
    </row>
    <row r="5307" spans="1:15" x14ac:dyDescent="0.25">
      <c r="A5307" t="s">
        <v>4040</v>
      </c>
      <c r="B5307" t="s">
        <v>15</v>
      </c>
      <c r="C5307" t="s">
        <v>27</v>
      </c>
      <c r="D5307" t="s">
        <v>17</v>
      </c>
      <c r="E5307" t="s">
        <v>18</v>
      </c>
      <c r="F5307" t="s">
        <v>19</v>
      </c>
      <c r="G5307" t="s">
        <v>20</v>
      </c>
      <c r="J5307" t="s">
        <v>17</v>
      </c>
      <c r="K5307" t="str">
        <f>"765114288"</f>
        <v>765114288</v>
      </c>
      <c r="L5307" t="str">
        <f>"765114288"</f>
        <v>765114288</v>
      </c>
      <c r="M5307" t="s">
        <v>21</v>
      </c>
      <c r="N5307" s="1">
        <v>42872.839583333334</v>
      </c>
      <c r="O5307" t="s">
        <v>19</v>
      </c>
    </row>
    <row r="5308" spans="1:15" x14ac:dyDescent="0.25">
      <c r="A5308" t="s">
        <v>4040</v>
      </c>
      <c r="B5308" t="s">
        <v>15</v>
      </c>
      <c r="C5308" t="s">
        <v>27</v>
      </c>
      <c r="D5308" t="s">
        <v>17</v>
      </c>
      <c r="E5308" t="s">
        <v>18</v>
      </c>
      <c r="F5308" t="s">
        <v>19</v>
      </c>
      <c r="G5308" t="s">
        <v>20</v>
      </c>
      <c r="J5308" t="s">
        <v>17</v>
      </c>
      <c r="K5308" t="str">
        <f>"767514201"</f>
        <v>767514201</v>
      </c>
      <c r="L5308" t="str">
        <f>"767514201"</f>
        <v>767514201</v>
      </c>
      <c r="M5308" t="s">
        <v>75</v>
      </c>
      <c r="N5308" s="1">
        <v>42896.794444444444</v>
      </c>
      <c r="O5308" t="s">
        <v>19</v>
      </c>
    </row>
    <row r="5309" spans="1:15" x14ac:dyDescent="0.25">
      <c r="A5309" t="s">
        <v>4040</v>
      </c>
      <c r="B5309" t="s">
        <v>15</v>
      </c>
      <c r="C5309" t="s">
        <v>27</v>
      </c>
      <c r="D5309" t="s">
        <v>17</v>
      </c>
      <c r="E5309" t="s">
        <v>18</v>
      </c>
      <c r="F5309" t="s">
        <v>19</v>
      </c>
      <c r="G5309" t="s">
        <v>20</v>
      </c>
      <c r="J5309" t="s">
        <v>17</v>
      </c>
      <c r="K5309" t="str">
        <f>"764814201"</f>
        <v>764814201</v>
      </c>
      <c r="L5309" t="str">
        <f>"764814201"</f>
        <v>764814201</v>
      </c>
      <c r="M5309" t="s">
        <v>84</v>
      </c>
      <c r="N5309" s="1">
        <v>43332.584027777775</v>
      </c>
      <c r="O5309" t="s">
        <v>19</v>
      </c>
    </row>
    <row r="5310" spans="1:15" x14ac:dyDescent="0.25">
      <c r="A5310" t="s">
        <v>4040</v>
      </c>
      <c r="B5310" t="s">
        <v>15</v>
      </c>
      <c r="C5310" t="s">
        <v>27</v>
      </c>
      <c r="D5310" t="s">
        <v>17</v>
      </c>
      <c r="E5310" t="s">
        <v>18</v>
      </c>
      <c r="F5310" t="s">
        <v>19</v>
      </c>
      <c r="G5310" t="s">
        <v>20</v>
      </c>
      <c r="J5310" t="s">
        <v>17</v>
      </c>
      <c r="K5310" t="str">
        <f>"349914200"</f>
        <v>349914200</v>
      </c>
      <c r="L5310" t="str">
        <f>"349914200"</f>
        <v>349914200</v>
      </c>
      <c r="M5310" t="s">
        <v>84</v>
      </c>
      <c r="N5310" s="1">
        <v>43370.87777777778</v>
      </c>
      <c r="O5310" t="s">
        <v>19</v>
      </c>
    </row>
    <row r="5311" spans="1:15" x14ac:dyDescent="0.25">
      <c r="A5311" t="s">
        <v>4040</v>
      </c>
      <c r="B5311" t="s">
        <v>15</v>
      </c>
      <c r="C5311" t="s">
        <v>27</v>
      </c>
      <c r="D5311" t="s">
        <v>17</v>
      </c>
      <c r="E5311" t="s">
        <v>18</v>
      </c>
      <c r="F5311" t="s">
        <v>19</v>
      </c>
      <c r="G5311" t="s">
        <v>20</v>
      </c>
      <c r="J5311" t="s">
        <v>17</v>
      </c>
      <c r="K5311" t="str">
        <f>"349914201"</f>
        <v>349914201</v>
      </c>
      <c r="L5311" t="str">
        <f>"349914201"</f>
        <v>349914201</v>
      </c>
      <c r="M5311" t="s">
        <v>84</v>
      </c>
      <c r="N5311" s="1">
        <v>43370.87777777778</v>
      </c>
      <c r="O5311" t="s">
        <v>19</v>
      </c>
    </row>
    <row r="5312" spans="1:15" x14ac:dyDescent="0.25">
      <c r="A5312" t="s">
        <v>4040</v>
      </c>
      <c r="B5312" t="s">
        <v>15</v>
      </c>
      <c r="C5312" t="s">
        <v>27</v>
      </c>
      <c r="D5312" t="s">
        <v>17</v>
      </c>
      <c r="E5312" t="s">
        <v>18</v>
      </c>
      <c r="F5312" t="s">
        <v>19</v>
      </c>
      <c r="G5312" t="s">
        <v>20</v>
      </c>
      <c r="J5312" t="s">
        <v>17</v>
      </c>
      <c r="K5312" t="str">
        <f>"2020060401058"</f>
        <v>2020060401058</v>
      </c>
      <c r="L5312" t="str">
        <f>"185114288"</f>
        <v>185114288</v>
      </c>
      <c r="M5312" t="s">
        <v>21</v>
      </c>
      <c r="N5312" s="1">
        <v>43649.636805555558</v>
      </c>
      <c r="O5312" t="s">
        <v>19</v>
      </c>
    </row>
    <row r="5313" spans="1:15" x14ac:dyDescent="0.25">
      <c r="A5313" t="s">
        <v>4040</v>
      </c>
      <c r="B5313" t="s">
        <v>15</v>
      </c>
      <c r="C5313" t="s">
        <v>27</v>
      </c>
      <c r="D5313" t="s">
        <v>17</v>
      </c>
      <c r="E5313" t="s">
        <v>18</v>
      </c>
      <c r="F5313" t="s">
        <v>19</v>
      </c>
      <c r="G5313" t="s">
        <v>20</v>
      </c>
      <c r="J5313" t="s">
        <v>17</v>
      </c>
      <c r="K5313" t="str">
        <f>"675114200"</f>
        <v>675114200</v>
      </c>
      <c r="L5313" t="str">
        <f>"675114200"</f>
        <v>675114200</v>
      </c>
      <c r="M5313" t="s">
        <v>21</v>
      </c>
      <c r="N5313" s="1">
        <v>43873.784722222219</v>
      </c>
      <c r="O5313" t="s">
        <v>19</v>
      </c>
    </row>
    <row r="5314" spans="1:15" x14ac:dyDescent="0.25">
      <c r="A5314" t="s">
        <v>4041</v>
      </c>
      <c r="B5314" t="s">
        <v>15</v>
      </c>
      <c r="C5314" t="s">
        <v>27</v>
      </c>
      <c r="D5314" t="s">
        <v>17</v>
      </c>
      <c r="E5314" t="s">
        <v>18</v>
      </c>
      <c r="F5314" t="s">
        <v>19</v>
      </c>
      <c r="G5314" t="s">
        <v>20</v>
      </c>
      <c r="J5314" t="s">
        <v>18</v>
      </c>
      <c r="K5314" t="str">
        <f>"765114307"</f>
        <v>765114307</v>
      </c>
      <c r="L5314" t="str">
        <f>"765114307"</f>
        <v>765114307</v>
      </c>
      <c r="M5314" t="s">
        <v>21</v>
      </c>
      <c r="N5314" s="1">
        <v>44355.82708333333</v>
      </c>
      <c r="O5314" t="s">
        <v>19</v>
      </c>
    </row>
    <row r="5315" spans="1:15" x14ac:dyDescent="0.25">
      <c r="A5315" t="s">
        <v>4042</v>
      </c>
      <c r="B5315" t="s">
        <v>15</v>
      </c>
      <c r="C5315" t="s">
        <v>27</v>
      </c>
      <c r="D5315" t="s">
        <v>17</v>
      </c>
      <c r="E5315" t="s">
        <v>18</v>
      </c>
      <c r="F5315" t="s">
        <v>19</v>
      </c>
      <c r="G5315" t="s">
        <v>20</v>
      </c>
      <c r="J5315" t="s">
        <v>17</v>
      </c>
      <c r="K5315" t="str">
        <f>"766114258"</f>
        <v>766114258</v>
      </c>
      <c r="L5315" t="str">
        <f>"766114258"</f>
        <v>766114258</v>
      </c>
      <c r="M5315" t="s">
        <v>84</v>
      </c>
      <c r="N5315" s="1">
        <v>43272.797222222223</v>
      </c>
      <c r="O5315" t="s">
        <v>19</v>
      </c>
    </row>
    <row r="5316" spans="1:15" x14ac:dyDescent="0.25">
      <c r="A5316" t="s">
        <v>4042</v>
      </c>
      <c r="B5316" t="s">
        <v>15</v>
      </c>
      <c r="C5316" t="s">
        <v>27</v>
      </c>
      <c r="D5316" t="s">
        <v>17</v>
      </c>
      <c r="E5316" t="s">
        <v>18</v>
      </c>
      <c r="F5316" t="s">
        <v>19</v>
      </c>
      <c r="G5316" t="s">
        <v>20</v>
      </c>
      <c r="J5316" t="s">
        <v>17</v>
      </c>
      <c r="K5316" t="str">
        <f>"765114258"</f>
        <v>765114258</v>
      </c>
      <c r="L5316" t="str">
        <f>"765114258"</f>
        <v>765114258</v>
      </c>
      <c r="M5316" t="s">
        <v>84</v>
      </c>
      <c r="N5316" s="1">
        <v>43287.781944444447</v>
      </c>
      <c r="O5316" t="s">
        <v>19</v>
      </c>
    </row>
    <row r="5317" spans="1:15" x14ac:dyDescent="0.25">
      <c r="A5317" t="s">
        <v>4043</v>
      </c>
      <c r="B5317" t="s">
        <v>15</v>
      </c>
      <c r="C5317" t="s">
        <v>27</v>
      </c>
      <c r="D5317" t="s">
        <v>17</v>
      </c>
      <c r="E5317" t="s">
        <v>18</v>
      </c>
      <c r="F5317" t="s">
        <v>19</v>
      </c>
      <c r="G5317" t="s">
        <v>20</v>
      </c>
      <c r="J5317" t="s">
        <v>17</v>
      </c>
      <c r="K5317" t="str">
        <f>"766114259"</f>
        <v>766114259</v>
      </c>
      <c r="L5317" t="str">
        <f>"766114259"</f>
        <v>766114259</v>
      </c>
      <c r="M5317" t="s">
        <v>84</v>
      </c>
      <c r="N5317" s="1">
        <v>43272.797222222223</v>
      </c>
      <c r="O5317" t="s">
        <v>19</v>
      </c>
    </row>
    <row r="5318" spans="1:15" x14ac:dyDescent="0.25">
      <c r="A5318" t="s">
        <v>4043</v>
      </c>
      <c r="B5318" t="s">
        <v>15</v>
      </c>
      <c r="C5318" t="s">
        <v>27</v>
      </c>
      <c r="D5318" t="s">
        <v>17</v>
      </c>
      <c r="E5318" t="s">
        <v>18</v>
      </c>
      <c r="F5318" t="s">
        <v>19</v>
      </c>
      <c r="G5318" t="s">
        <v>20</v>
      </c>
      <c r="J5318" t="s">
        <v>17</v>
      </c>
      <c r="K5318" t="str">
        <f>"615114259"</f>
        <v>615114259</v>
      </c>
      <c r="L5318" t="str">
        <f>"615114259"</f>
        <v>615114259</v>
      </c>
      <c r="M5318" t="s">
        <v>84</v>
      </c>
      <c r="N5318" s="1">
        <v>43320.711111111108</v>
      </c>
      <c r="O5318" t="s">
        <v>19</v>
      </c>
    </row>
    <row r="5319" spans="1:15" x14ac:dyDescent="0.25">
      <c r="A5319" t="s">
        <v>4043</v>
      </c>
      <c r="B5319" t="s">
        <v>15</v>
      </c>
      <c r="C5319" t="s">
        <v>27</v>
      </c>
      <c r="D5319" t="s">
        <v>17</v>
      </c>
      <c r="E5319" t="s">
        <v>18</v>
      </c>
      <c r="F5319" t="s">
        <v>19</v>
      </c>
      <c r="G5319" t="s">
        <v>20</v>
      </c>
      <c r="J5319" t="s">
        <v>17</v>
      </c>
      <c r="K5319" t="str">
        <f>"1000001092850"</f>
        <v>1000001092850</v>
      </c>
      <c r="L5319" t="str">
        <f>"764814259"</f>
        <v>764814259</v>
      </c>
      <c r="M5319" t="s">
        <v>84</v>
      </c>
      <c r="N5319" s="1">
        <v>43351.672222222223</v>
      </c>
      <c r="O5319" t="s">
        <v>19</v>
      </c>
    </row>
    <row r="5320" spans="1:15" x14ac:dyDescent="0.25">
      <c r="A5320" t="s">
        <v>4044</v>
      </c>
      <c r="B5320" t="s">
        <v>15</v>
      </c>
      <c r="C5320" t="s">
        <v>27</v>
      </c>
      <c r="D5320" t="s">
        <v>17</v>
      </c>
      <c r="E5320" t="s">
        <v>18</v>
      </c>
      <c r="F5320" t="s">
        <v>19</v>
      </c>
      <c r="G5320" t="s">
        <v>20</v>
      </c>
      <c r="J5320" t="s">
        <v>17</v>
      </c>
      <c r="K5320" t="str">
        <f>"764714177"</f>
        <v>764714177</v>
      </c>
      <c r="L5320" t="str">
        <f>"764714177"</f>
        <v>764714177</v>
      </c>
      <c r="M5320" t="s">
        <v>75</v>
      </c>
      <c r="N5320" s="1">
        <v>42872.849305555559</v>
      </c>
      <c r="O5320" t="s">
        <v>19</v>
      </c>
    </row>
    <row r="5321" spans="1:15" x14ac:dyDescent="0.25">
      <c r="A5321" t="s">
        <v>4045</v>
      </c>
      <c r="B5321" t="s">
        <v>15</v>
      </c>
      <c r="C5321" t="s">
        <v>27</v>
      </c>
      <c r="D5321" t="s">
        <v>17</v>
      </c>
      <c r="E5321" t="s">
        <v>18</v>
      </c>
      <c r="F5321" t="s">
        <v>19</v>
      </c>
      <c r="G5321" t="s">
        <v>20</v>
      </c>
      <c r="J5321" t="s">
        <v>17</v>
      </c>
      <c r="K5321" t="str">
        <f>"1000001099682"</f>
        <v>1000001099682</v>
      </c>
      <c r="L5321" t="str">
        <f>"765114265"</f>
        <v>765114265</v>
      </c>
      <c r="M5321" t="s">
        <v>84</v>
      </c>
      <c r="N5321" s="1">
        <v>43465.636111111111</v>
      </c>
      <c r="O5321" t="s">
        <v>19</v>
      </c>
    </row>
    <row r="5322" spans="1:15" x14ac:dyDescent="0.25">
      <c r="A5322" t="s">
        <v>4045</v>
      </c>
      <c r="B5322" t="s">
        <v>15</v>
      </c>
      <c r="C5322" t="s">
        <v>27</v>
      </c>
      <c r="D5322" t="s">
        <v>17</v>
      </c>
      <c r="E5322" t="s">
        <v>18</v>
      </c>
      <c r="F5322" t="s">
        <v>19</v>
      </c>
      <c r="G5322" t="s">
        <v>20</v>
      </c>
      <c r="J5322" t="s">
        <v>17</v>
      </c>
      <c r="K5322" t="str">
        <f>"768914265"</f>
        <v>768914265</v>
      </c>
      <c r="L5322" t="str">
        <f>"768914265"</f>
        <v>768914265</v>
      </c>
      <c r="M5322" t="s">
        <v>84</v>
      </c>
      <c r="N5322" s="1">
        <v>43528.660416666666</v>
      </c>
      <c r="O5322" t="s">
        <v>19</v>
      </c>
    </row>
    <row r="5323" spans="1:15" x14ac:dyDescent="0.25">
      <c r="A5323" t="s">
        <v>4045</v>
      </c>
      <c r="B5323" t="s">
        <v>15</v>
      </c>
      <c r="C5323" t="s">
        <v>27</v>
      </c>
      <c r="D5323" t="s">
        <v>17</v>
      </c>
      <c r="E5323" t="s">
        <v>18</v>
      </c>
      <c r="F5323" t="s">
        <v>19</v>
      </c>
      <c r="G5323" t="s">
        <v>20</v>
      </c>
      <c r="J5323" t="s">
        <v>17</v>
      </c>
      <c r="K5323" t="str">
        <f>"2019030400115"</f>
        <v>2019030400115</v>
      </c>
      <c r="L5323" t="str">
        <f>"187514265"</f>
        <v>187514265</v>
      </c>
      <c r="M5323" t="s">
        <v>21</v>
      </c>
      <c r="N5323" s="1">
        <v>43603.665277777778</v>
      </c>
      <c r="O5323" t="s">
        <v>19</v>
      </c>
    </row>
    <row r="5324" spans="1:15" x14ac:dyDescent="0.25">
      <c r="A5324" t="s">
        <v>4046</v>
      </c>
      <c r="B5324" t="s">
        <v>15</v>
      </c>
      <c r="C5324" t="s">
        <v>27</v>
      </c>
      <c r="D5324" t="s">
        <v>17</v>
      </c>
      <c r="E5324" t="s">
        <v>18</v>
      </c>
      <c r="F5324" t="s">
        <v>19</v>
      </c>
      <c r="G5324" t="s">
        <v>20</v>
      </c>
      <c r="J5324" t="s">
        <v>17</v>
      </c>
      <c r="K5324" t="str">
        <f>"2019030400191"</f>
        <v>2019030400191</v>
      </c>
      <c r="L5324" t="str">
        <f>"187514277"</f>
        <v>187514277</v>
      </c>
      <c r="M5324" t="s">
        <v>21</v>
      </c>
      <c r="N5324" s="1">
        <v>43603.663888888892</v>
      </c>
      <c r="O5324" t="s">
        <v>19</v>
      </c>
    </row>
    <row r="5325" spans="1:15" x14ac:dyDescent="0.25">
      <c r="A5325" t="s">
        <v>4046</v>
      </c>
      <c r="B5325" t="s">
        <v>15</v>
      </c>
      <c r="C5325" t="s">
        <v>27</v>
      </c>
      <c r="D5325" t="s">
        <v>17</v>
      </c>
      <c r="E5325" t="s">
        <v>18</v>
      </c>
      <c r="F5325" t="s">
        <v>19</v>
      </c>
      <c r="G5325" t="s">
        <v>20</v>
      </c>
      <c r="J5325" t="s">
        <v>17</v>
      </c>
      <c r="K5325" t="str">
        <f>"2019030678828"</f>
        <v>2019030678828</v>
      </c>
      <c r="L5325" t="str">
        <f>"186414277"</f>
        <v>186414277</v>
      </c>
      <c r="M5325" t="s">
        <v>21</v>
      </c>
      <c r="N5325" s="1">
        <v>43603.677083333336</v>
      </c>
      <c r="O5325" t="s">
        <v>19</v>
      </c>
    </row>
    <row r="5326" spans="1:15" x14ac:dyDescent="0.25">
      <c r="A5326" t="s">
        <v>4046</v>
      </c>
      <c r="B5326" t="s">
        <v>15</v>
      </c>
      <c r="C5326" t="s">
        <v>27</v>
      </c>
      <c r="D5326" t="s">
        <v>17</v>
      </c>
      <c r="E5326" t="s">
        <v>18</v>
      </c>
      <c r="F5326" t="s">
        <v>19</v>
      </c>
      <c r="G5326" t="s">
        <v>20</v>
      </c>
      <c r="J5326" t="s">
        <v>17</v>
      </c>
      <c r="K5326" t="str">
        <f>"685114277"</f>
        <v>685114277</v>
      </c>
      <c r="L5326" t="str">
        <f>"685114277"</f>
        <v>685114277</v>
      </c>
      <c r="M5326" t="s">
        <v>21</v>
      </c>
      <c r="N5326" s="1">
        <v>43798.82708333333</v>
      </c>
      <c r="O5326" t="s">
        <v>19</v>
      </c>
    </row>
    <row r="5327" spans="1:15" x14ac:dyDescent="0.25">
      <c r="A5327" t="s">
        <v>4046</v>
      </c>
      <c r="B5327" t="s">
        <v>15</v>
      </c>
      <c r="C5327" t="s">
        <v>27</v>
      </c>
      <c r="D5327" t="s">
        <v>17</v>
      </c>
      <c r="E5327" t="s">
        <v>18</v>
      </c>
      <c r="F5327" t="s">
        <v>19</v>
      </c>
      <c r="G5327" t="s">
        <v>20</v>
      </c>
      <c r="J5327" t="s">
        <v>17</v>
      </c>
      <c r="K5327" t="str">
        <f>"765114277"</f>
        <v>765114277</v>
      </c>
      <c r="L5327" t="str">
        <f>"765114277"</f>
        <v>765114277</v>
      </c>
      <c r="M5327" t="s">
        <v>21</v>
      </c>
      <c r="N5327" s="1">
        <v>43864.587500000001</v>
      </c>
      <c r="O5327" t="s">
        <v>19</v>
      </c>
    </row>
    <row r="5328" spans="1:15" x14ac:dyDescent="0.25">
      <c r="A5328" t="s">
        <v>4047</v>
      </c>
      <c r="B5328" t="s">
        <v>15</v>
      </c>
      <c r="C5328" t="s">
        <v>27</v>
      </c>
      <c r="D5328" t="s">
        <v>17</v>
      </c>
      <c r="E5328" t="s">
        <v>18</v>
      </c>
      <c r="F5328" t="s">
        <v>19</v>
      </c>
      <c r="G5328" t="s">
        <v>20</v>
      </c>
      <c r="J5328" t="s">
        <v>17</v>
      </c>
      <c r="K5328" t="str">
        <f>"1000001025735"</f>
        <v>1000001025735</v>
      </c>
      <c r="L5328" t="str">
        <f>"765614290"</f>
        <v>765614290</v>
      </c>
      <c r="M5328" t="s">
        <v>21</v>
      </c>
      <c r="N5328" s="1">
        <v>42872.839583333334</v>
      </c>
      <c r="O5328" t="s">
        <v>19</v>
      </c>
    </row>
    <row r="5329" spans="1:15" x14ac:dyDescent="0.25">
      <c r="A5329" t="s">
        <v>4047</v>
      </c>
      <c r="B5329" t="s">
        <v>15</v>
      </c>
      <c r="C5329" t="s">
        <v>27</v>
      </c>
      <c r="D5329" t="s">
        <v>17</v>
      </c>
      <c r="E5329" t="s">
        <v>18</v>
      </c>
      <c r="F5329" t="s">
        <v>19</v>
      </c>
      <c r="G5329" t="s">
        <v>20</v>
      </c>
      <c r="J5329" t="s">
        <v>17</v>
      </c>
      <c r="K5329" t="str">
        <f>"765114290"</f>
        <v>765114290</v>
      </c>
      <c r="L5329" t="str">
        <f>"765114290"</f>
        <v>765114290</v>
      </c>
      <c r="M5329" t="s">
        <v>21</v>
      </c>
      <c r="N5329" s="1">
        <v>42872.839583333334</v>
      </c>
      <c r="O5329" t="s">
        <v>19</v>
      </c>
    </row>
    <row r="5330" spans="1:15" x14ac:dyDescent="0.25">
      <c r="A5330" t="s">
        <v>4047</v>
      </c>
      <c r="B5330" t="s">
        <v>15</v>
      </c>
      <c r="C5330" t="s">
        <v>27</v>
      </c>
      <c r="D5330" t="s">
        <v>17</v>
      </c>
      <c r="E5330" t="s">
        <v>18</v>
      </c>
      <c r="F5330" t="s">
        <v>19</v>
      </c>
      <c r="G5330" t="s">
        <v>20</v>
      </c>
      <c r="J5330" t="s">
        <v>17</v>
      </c>
      <c r="K5330" t="str">
        <f>"340514116"</f>
        <v>340514116</v>
      </c>
      <c r="L5330" t="str">
        <f>"340514116"</f>
        <v>340514116</v>
      </c>
      <c r="M5330" t="s">
        <v>75</v>
      </c>
      <c r="N5330" s="1">
        <v>42872.849305555559</v>
      </c>
      <c r="O5330" t="s">
        <v>19</v>
      </c>
    </row>
    <row r="5331" spans="1:15" x14ac:dyDescent="0.25">
      <c r="A5331" t="s">
        <v>4047</v>
      </c>
      <c r="B5331" t="s">
        <v>15</v>
      </c>
      <c r="C5331" t="s">
        <v>27</v>
      </c>
      <c r="D5331" t="s">
        <v>17</v>
      </c>
      <c r="E5331" t="s">
        <v>18</v>
      </c>
      <c r="F5331" t="s">
        <v>19</v>
      </c>
      <c r="G5331" t="s">
        <v>20</v>
      </c>
      <c r="J5331" t="s">
        <v>17</v>
      </c>
      <c r="K5331" t="str">
        <f>"764814290"</f>
        <v>764814290</v>
      </c>
      <c r="L5331" t="str">
        <f>"764814290"</f>
        <v>764814290</v>
      </c>
      <c r="M5331" t="s">
        <v>21</v>
      </c>
      <c r="N5331" s="1">
        <v>44251.861805555556</v>
      </c>
      <c r="O5331" t="s">
        <v>19</v>
      </c>
    </row>
    <row r="5332" spans="1:15" x14ac:dyDescent="0.25">
      <c r="A5332" t="s">
        <v>4048</v>
      </c>
      <c r="B5332" t="s">
        <v>15</v>
      </c>
      <c r="C5332" t="s">
        <v>27</v>
      </c>
      <c r="D5332" t="s">
        <v>17</v>
      </c>
      <c r="E5332" t="s">
        <v>18</v>
      </c>
      <c r="F5332" t="s">
        <v>19</v>
      </c>
      <c r="G5332" t="s">
        <v>20</v>
      </c>
      <c r="J5332" t="s">
        <v>18</v>
      </c>
      <c r="K5332" t="str">
        <f>"765114308"</f>
        <v>765114308</v>
      </c>
      <c r="L5332" t="str">
        <f>"765114308"</f>
        <v>765114308</v>
      </c>
      <c r="M5332" t="s">
        <v>21</v>
      </c>
      <c r="N5332" s="1">
        <v>44355.827777777777</v>
      </c>
      <c r="O5332" t="s">
        <v>19</v>
      </c>
    </row>
    <row r="5333" spans="1:15" x14ac:dyDescent="0.25">
      <c r="A5333" t="s">
        <v>4049</v>
      </c>
      <c r="B5333" t="s">
        <v>15</v>
      </c>
      <c r="C5333" t="s">
        <v>27</v>
      </c>
      <c r="D5333" t="s">
        <v>17</v>
      </c>
      <c r="E5333" t="s">
        <v>18</v>
      </c>
      <c r="F5333" t="s">
        <v>19</v>
      </c>
      <c r="G5333" t="s">
        <v>20</v>
      </c>
      <c r="J5333" t="s">
        <v>17</v>
      </c>
      <c r="K5333" t="str">
        <f>"174814168"</f>
        <v>174814168</v>
      </c>
      <c r="L5333" t="str">
        <f>"174814168"</f>
        <v>174814168</v>
      </c>
      <c r="M5333" t="s">
        <v>75</v>
      </c>
      <c r="N5333" s="1">
        <v>42872.849305555559</v>
      </c>
      <c r="O5333" t="s">
        <v>19</v>
      </c>
    </row>
    <row r="5334" spans="1:15" x14ac:dyDescent="0.25">
      <c r="A5334" t="s">
        <v>4049</v>
      </c>
      <c r="B5334" t="s">
        <v>15</v>
      </c>
      <c r="C5334" t="s">
        <v>27</v>
      </c>
      <c r="D5334" t="s">
        <v>17</v>
      </c>
      <c r="E5334" t="s">
        <v>18</v>
      </c>
      <c r="F5334" t="s">
        <v>19</v>
      </c>
      <c r="G5334" t="s">
        <v>20</v>
      </c>
      <c r="J5334" t="s">
        <v>17</v>
      </c>
      <c r="K5334" t="str">
        <f>"765114168"</f>
        <v>765114168</v>
      </c>
      <c r="L5334" t="str">
        <f>"765114168"</f>
        <v>765114168</v>
      </c>
      <c r="M5334" t="s">
        <v>75</v>
      </c>
      <c r="N5334" s="1">
        <v>43218.895138888889</v>
      </c>
      <c r="O5334" t="s">
        <v>19</v>
      </c>
    </row>
    <row r="5335" spans="1:15" x14ac:dyDescent="0.25">
      <c r="A5335" t="s">
        <v>4049</v>
      </c>
      <c r="B5335" t="s">
        <v>15</v>
      </c>
      <c r="C5335" t="s">
        <v>27</v>
      </c>
      <c r="D5335" t="s">
        <v>17</v>
      </c>
      <c r="E5335" t="s">
        <v>18</v>
      </c>
      <c r="F5335" t="s">
        <v>19</v>
      </c>
      <c r="G5335" t="s">
        <v>20</v>
      </c>
      <c r="J5335" t="s">
        <v>17</v>
      </c>
      <c r="K5335" t="str">
        <f>"764814168"</f>
        <v>764814168</v>
      </c>
      <c r="L5335" t="str">
        <f>"764814168"</f>
        <v>764814168</v>
      </c>
      <c r="M5335" t="s">
        <v>84</v>
      </c>
      <c r="N5335" s="1">
        <v>43266.727083333331</v>
      </c>
      <c r="O5335" t="s">
        <v>19</v>
      </c>
    </row>
    <row r="5336" spans="1:15" x14ac:dyDescent="0.25">
      <c r="A5336" t="s">
        <v>4049</v>
      </c>
      <c r="B5336" t="s">
        <v>15</v>
      </c>
      <c r="C5336" t="s">
        <v>27</v>
      </c>
      <c r="D5336" t="s">
        <v>17</v>
      </c>
      <c r="E5336" t="s">
        <v>18</v>
      </c>
      <c r="F5336" t="s">
        <v>19</v>
      </c>
      <c r="G5336" t="s">
        <v>20</v>
      </c>
      <c r="J5336" t="s">
        <v>17</v>
      </c>
      <c r="K5336" t="str">
        <f>"345114168"</f>
        <v>345114168</v>
      </c>
      <c r="L5336" t="str">
        <f>"345114168"</f>
        <v>345114168</v>
      </c>
      <c r="M5336" t="s">
        <v>84</v>
      </c>
      <c r="N5336" s="1">
        <v>43409.911805555559</v>
      </c>
      <c r="O5336" t="s">
        <v>19</v>
      </c>
    </row>
    <row r="5337" spans="1:15" x14ac:dyDescent="0.25">
      <c r="A5337" t="s">
        <v>4050</v>
      </c>
      <c r="B5337" t="s">
        <v>15</v>
      </c>
      <c r="C5337" t="s">
        <v>27</v>
      </c>
      <c r="D5337" t="s">
        <v>17</v>
      </c>
      <c r="E5337" t="s">
        <v>18</v>
      </c>
      <c r="F5337" t="s">
        <v>19</v>
      </c>
      <c r="G5337" t="s">
        <v>20</v>
      </c>
      <c r="J5337" t="s">
        <v>17</v>
      </c>
      <c r="K5337" t="str">
        <f>"765114139"</f>
        <v>765114139</v>
      </c>
      <c r="L5337" t="str">
        <f>"765114139"</f>
        <v>765114139</v>
      </c>
      <c r="M5337" t="s">
        <v>84</v>
      </c>
      <c r="N5337" s="1">
        <v>43266.724305555559</v>
      </c>
      <c r="O5337" t="s">
        <v>19</v>
      </c>
    </row>
    <row r="5338" spans="1:15" x14ac:dyDescent="0.25">
      <c r="A5338" t="s">
        <v>4050</v>
      </c>
      <c r="B5338" t="s">
        <v>15</v>
      </c>
      <c r="C5338" t="s">
        <v>27</v>
      </c>
      <c r="D5338" t="s">
        <v>17</v>
      </c>
      <c r="E5338" t="s">
        <v>18</v>
      </c>
      <c r="F5338" t="s">
        <v>19</v>
      </c>
      <c r="G5338" t="s">
        <v>20</v>
      </c>
      <c r="J5338" t="s">
        <v>17</v>
      </c>
      <c r="K5338" t="str">
        <f>"345114139"</f>
        <v>345114139</v>
      </c>
      <c r="L5338" t="str">
        <f>"345114139"</f>
        <v>345114139</v>
      </c>
      <c r="M5338" t="s">
        <v>84</v>
      </c>
      <c r="N5338" s="1">
        <v>43409.913194444445</v>
      </c>
      <c r="O5338" t="s">
        <v>19</v>
      </c>
    </row>
    <row r="5339" spans="1:15" x14ac:dyDescent="0.25">
      <c r="A5339" t="s">
        <v>4051</v>
      </c>
      <c r="B5339" t="s">
        <v>15</v>
      </c>
      <c r="C5339" t="s">
        <v>27</v>
      </c>
      <c r="D5339" t="s">
        <v>17</v>
      </c>
      <c r="E5339" t="s">
        <v>18</v>
      </c>
      <c r="F5339" t="s">
        <v>19</v>
      </c>
      <c r="G5339" t="s">
        <v>20</v>
      </c>
      <c r="J5339" t="s">
        <v>17</v>
      </c>
      <c r="K5339" t="str">
        <f>"1000001099705"</f>
        <v>1000001099705</v>
      </c>
      <c r="L5339" t="str">
        <f>"765114210"</f>
        <v>765114210</v>
      </c>
      <c r="M5339" t="s">
        <v>84</v>
      </c>
      <c r="N5339" s="1">
        <v>43465.63958333333</v>
      </c>
      <c r="O5339" t="s">
        <v>19</v>
      </c>
    </row>
    <row r="5340" spans="1:15" x14ac:dyDescent="0.25">
      <c r="A5340" t="s">
        <v>4052</v>
      </c>
      <c r="B5340" t="s">
        <v>15</v>
      </c>
      <c r="C5340" t="s">
        <v>27</v>
      </c>
      <c r="D5340" t="s">
        <v>17</v>
      </c>
      <c r="E5340" t="s">
        <v>18</v>
      </c>
      <c r="F5340" t="s">
        <v>19</v>
      </c>
      <c r="G5340" t="s">
        <v>20</v>
      </c>
      <c r="J5340" t="s">
        <v>17</v>
      </c>
      <c r="K5340" t="str">
        <f>"17481413"</f>
        <v>17481413</v>
      </c>
      <c r="L5340" t="str">
        <f>"17481413"</f>
        <v>17481413</v>
      </c>
      <c r="M5340" t="s">
        <v>75</v>
      </c>
      <c r="N5340" s="1">
        <v>42872.839583333334</v>
      </c>
      <c r="O5340" t="s">
        <v>19</v>
      </c>
    </row>
    <row r="5341" spans="1:15" x14ac:dyDescent="0.25">
      <c r="A5341" t="s">
        <v>4052</v>
      </c>
      <c r="B5341" t="s">
        <v>15</v>
      </c>
      <c r="C5341" t="s">
        <v>27</v>
      </c>
      <c r="D5341" t="s">
        <v>17</v>
      </c>
      <c r="E5341" t="s">
        <v>18</v>
      </c>
      <c r="F5341" t="s">
        <v>19</v>
      </c>
      <c r="G5341" t="s">
        <v>20</v>
      </c>
      <c r="J5341" t="s">
        <v>17</v>
      </c>
      <c r="K5341" t="str">
        <f>"34481413"</f>
        <v>34481413</v>
      </c>
      <c r="L5341" t="str">
        <f>"34481413"</f>
        <v>34481413</v>
      </c>
      <c r="M5341" t="s">
        <v>75</v>
      </c>
      <c r="N5341" s="1">
        <v>42872.839583333334</v>
      </c>
      <c r="O5341" t="s">
        <v>19</v>
      </c>
    </row>
    <row r="5342" spans="1:15" x14ac:dyDescent="0.25">
      <c r="A5342" t="s">
        <v>4052</v>
      </c>
      <c r="B5342" t="s">
        <v>15</v>
      </c>
      <c r="C5342" t="s">
        <v>27</v>
      </c>
      <c r="D5342" t="s">
        <v>17</v>
      </c>
      <c r="E5342" t="s">
        <v>18</v>
      </c>
      <c r="F5342" t="s">
        <v>19</v>
      </c>
      <c r="G5342" t="s">
        <v>20</v>
      </c>
      <c r="J5342" t="s">
        <v>17</v>
      </c>
      <c r="K5342" t="str">
        <f>"76471413"</f>
        <v>76471413</v>
      </c>
      <c r="L5342" t="str">
        <f>"76471413"</f>
        <v>76471413</v>
      </c>
      <c r="M5342" t="s">
        <v>75</v>
      </c>
      <c r="N5342" s="1">
        <v>42872.847222222219</v>
      </c>
      <c r="O5342" t="s">
        <v>19</v>
      </c>
    </row>
    <row r="5343" spans="1:15" x14ac:dyDescent="0.25">
      <c r="A5343" t="s">
        <v>4052</v>
      </c>
      <c r="B5343" t="s">
        <v>15</v>
      </c>
      <c r="C5343" t="s">
        <v>27</v>
      </c>
      <c r="D5343" t="s">
        <v>17</v>
      </c>
      <c r="E5343" t="s">
        <v>18</v>
      </c>
      <c r="F5343" t="s">
        <v>19</v>
      </c>
      <c r="G5343" t="s">
        <v>20</v>
      </c>
      <c r="J5343" t="s">
        <v>17</v>
      </c>
      <c r="K5343" t="str">
        <f>"76481413"</f>
        <v>76481413</v>
      </c>
      <c r="L5343" t="str">
        <f>"76481413"</f>
        <v>76481413</v>
      </c>
      <c r="M5343" t="s">
        <v>75</v>
      </c>
      <c r="N5343" s="1">
        <v>42872.847222222219</v>
      </c>
      <c r="O5343" t="s">
        <v>19</v>
      </c>
    </row>
    <row r="5344" spans="1:15" x14ac:dyDescent="0.25">
      <c r="A5344" t="s">
        <v>4052</v>
      </c>
      <c r="B5344" t="s">
        <v>15</v>
      </c>
      <c r="C5344" t="s">
        <v>27</v>
      </c>
      <c r="D5344" t="s">
        <v>17</v>
      </c>
      <c r="E5344" t="s">
        <v>18</v>
      </c>
      <c r="F5344" t="s">
        <v>19</v>
      </c>
      <c r="G5344" t="s">
        <v>20</v>
      </c>
      <c r="J5344" t="s">
        <v>17</v>
      </c>
      <c r="K5344" t="str">
        <f>"76581413"</f>
        <v>76581413</v>
      </c>
      <c r="L5344" t="str">
        <f>"76581413"</f>
        <v>76581413</v>
      </c>
      <c r="M5344" t="s">
        <v>75</v>
      </c>
      <c r="N5344" s="1">
        <v>42872.847222222219</v>
      </c>
      <c r="O5344" t="s">
        <v>19</v>
      </c>
    </row>
    <row r="5345" spans="1:15" x14ac:dyDescent="0.25">
      <c r="A5345" t="s">
        <v>4053</v>
      </c>
      <c r="B5345" t="s">
        <v>15</v>
      </c>
      <c r="C5345" t="s">
        <v>27</v>
      </c>
      <c r="D5345" t="s">
        <v>17</v>
      </c>
      <c r="E5345" t="s">
        <v>18</v>
      </c>
      <c r="F5345" t="s">
        <v>19</v>
      </c>
      <c r="G5345" t="s">
        <v>20</v>
      </c>
      <c r="J5345" t="s">
        <v>17</v>
      </c>
      <c r="K5345" t="str">
        <f>"17481431"</f>
        <v>17481431</v>
      </c>
      <c r="L5345" t="str">
        <f>"17481431"</f>
        <v>17481431</v>
      </c>
      <c r="M5345" t="s">
        <v>75</v>
      </c>
      <c r="N5345" s="1">
        <v>42872.839583333334</v>
      </c>
      <c r="O5345" t="s">
        <v>19</v>
      </c>
    </row>
    <row r="5346" spans="1:15" x14ac:dyDescent="0.25">
      <c r="A5346" t="s">
        <v>4054</v>
      </c>
      <c r="B5346" t="s">
        <v>15</v>
      </c>
      <c r="C5346" t="s">
        <v>27</v>
      </c>
      <c r="D5346" t="s">
        <v>17</v>
      </c>
      <c r="E5346" t="s">
        <v>18</v>
      </c>
      <c r="F5346" t="s">
        <v>19</v>
      </c>
      <c r="G5346" t="s">
        <v>20</v>
      </c>
      <c r="J5346" t="s">
        <v>17</v>
      </c>
      <c r="K5346" t="str">
        <f>"17481425"</f>
        <v>17481425</v>
      </c>
      <c r="L5346" t="str">
        <f>"17481425"</f>
        <v>17481425</v>
      </c>
      <c r="M5346" t="s">
        <v>75</v>
      </c>
      <c r="N5346" s="1">
        <v>42872.839583333334</v>
      </c>
      <c r="O5346" t="s">
        <v>19</v>
      </c>
    </row>
    <row r="5347" spans="1:15" x14ac:dyDescent="0.25">
      <c r="A5347" t="s">
        <v>4054</v>
      </c>
      <c r="B5347" t="s">
        <v>15</v>
      </c>
      <c r="C5347" t="s">
        <v>27</v>
      </c>
      <c r="D5347" t="s">
        <v>17</v>
      </c>
      <c r="E5347" t="s">
        <v>18</v>
      </c>
      <c r="F5347" t="s">
        <v>19</v>
      </c>
      <c r="G5347" t="s">
        <v>20</v>
      </c>
      <c r="J5347" t="s">
        <v>17</v>
      </c>
      <c r="K5347" t="str">
        <f>"17481455"</f>
        <v>17481455</v>
      </c>
      <c r="L5347" t="str">
        <f>"17481455"</f>
        <v>17481455</v>
      </c>
      <c r="M5347" t="s">
        <v>75</v>
      </c>
      <c r="N5347" s="1">
        <v>42872.839583333334</v>
      </c>
      <c r="O5347" t="s">
        <v>19</v>
      </c>
    </row>
    <row r="5348" spans="1:15" x14ac:dyDescent="0.25">
      <c r="A5348" t="s">
        <v>4054</v>
      </c>
      <c r="B5348" t="s">
        <v>15</v>
      </c>
      <c r="C5348" t="s">
        <v>27</v>
      </c>
      <c r="D5348" t="s">
        <v>17</v>
      </c>
      <c r="E5348" t="s">
        <v>18</v>
      </c>
      <c r="F5348" t="s">
        <v>19</v>
      </c>
      <c r="G5348" t="s">
        <v>20</v>
      </c>
      <c r="J5348" t="s">
        <v>17</v>
      </c>
      <c r="K5348" t="str">
        <f>"34481425"</f>
        <v>34481425</v>
      </c>
      <c r="L5348" t="str">
        <f>"34481425"</f>
        <v>34481425</v>
      </c>
      <c r="M5348" t="s">
        <v>75</v>
      </c>
      <c r="N5348" s="1">
        <v>42872.839583333334</v>
      </c>
      <c r="O5348" t="s">
        <v>19</v>
      </c>
    </row>
    <row r="5349" spans="1:15" x14ac:dyDescent="0.25">
      <c r="A5349" t="s">
        <v>4054</v>
      </c>
      <c r="B5349" t="s">
        <v>15</v>
      </c>
      <c r="C5349" t="s">
        <v>27</v>
      </c>
      <c r="D5349" t="s">
        <v>17</v>
      </c>
      <c r="E5349" t="s">
        <v>18</v>
      </c>
      <c r="F5349" t="s">
        <v>19</v>
      </c>
      <c r="G5349" t="s">
        <v>20</v>
      </c>
      <c r="J5349" t="s">
        <v>17</v>
      </c>
      <c r="K5349" t="str">
        <f>"76471455"</f>
        <v>76471455</v>
      </c>
      <c r="L5349" t="str">
        <f>"76471455"</f>
        <v>76471455</v>
      </c>
      <c r="M5349" t="s">
        <v>75</v>
      </c>
      <c r="N5349" s="1">
        <v>42872.847222222219</v>
      </c>
      <c r="O5349" t="s">
        <v>19</v>
      </c>
    </row>
    <row r="5350" spans="1:15" x14ac:dyDescent="0.25">
      <c r="A5350" t="s">
        <v>4054</v>
      </c>
      <c r="B5350" t="s">
        <v>15</v>
      </c>
      <c r="C5350" t="s">
        <v>27</v>
      </c>
      <c r="D5350" t="s">
        <v>17</v>
      </c>
      <c r="E5350" t="s">
        <v>18</v>
      </c>
      <c r="F5350" t="s">
        <v>19</v>
      </c>
      <c r="G5350" t="s">
        <v>20</v>
      </c>
      <c r="J5350" t="s">
        <v>17</v>
      </c>
      <c r="K5350" t="str">
        <f>"76751425"</f>
        <v>76751425</v>
      </c>
      <c r="L5350" t="str">
        <f>"76751425"</f>
        <v>76751425</v>
      </c>
      <c r="M5350" t="s">
        <v>75</v>
      </c>
      <c r="N5350" s="1">
        <v>42872.847222222219</v>
      </c>
      <c r="O5350" t="s">
        <v>19</v>
      </c>
    </row>
    <row r="5351" spans="1:15" x14ac:dyDescent="0.25">
      <c r="A5351" t="s">
        <v>4055</v>
      </c>
      <c r="B5351" t="s">
        <v>15</v>
      </c>
      <c r="C5351" t="s">
        <v>27</v>
      </c>
      <c r="D5351" t="s">
        <v>17</v>
      </c>
      <c r="E5351" t="s">
        <v>18</v>
      </c>
      <c r="F5351" t="s">
        <v>19</v>
      </c>
      <c r="G5351" t="s">
        <v>20</v>
      </c>
      <c r="J5351" t="s">
        <v>17</v>
      </c>
      <c r="K5351" t="str">
        <f>"76481425"</f>
        <v>76481425</v>
      </c>
      <c r="L5351" t="str">
        <f>"76481425"</f>
        <v>76481425</v>
      </c>
      <c r="M5351" t="s">
        <v>75</v>
      </c>
      <c r="N5351" s="1">
        <v>42872.847222222219</v>
      </c>
      <c r="O5351" t="s">
        <v>19</v>
      </c>
    </row>
    <row r="5352" spans="1:15" x14ac:dyDescent="0.25">
      <c r="A5352" t="s">
        <v>4056</v>
      </c>
      <c r="B5352" t="s">
        <v>15</v>
      </c>
      <c r="C5352" t="s">
        <v>27</v>
      </c>
      <c r="D5352" t="s">
        <v>17</v>
      </c>
      <c r="E5352" t="s">
        <v>18</v>
      </c>
      <c r="F5352" t="s">
        <v>19</v>
      </c>
      <c r="G5352" t="s">
        <v>20</v>
      </c>
      <c r="J5352" t="s">
        <v>17</v>
      </c>
      <c r="K5352" t="str">
        <f>"76481428"</f>
        <v>76481428</v>
      </c>
      <c r="L5352" t="str">
        <f>"76481428"</f>
        <v>76481428</v>
      </c>
      <c r="M5352" t="s">
        <v>75</v>
      </c>
      <c r="N5352" s="1">
        <v>42872.847222222219</v>
      </c>
      <c r="O5352" t="s">
        <v>19</v>
      </c>
    </row>
    <row r="5353" spans="1:15" x14ac:dyDescent="0.25">
      <c r="A5353" t="s">
        <v>4056</v>
      </c>
      <c r="B5353" t="s">
        <v>15</v>
      </c>
      <c r="C5353" t="s">
        <v>27</v>
      </c>
      <c r="D5353" t="s">
        <v>17</v>
      </c>
      <c r="E5353" t="s">
        <v>18</v>
      </c>
      <c r="F5353" t="s">
        <v>19</v>
      </c>
      <c r="G5353" t="s">
        <v>20</v>
      </c>
      <c r="J5353" t="s">
        <v>17</v>
      </c>
      <c r="K5353" t="str">
        <f>"76481460"</f>
        <v>76481460</v>
      </c>
      <c r="L5353" t="str">
        <f>"76481460"</f>
        <v>76481460</v>
      </c>
      <c r="M5353" t="s">
        <v>75</v>
      </c>
      <c r="N5353" s="1">
        <v>42872.847222222219</v>
      </c>
      <c r="O5353" t="s">
        <v>19</v>
      </c>
    </row>
    <row r="5354" spans="1:15" x14ac:dyDescent="0.25">
      <c r="A5354" t="s">
        <v>4057</v>
      </c>
      <c r="B5354" t="s">
        <v>15</v>
      </c>
      <c r="C5354" t="s">
        <v>27</v>
      </c>
      <c r="D5354" t="s">
        <v>17</v>
      </c>
      <c r="E5354" t="s">
        <v>18</v>
      </c>
      <c r="F5354" t="s">
        <v>19</v>
      </c>
      <c r="G5354" t="s">
        <v>20</v>
      </c>
      <c r="J5354" t="s">
        <v>17</v>
      </c>
      <c r="K5354" t="str">
        <f>"76481427"</f>
        <v>76481427</v>
      </c>
      <c r="L5354" t="str">
        <f>"76481427"</f>
        <v>76481427</v>
      </c>
      <c r="M5354" t="s">
        <v>75</v>
      </c>
      <c r="N5354" s="1">
        <v>42872.847222222219</v>
      </c>
      <c r="O5354" t="s">
        <v>19</v>
      </c>
    </row>
    <row r="5355" spans="1:15" x14ac:dyDescent="0.25">
      <c r="A5355" t="s">
        <v>4057</v>
      </c>
      <c r="B5355" t="s">
        <v>15</v>
      </c>
      <c r="C5355" t="s">
        <v>27</v>
      </c>
      <c r="D5355" t="s">
        <v>17</v>
      </c>
      <c r="E5355" t="s">
        <v>18</v>
      </c>
      <c r="F5355" t="s">
        <v>19</v>
      </c>
      <c r="G5355" t="s">
        <v>20</v>
      </c>
      <c r="J5355" t="s">
        <v>17</v>
      </c>
      <c r="K5355" t="str">
        <f>"76581427"</f>
        <v>76581427</v>
      </c>
      <c r="L5355" t="str">
        <f>"76581427"</f>
        <v>76581427</v>
      </c>
      <c r="M5355" t="s">
        <v>75</v>
      </c>
      <c r="N5355" s="1">
        <v>42872.847222222219</v>
      </c>
      <c r="O5355" t="s">
        <v>19</v>
      </c>
    </row>
    <row r="5356" spans="1:15" x14ac:dyDescent="0.25">
      <c r="A5356" t="s">
        <v>4057</v>
      </c>
      <c r="B5356" t="s">
        <v>15</v>
      </c>
      <c r="C5356" t="s">
        <v>27</v>
      </c>
      <c r="D5356" t="s">
        <v>17</v>
      </c>
      <c r="E5356" t="s">
        <v>18</v>
      </c>
      <c r="F5356" t="s">
        <v>19</v>
      </c>
      <c r="G5356" t="s">
        <v>20</v>
      </c>
      <c r="J5356" t="s">
        <v>17</v>
      </c>
      <c r="K5356" t="str">
        <f>"110174814"</f>
        <v>110174814</v>
      </c>
      <c r="L5356" t="str">
        <f>"110174814"</f>
        <v>110174814</v>
      </c>
      <c r="M5356" t="s">
        <v>75</v>
      </c>
      <c r="N5356" s="1">
        <v>42872.847222222219</v>
      </c>
      <c r="O5356" t="s">
        <v>19</v>
      </c>
    </row>
    <row r="5357" spans="1:15" x14ac:dyDescent="0.25">
      <c r="A5357" t="s">
        <v>4057</v>
      </c>
      <c r="B5357" t="s">
        <v>15</v>
      </c>
      <c r="C5357" t="s">
        <v>27</v>
      </c>
      <c r="D5357" t="s">
        <v>17</v>
      </c>
      <c r="E5357" t="s">
        <v>18</v>
      </c>
      <c r="F5357" t="s">
        <v>19</v>
      </c>
      <c r="G5357" t="s">
        <v>20</v>
      </c>
      <c r="J5357" t="s">
        <v>17</v>
      </c>
      <c r="K5357" t="str">
        <f>"764801427"</f>
        <v>764801427</v>
      </c>
      <c r="L5357" t="str">
        <f>"764801427"</f>
        <v>764801427</v>
      </c>
      <c r="M5357" t="s">
        <v>75</v>
      </c>
      <c r="N5357" s="1">
        <v>42872.849305555559</v>
      </c>
      <c r="O5357" t="s">
        <v>19</v>
      </c>
    </row>
    <row r="5358" spans="1:15" x14ac:dyDescent="0.25">
      <c r="A5358" t="s">
        <v>4058</v>
      </c>
      <c r="B5358" t="s">
        <v>15</v>
      </c>
      <c r="C5358" t="s">
        <v>27</v>
      </c>
      <c r="D5358" t="s">
        <v>17</v>
      </c>
      <c r="E5358" t="s">
        <v>18</v>
      </c>
      <c r="F5358" t="s">
        <v>19</v>
      </c>
      <c r="G5358" t="s">
        <v>20</v>
      </c>
      <c r="J5358" t="s">
        <v>17</v>
      </c>
      <c r="K5358" t="str">
        <f>"76481407"</f>
        <v>76481407</v>
      </c>
      <c r="L5358" t="str">
        <f>"76481407"</f>
        <v>76481407</v>
      </c>
      <c r="M5358" t="s">
        <v>75</v>
      </c>
      <c r="N5358" s="1">
        <v>42872.847222222219</v>
      </c>
      <c r="O5358" t="s">
        <v>19</v>
      </c>
    </row>
    <row r="5359" spans="1:15" x14ac:dyDescent="0.25">
      <c r="A5359" t="s">
        <v>4059</v>
      </c>
      <c r="B5359" t="s">
        <v>15</v>
      </c>
      <c r="C5359" t="s">
        <v>27</v>
      </c>
      <c r="D5359" t="s">
        <v>17</v>
      </c>
      <c r="E5359" t="s">
        <v>18</v>
      </c>
      <c r="F5359" t="s">
        <v>19</v>
      </c>
      <c r="G5359" t="s">
        <v>20</v>
      </c>
      <c r="J5359" t="s">
        <v>17</v>
      </c>
      <c r="K5359" t="str">
        <f>"110565658"</f>
        <v>110565658</v>
      </c>
      <c r="L5359" t="str">
        <f>"110565658"</f>
        <v>110565658</v>
      </c>
      <c r="M5359" t="s">
        <v>75</v>
      </c>
      <c r="N5359" s="1">
        <v>42872.847222222219</v>
      </c>
      <c r="O5359" t="s">
        <v>19</v>
      </c>
    </row>
    <row r="5360" spans="1:15" x14ac:dyDescent="0.25">
      <c r="A5360" t="s">
        <v>4060</v>
      </c>
      <c r="B5360" t="s">
        <v>15</v>
      </c>
      <c r="C5360" t="s">
        <v>27</v>
      </c>
      <c r="D5360" t="s">
        <v>17</v>
      </c>
      <c r="E5360" t="s">
        <v>18</v>
      </c>
      <c r="F5360" t="s">
        <v>19</v>
      </c>
      <c r="G5360" t="s">
        <v>20</v>
      </c>
      <c r="J5360" t="s">
        <v>17</v>
      </c>
      <c r="K5360" t="str">
        <f>"76481430"</f>
        <v>76481430</v>
      </c>
      <c r="L5360" t="str">
        <f>"76481430"</f>
        <v>76481430</v>
      </c>
      <c r="M5360" t="s">
        <v>75</v>
      </c>
      <c r="N5360" s="1">
        <v>42872.847222222219</v>
      </c>
      <c r="O5360" t="s">
        <v>19</v>
      </c>
    </row>
    <row r="5361" spans="1:15" x14ac:dyDescent="0.25">
      <c r="A5361" t="s">
        <v>4061</v>
      </c>
      <c r="B5361" t="s">
        <v>15</v>
      </c>
      <c r="C5361" t="s">
        <v>27</v>
      </c>
      <c r="D5361" t="s">
        <v>17</v>
      </c>
      <c r="E5361" t="s">
        <v>18</v>
      </c>
      <c r="F5361" t="s">
        <v>19</v>
      </c>
      <c r="G5361" t="s">
        <v>20</v>
      </c>
      <c r="J5361" t="s">
        <v>17</v>
      </c>
      <c r="K5361" t="str">
        <f>"17480555"</f>
        <v>17480555</v>
      </c>
      <c r="L5361" t="str">
        <f>"17480555"</f>
        <v>17480555</v>
      </c>
      <c r="M5361" t="s">
        <v>75</v>
      </c>
      <c r="N5361" s="1">
        <v>42872.839583333334</v>
      </c>
      <c r="O5361" t="s">
        <v>19</v>
      </c>
    </row>
    <row r="5362" spans="1:15" x14ac:dyDescent="0.25">
      <c r="A5362" t="s">
        <v>4062</v>
      </c>
      <c r="B5362" t="s">
        <v>15</v>
      </c>
      <c r="C5362" t="s">
        <v>27</v>
      </c>
      <c r="D5362" t="s">
        <v>17</v>
      </c>
      <c r="E5362" t="s">
        <v>18</v>
      </c>
      <c r="F5362" t="s">
        <v>19</v>
      </c>
      <c r="G5362" t="s">
        <v>20</v>
      </c>
      <c r="J5362" t="s">
        <v>17</v>
      </c>
      <c r="K5362" t="str">
        <f>"17480560"</f>
        <v>17480560</v>
      </c>
      <c r="L5362" t="str">
        <f>"17480560"</f>
        <v>17480560</v>
      </c>
      <c r="M5362" t="s">
        <v>75</v>
      </c>
      <c r="N5362" s="1">
        <v>42872.839583333334</v>
      </c>
      <c r="O5362" t="s">
        <v>19</v>
      </c>
    </row>
    <row r="5363" spans="1:15" x14ac:dyDescent="0.25">
      <c r="A5363" t="s">
        <v>4062</v>
      </c>
      <c r="B5363" t="s">
        <v>15</v>
      </c>
      <c r="C5363" t="s">
        <v>27</v>
      </c>
      <c r="D5363" t="s">
        <v>17</v>
      </c>
      <c r="E5363" t="s">
        <v>18</v>
      </c>
      <c r="F5363" t="s">
        <v>19</v>
      </c>
      <c r="G5363" t="s">
        <v>20</v>
      </c>
      <c r="J5363" t="s">
        <v>17</v>
      </c>
      <c r="K5363" t="str">
        <f>"17481460"</f>
        <v>17481460</v>
      </c>
      <c r="L5363" t="str">
        <f>"17481460"</f>
        <v>17481460</v>
      </c>
      <c r="M5363" t="s">
        <v>75</v>
      </c>
      <c r="N5363" s="1">
        <v>42872.839583333334</v>
      </c>
      <c r="O5363" t="s">
        <v>19</v>
      </c>
    </row>
    <row r="5364" spans="1:15" x14ac:dyDescent="0.25">
      <c r="A5364" t="s">
        <v>4062</v>
      </c>
      <c r="B5364" t="s">
        <v>15</v>
      </c>
      <c r="C5364" t="s">
        <v>27</v>
      </c>
      <c r="D5364" t="s">
        <v>17</v>
      </c>
      <c r="E5364" t="s">
        <v>18</v>
      </c>
      <c r="F5364" t="s">
        <v>19</v>
      </c>
      <c r="G5364" t="s">
        <v>20</v>
      </c>
      <c r="J5364" t="s">
        <v>17</v>
      </c>
      <c r="K5364" t="str">
        <f>"34481428"</f>
        <v>34481428</v>
      </c>
      <c r="L5364" t="str">
        <f>"34481428"</f>
        <v>34481428</v>
      </c>
      <c r="M5364" t="s">
        <v>75</v>
      </c>
      <c r="N5364" s="1">
        <v>42872.839583333334</v>
      </c>
      <c r="O5364" t="s">
        <v>19</v>
      </c>
    </row>
    <row r="5365" spans="1:15" x14ac:dyDescent="0.25">
      <c r="A5365" t="s">
        <v>4063</v>
      </c>
      <c r="B5365" t="s">
        <v>15</v>
      </c>
      <c r="C5365" t="s">
        <v>27</v>
      </c>
      <c r="D5365" t="s">
        <v>17</v>
      </c>
      <c r="E5365" t="s">
        <v>18</v>
      </c>
      <c r="F5365" t="s">
        <v>19</v>
      </c>
      <c r="G5365" t="s">
        <v>20</v>
      </c>
      <c r="J5365" t="s">
        <v>17</v>
      </c>
      <c r="K5365" t="str">
        <f>"17480530"</f>
        <v>17480530</v>
      </c>
      <c r="L5365" t="str">
        <f>"17480530"</f>
        <v>17480530</v>
      </c>
      <c r="M5365" t="s">
        <v>75</v>
      </c>
      <c r="N5365" s="1">
        <v>42872.839583333334</v>
      </c>
      <c r="O5365" t="s">
        <v>19</v>
      </c>
    </row>
    <row r="5366" spans="1:15" x14ac:dyDescent="0.25">
      <c r="A5366" t="s">
        <v>4063</v>
      </c>
      <c r="B5366" t="s">
        <v>15</v>
      </c>
      <c r="C5366" t="s">
        <v>27</v>
      </c>
      <c r="D5366" t="s">
        <v>17</v>
      </c>
      <c r="E5366" t="s">
        <v>18</v>
      </c>
      <c r="F5366" t="s">
        <v>19</v>
      </c>
      <c r="G5366" t="s">
        <v>20</v>
      </c>
      <c r="J5366" t="s">
        <v>17</v>
      </c>
      <c r="K5366" t="str">
        <f>"17481039"</f>
        <v>17481039</v>
      </c>
      <c r="L5366" t="str">
        <f>"17481039"</f>
        <v>17481039</v>
      </c>
      <c r="M5366" t="s">
        <v>75</v>
      </c>
      <c r="N5366" s="1">
        <v>42872.839583333334</v>
      </c>
      <c r="O5366" t="s">
        <v>19</v>
      </c>
    </row>
    <row r="5367" spans="1:15" x14ac:dyDescent="0.25">
      <c r="A5367" t="s">
        <v>4063</v>
      </c>
      <c r="B5367" t="s">
        <v>15</v>
      </c>
      <c r="C5367" t="s">
        <v>27</v>
      </c>
      <c r="D5367" t="s">
        <v>17</v>
      </c>
      <c r="E5367" t="s">
        <v>18</v>
      </c>
      <c r="F5367" t="s">
        <v>19</v>
      </c>
      <c r="G5367" t="s">
        <v>20</v>
      </c>
      <c r="J5367" t="s">
        <v>17</v>
      </c>
      <c r="K5367" t="str">
        <f>"17571430"</f>
        <v>17571430</v>
      </c>
      <c r="L5367" t="str">
        <f>"17571430"</f>
        <v>17571430</v>
      </c>
      <c r="M5367" t="s">
        <v>75</v>
      </c>
      <c r="N5367" s="1">
        <v>42872.839583333334</v>
      </c>
      <c r="O5367" t="s">
        <v>19</v>
      </c>
    </row>
    <row r="5368" spans="1:15" x14ac:dyDescent="0.25">
      <c r="A5368" t="s">
        <v>4064</v>
      </c>
      <c r="B5368" t="s">
        <v>15</v>
      </c>
      <c r="C5368" t="s">
        <v>27</v>
      </c>
      <c r="D5368" t="s">
        <v>17</v>
      </c>
      <c r="E5368" t="s">
        <v>18</v>
      </c>
      <c r="F5368" t="s">
        <v>19</v>
      </c>
      <c r="G5368" t="s">
        <v>20</v>
      </c>
      <c r="J5368" t="s">
        <v>17</v>
      </c>
      <c r="K5368" t="str">
        <f>"17481439"</f>
        <v>17481439</v>
      </c>
      <c r="L5368" t="str">
        <f>"17481439"</f>
        <v>17481439</v>
      </c>
      <c r="M5368" t="s">
        <v>75</v>
      </c>
      <c r="N5368" s="1">
        <v>42872.839583333334</v>
      </c>
      <c r="O5368" t="s">
        <v>19</v>
      </c>
    </row>
    <row r="5369" spans="1:15" x14ac:dyDescent="0.25">
      <c r="A5369" t="s">
        <v>4065</v>
      </c>
      <c r="B5369" t="s">
        <v>15</v>
      </c>
      <c r="C5369" t="s">
        <v>27</v>
      </c>
      <c r="D5369" t="s">
        <v>17</v>
      </c>
      <c r="E5369" t="s">
        <v>18</v>
      </c>
      <c r="F5369" t="s">
        <v>19</v>
      </c>
      <c r="G5369" t="s">
        <v>20</v>
      </c>
      <c r="J5369" t="s">
        <v>17</v>
      </c>
      <c r="K5369" t="str">
        <f>"17481458"</f>
        <v>17481458</v>
      </c>
      <c r="L5369" t="str">
        <f>"17481458"</f>
        <v>17481458</v>
      </c>
      <c r="M5369" t="s">
        <v>75</v>
      </c>
      <c r="N5369" s="1">
        <v>42872.839583333334</v>
      </c>
      <c r="O5369" t="s">
        <v>19</v>
      </c>
    </row>
    <row r="5370" spans="1:15" x14ac:dyDescent="0.25">
      <c r="A5370" t="s">
        <v>4066</v>
      </c>
      <c r="B5370" t="s">
        <v>15</v>
      </c>
      <c r="C5370" t="s">
        <v>27</v>
      </c>
      <c r="D5370" t="s">
        <v>17</v>
      </c>
      <c r="E5370" t="s">
        <v>18</v>
      </c>
      <c r="F5370" t="s">
        <v>19</v>
      </c>
      <c r="G5370" t="s">
        <v>20</v>
      </c>
      <c r="J5370" t="s">
        <v>17</v>
      </c>
      <c r="K5370" t="str">
        <f>"17471480"</f>
        <v>17471480</v>
      </c>
      <c r="L5370" t="str">
        <f>"17471480"</f>
        <v>17471480</v>
      </c>
      <c r="M5370" t="s">
        <v>75</v>
      </c>
      <c r="N5370" s="1">
        <v>42872.839583333334</v>
      </c>
      <c r="O5370" t="s">
        <v>19</v>
      </c>
    </row>
    <row r="5371" spans="1:15" x14ac:dyDescent="0.25">
      <c r="A5371" t="s">
        <v>4066</v>
      </c>
      <c r="B5371" t="s">
        <v>15</v>
      </c>
      <c r="C5371" t="s">
        <v>27</v>
      </c>
      <c r="D5371" t="s">
        <v>17</v>
      </c>
      <c r="E5371" t="s">
        <v>18</v>
      </c>
      <c r="F5371" t="s">
        <v>19</v>
      </c>
      <c r="G5371" t="s">
        <v>20</v>
      </c>
      <c r="J5371" t="s">
        <v>17</v>
      </c>
      <c r="K5371" t="str">
        <f>"76481980"</f>
        <v>76481980</v>
      </c>
      <c r="L5371" t="str">
        <f>"76481980"</f>
        <v>76481980</v>
      </c>
      <c r="M5371" t="s">
        <v>75</v>
      </c>
      <c r="N5371" s="1">
        <v>42872.847222222219</v>
      </c>
      <c r="O5371" t="s">
        <v>19</v>
      </c>
    </row>
    <row r="5372" spans="1:15" x14ac:dyDescent="0.25">
      <c r="A5372" t="s">
        <v>4067</v>
      </c>
      <c r="B5372" t="s">
        <v>15</v>
      </c>
      <c r="C5372" t="s">
        <v>27</v>
      </c>
      <c r="D5372" t="s">
        <v>17</v>
      </c>
      <c r="E5372" t="s">
        <v>18</v>
      </c>
      <c r="F5372" t="s">
        <v>19</v>
      </c>
      <c r="G5372" t="s">
        <v>20</v>
      </c>
      <c r="J5372" t="s">
        <v>17</v>
      </c>
      <c r="K5372" t="str">
        <f>"34581480"</f>
        <v>34581480</v>
      </c>
      <c r="L5372" t="str">
        <f>"34581480"</f>
        <v>34581480</v>
      </c>
      <c r="M5372" t="s">
        <v>75</v>
      </c>
      <c r="N5372" s="1">
        <v>42872.839583333334</v>
      </c>
      <c r="O5372" t="s">
        <v>19</v>
      </c>
    </row>
    <row r="5373" spans="1:15" x14ac:dyDescent="0.25">
      <c r="A5373" t="s">
        <v>4068</v>
      </c>
      <c r="B5373" t="s">
        <v>15</v>
      </c>
      <c r="C5373" t="s">
        <v>27</v>
      </c>
      <c r="D5373" t="s">
        <v>17</v>
      </c>
      <c r="E5373" t="s">
        <v>18</v>
      </c>
      <c r="F5373" t="s">
        <v>19</v>
      </c>
      <c r="G5373" t="s">
        <v>20</v>
      </c>
      <c r="J5373" t="s">
        <v>17</v>
      </c>
      <c r="K5373" t="str">
        <f>"17481483"</f>
        <v>17481483</v>
      </c>
      <c r="L5373" t="str">
        <f>"17481483"</f>
        <v>17481483</v>
      </c>
      <c r="M5373" t="s">
        <v>75</v>
      </c>
      <c r="N5373" s="1">
        <v>42872.839583333334</v>
      </c>
      <c r="O5373" t="s">
        <v>19</v>
      </c>
    </row>
    <row r="5374" spans="1:15" x14ac:dyDescent="0.25">
      <c r="A5374" t="s">
        <v>4069</v>
      </c>
      <c r="B5374" t="s">
        <v>15</v>
      </c>
      <c r="C5374" t="s">
        <v>27</v>
      </c>
      <c r="D5374" t="s">
        <v>17</v>
      </c>
      <c r="E5374" t="s">
        <v>18</v>
      </c>
      <c r="F5374" t="s">
        <v>19</v>
      </c>
      <c r="G5374" t="s">
        <v>20</v>
      </c>
      <c r="J5374" t="s">
        <v>17</v>
      </c>
      <c r="K5374" t="str">
        <f>"17481480"</f>
        <v>17481480</v>
      </c>
      <c r="L5374" t="str">
        <f>"17481480"</f>
        <v>17481480</v>
      </c>
      <c r="M5374" t="s">
        <v>75</v>
      </c>
      <c r="N5374" s="1">
        <v>42872.839583333334</v>
      </c>
      <c r="O5374" t="s">
        <v>19</v>
      </c>
    </row>
    <row r="5375" spans="1:15" x14ac:dyDescent="0.25">
      <c r="A5375" t="s">
        <v>4069</v>
      </c>
      <c r="B5375" t="s">
        <v>15</v>
      </c>
      <c r="C5375" t="s">
        <v>27</v>
      </c>
      <c r="D5375" t="s">
        <v>17</v>
      </c>
      <c r="E5375" t="s">
        <v>18</v>
      </c>
      <c r="F5375" t="s">
        <v>19</v>
      </c>
      <c r="G5375" t="s">
        <v>20</v>
      </c>
      <c r="J5375" t="s">
        <v>17</v>
      </c>
      <c r="K5375" t="str">
        <f>"34771480"</f>
        <v>34771480</v>
      </c>
      <c r="L5375" t="str">
        <f>"34771480"</f>
        <v>34771480</v>
      </c>
      <c r="M5375" t="s">
        <v>75</v>
      </c>
      <c r="N5375" s="1">
        <v>42872.839583333334</v>
      </c>
      <c r="O5375" t="s">
        <v>19</v>
      </c>
    </row>
    <row r="5376" spans="1:15" x14ac:dyDescent="0.25">
      <c r="A5376" t="s">
        <v>4069</v>
      </c>
      <c r="B5376" t="s">
        <v>15</v>
      </c>
      <c r="C5376" t="s">
        <v>27</v>
      </c>
      <c r="D5376" t="s">
        <v>17</v>
      </c>
      <c r="E5376" t="s">
        <v>18</v>
      </c>
      <c r="F5376" t="s">
        <v>19</v>
      </c>
      <c r="G5376" t="s">
        <v>20</v>
      </c>
      <c r="J5376" t="s">
        <v>17</v>
      </c>
      <c r="K5376" t="str">
        <f>"76471480"</f>
        <v>76471480</v>
      </c>
      <c r="L5376" t="str">
        <f>"76471480"</f>
        <v>76471480</v>
      </c>
      <c r="M5376" t="s">
        <v>75</v>
      </c>
      <c r="N5376" s="1">
        <v>42872.847222222219</v>
      </c>
      <c r="O5376" t="s">
        <v>19</v>
      </c>
    </row>
    <row r="5377" spans="1:15" x14ac:dyDescent="0.25">
      <c r="A5377" t="s">
        <v>4069</v>
      </c>
      <c r="B5377" t="s">
        <v>15</v>
      </c>
      <c r="C5377" t="s">
        <v>27</v>
      </c>
      <c r="D5377" t="s">
        <v>17</v>
      </c>
      <c r="E5377" t="s">
        <v>18</v>
      </c>
      <c r="F5377" t="s">
        <v>19</v>
      </c>
      <c r="G5377" t="s">
        <v>20</v>
      </c>
      <c r="J5377" t="s">
        <v>17</v>
      </c>
      <c r="K5377" t="str">
        <f>"76481480"</f>
        <v>76481480</v>
      </c>
      <c r="L5377" t="str">
        <f>"76481480"</f>
        <v>76481480</v>
      </c>
      <c r="M5377" t="s">
        <v>75</v>
      </c>
      <c r="N5377" s="1">
        <v>42872.847222222219</v>
      </c>
      <c r="O5377" t="s">
        <v>19</v>
      </c>
    </row>
    <row r="5378" spans="1:15" x14ac:dyDescent="0.25">
      <c r="A5378" t="s">
        <v>4069</v>
      </c>
      <c r="B5378" t="s">
        <v>15</v>
      </c>
      <c r="C5378" t="s">
        <v>27</v>
      </c>
      <c r="D5378" t="s">
        <v>17</v>
      </c>
      <c r="E5378" t="s">
        <v>18</v>
      </c>
      <c r="F5378" t="s">
        <v>19</v>
      </c>
      <c r="G5378" t="s">
        <v>20</v>
      </c>
      <c r="J5378" t="s">
        <v>17</v>
      </c>
      <c r="K5378" t="str">
        <f>"76581480"</f>
        <v>76581480</v>
      </c>
      <c r="L5378" t="str">
        <f>"76581480"</f>
        <v>76581480</v>
      </c>
      <c r="M5378" t="s">
        <v>75</v>
      </c>
      <c r="N5378" s="1">
        <v>42872.847222222219</v>
      </c>
      <c r="O5378" t="s">
        <v>19</v>
      </c>
    </row>
    <row r="5379" spans="1:15" x14ac:dyDescent="0.25">
      <c r="A5379" t="s">
        <v>4069</v>
      </c>
      <c r="B5379" t="s">
        <v>15</v>
      </c>
      <c r="C5379" t="s">
        <v>27</v>
      </c>
      <c r="D5379" t="s">
        <v>17</v>
      </c>
      <c r="E5379" t="s">
        <v>18</v>
      </c>
      <c r="F5379" t="s">
        <v>19</v>
      </c>
      <c r="G5379" t="s">
        <v>20</v>
      </c>
      <c r="J5379" t="s">
        <v>17</v>
      </c>
      <c r="K5379" t="str">
        <f>"76691480"</f>
        <v>76691480</v>
      </c>
      <c r="L5379" t="str">
        <f>"76691480"</f>
        <v>76691480</v>
      </c>
      <c r="M5379" t="s">
        <v>75</v>
      </c>
      <c r="N5379" s="1">
        <v>42872.847222222219</v>
      </c>
      <c r="O5379" t="s">
        <v>19</v>
      </c>
    </row>
    <row r="5380" spans="1:15" x14ac:dyDescent="0.25">
      <c r="A5380" t="s">
        <v>4069</v>
      </c>
      <c r="B5380" t="s">
        <v>15</v>
      </c>
      <c r="C5380" t="s">
        <v>27</v>
      </c>
      <c r="D5380" t="s">
        <v>17</v>
      </c>
      <c r="E5380" t="s">
        <v>18</v>
      </c>
      <c r="F5380" t="s">
        <v>19</v>
      </c>
      <c r="G5380" t="s">
        <v>20</v>
      </c>
      <c r="J5380" t="s">
        <v>17</v>
      </c>
      <c r="K5380" t="str">
        <f>"76751480"</f>
        <v>76751480</v>
      </c>
      <c r="L5380" t="str">
        <f>"76751480"</f>
        <v>76751480</v>
      </c>
      <c r="M5380" t="s">
        <v>75</v>
      </c>
      <c r="N5380" s="1">
        <v>42872.847222222219</v>
      </c>
      <c r="O5380" t="s">
        <v>19</v>
      </c>
    </row>
    <row r="5381" spans="1:15" x14ac:dyDescent="0.25">
      <c r="A5381" t="s">
        <v>4069</v>
      </c>
      <c r="B5381" t="s">
        <v>15</v>
      </c>
      <c r="C5381" t="s">
        <v>27</v>
      </c>
      <c r="D5381" t="s">
        <v>17</v>
      </c>
      <c r="E5381" t="s">
        <v>18</v>
      </c>
      <c r="F5381" t="s">
        <v>19</v>
      </c>
      <c r="G5381" t="s">
        <v>20</v>
      </c>
      <c r="J5381" t="s">
        <v>17</v>
      </c>
      <c r="K5381" t="str">
        <f>"76771480"</f>
        <v>76771480</v>
      </c>
      <c r="L5381" t="str">
        <f>"76771480"</f>
        <v>76771480</v>
      </c>
      <c r="M5381" t="s">
        <v>75</v>
      </c>
      <c r="N5381" s="1">
        <v>42872.847222222219</v>
      </c>
      <c r="O5381" t="s">
        <v>19</v>
      </c>
    </row>
    <row r="5382" spans="1:15" x14ac:dyDescent="0.25">
      <c r="A5382" t="s">
        <v>4070</v>
      </c>
      <c r="B5382" t="s">
        <v>15</v>
      </c>
      <c r="C5382" t="s">
        <v>27</v>
      </c>
      <c r="D5382" t="s">
        <v>17</v>
      </c>
      <c r="E5382" t="s">
        <v>18</v>
      </c>
      <c r="F5382" t="s">
        <v>19</v>
      </c>
      <c r="G5382" t="s">
        <v>20</v>
      </c>
      <c r="J5382" t="s">
        <v>17</v>
      </c>
      <c r="K5382" t="str">
        <f>"17471430"</f>
        <v>17471430</v>
      </c>
      <c r="L5382" t="str">
        <f>"17471430"</f>
        <v>17471430</v>
      </c>
      <c r="M5382" t="s">
        <v>75</v>
      </c>
      <c r="N5382" s="1">
        <v>42872.839583333334</v>
      </c>
      <c r="O5382" t="s">
        <v>19</v>
      </c>
    </row>
    <row r="5383" spans="1:15" x14ac:dyDescent="0.25">
      <c r="A5383" t="s">
        <v>4070</v>
      </c>
      <c r="B5383" t="s">
        <v>15</v>
      </c>
      <c r="C5383" t="s">
        <v>27</v>
      </c>
      <c r="D5383" t="s">
        <v>17</v>
      </c>
      <c r="E5383" t="s">
        <v>18</v>
      </c>
      <c r="F5383" t="s">
        <v>19</v>
      </c>
      <c r="G5383" t="s">
        <v>20</v>
      </c>
      <c r="J5383" t="s">
        <v>17</v>
      </c>
      <c r="K5383" t="str">
        <f>"34581430"</f>
        <v>34581430</v>
      </c>
      <c r="L5383" t="str">
        <f>"34581430"</f>
        <v>34581430</v>
      </c>
      <c r="M5383" t="s">
        <v>75</v>
      </c>
      <c r="N5383" s="1">
        <v>42872.839583333334</v>
      </c>
      <c r="O5383" t="s">
        <v>19</v>
      </c>
    </row>
    <row r="5384" spans="1:15" x14ac:dyDescent="0.25">
      <c r="A5384" t="s">
        <v>4070</v>
      </c>
      <c r="B5384" t="s">
        <v>15</v>
      </c>
      <c r="C5384" t="s">
        <v>27</v>
      </c>
      <c r="D5384" t="s">
        <v>17</v>
      </c>
      <c r="E5384" t="s">
        <v>18</v>
      </c>
      <c r="F5384" t="s">
        <v>19</v>
      </c>
      <c r="G5384" t="s">
        <v>20</v>
      </c>
      <c r="J5384" t="s">
        <v>17</v>
      </c>
      <c r="K5384" t="str">
        <f>"33481430"</f>
        <v>33481430</v>
      </c>
      <c r="L5384" t="str">
        <f>"33481430"</f>
        <v>33481430</v>
      </c>
      <c r="M5384" t="s">
        <v>75</v>
      </c>
      <c r="N5384" s="1">
        <v>42872.839583333334</v>
      </c>
      <c r="O5384" t="s">
        <v>19</v>
      </c>
    </row>
    <row r="5385" spans="1:15" x14ac:dyDescent="0.25">
      <c r="A5385" t="s">
        <v>4070</v>
      </c>
      <c r="B5385" t="s">
        <v>15</v>
      </c>
      <c r="C5385" t="s">
        <v>27</v>
      </c>
      <c r="D5385" t="s">
        <v>17</v>
      </c>
      <c r="E5385" t="s">
        <v>18</v>
      </c>
      <c r="F5385" t="s">
        <v>19</v>
      </c>
      <c r="G5385" t="s">
        <v>20</v>
      </c>
      <c r="J5385" t="s">
        <v>17</v>
      </c>
      <c r="K5385" t="str">
        <f>"34481430"</f>
        <v>34481430</v>
      </c>
      <c r="L5385" t="str">
        <f>"34481430"</f>
        <v>34481430</v>
      </c>
      <c r="M5385" t="s">
        <v>75</v>
      </c>
      <c r="N5385" s="1">
        <v>42872.839583333334</v>
      </c>
      <c r="O5385" t="s">
        <v>19</v>
      </c>
    </row>
    <row r="5386" spans="1:15" x14ac:dyDescent="0.25">
      <c r="A5386" t="s">
        <v>4070</v>
      </c>
      <c r="B5386" t="s">
        <v>15</v>
      </c>
      <c r="C5386" t="s">
        <v>27</v>
      </c>
      <c r="D5386" t="s">
        <v>17</v>
      </c>
      <c r="E5386" t="s">
        <v>18</v>
      </c>
      <c r="F5386" t="s">
        <v>19</v>
      </c>
      <c r="G5386" t="s">
        <v>20</v>
      </c>
      <c r="J5386" t="s">
        <v>17</v>
      </c>
      <c r="K5386" t="str">
        <f>"76761430"</f>
        <v>76761430</v>
      </c>
      <c r="L5386" t="str">
        <f>"76761430"</f>
        <v>76761430</v>
      </c>
      <c r="M5386" t="s">
        <v>75</v>
      </c>
      <c r="N5386" s="1">
        <v>42872.847222222219</v>
      </c>
      <c r="O5386" t="s">
        <v>19</v>
      </c>
    </row>
    <row r="5387" spans="1:15" x14ac:dyDescent="0.25">
      <c r="A5387" t="s">
        <v>4071</v>
      </c>
      <c r="B5387" t="s">
        <v>15</v>
      </c>
      <c r="C5387" t="s">
        <v>27</v>
      </c>
      <c r="D5387" t="s">
        <v>17</v>
      </c>
      <c r="E5387" t="s">
        <v>18</v>
      </c>
      <c r="F5387" t="s">
        <v>19</v>
      </c>
      <c r="G5387" t="s">
        <v>20</v>
      </c>
      <c r="J5387" t="s">
        <v>17</v>
      </c>
      <c r="K5387" t="str">
        <f>"17581430"</f>
        <v>17581430</v>
      </c>
      <c r="L5387" t="str">
        <f>"17581430"</f>
        <v>17581430</v>
      </c>
      <c r="M5387" t="s">
        <v>75</v>
      </c>
      <c r="N5387" s="1">
        <v>42872.839583333334</v>
      </c>
      <c r="O5387" t="s">
        <v>19</v>
      </c>
    </row>
    <row r="5388" spans="1:15" x14ac:dyDescent="0.25">
      <c r="A5388" t="s">
        <v>4071</v>
      </c>
      <c r="B5388" t="s">
        <v>15</v>
      </c>
      <c r="C5388" t="s">
        <v>27</v>
      </c>
      <c r="D5388" t="s">
        <v>17</v>
      </c>
      <c r="E5388" t="s">
        <v>18</v>
      </c>
      <c r="F5388" t="s">
        <v>19</v>
      </c>
      <c r="G5388" t="s">
        <v>20</v>
      </c>
      <c r="J5388" t="s">
        <v>17</v>
      </c>
      <c r="K5388" t="str">
        <f>"76471430"</f>
        <v>76471430</v>
      </c>
      <c r="L5388" t="str">
        <f>"76471430"</f>
        <v>76471430</v>
      </c>
      <c r="M5388" t="s">
        <v>75</v>
      </c>
      <c r="N5388" s="1">
        <v>42872.847222222219</v>
      </c>
      <c r="O5388" t="s">
        <v>19</v>
      </c>
    </row>
    <row r="5389" spans="1:15" x14ac:dyDescent="0.25">
      <c r="A5389" t="s">
        <v>4072</v>
      </c>
      <c r="B5389" t="s">
        <v>15</v>
      </c>
      <c r="C5389" t="s">
        <v>27</v>
      </c>
      <c r="D5389" t="s">
        <v>17</v>
      </c>
      <c r="E5389" t="s">
        <v>18</v>
      </c>
      <c r="F5389" t="s">
        <v>19</v>
      </c>
      <c r="G5389" t="s">
        <v>20</v>
      </c>
      <c r="J5389" t="s">
        <v>17</v>
      </c>
      <c r="K5389" t="str">
        <f>"17481430"</f>
        <v>17481430</v>
      </c>
      <c r="L5389" t="str">
        <f>"17481430"</f>
        <v>17481430</v>
      </c>
      <c r="M5389" t="s">
        <v>75</v>
      </c>
      <c r="N5389" s="1">
        <v>42872.839583333334</v>
      </c>
      <c r="O5389" t="s">
        <v>19</v>
      </c>
    </row>
    <row r="5390" spans="1:15" x14ac:dyDescent="0.25">
      <c r="A5390" t="s">
        <v>4072</v>
      </c>
      <c r="B5390" t="s">
        <v>15</v>
      </c>
      <c r="C5390" t="s">
        <v>27</v>
      </c>
      <c r="D5390" t="s">
        <v>17</v>
      </c>
      <c r="E5390" t="s">
        <v>18</v>
      </c>
      <c r="F5390" t="s">
        <v>19</v>
      </c>
      <c r="G5390" t="s">
        <v>20</v>
      </c>
      <c r="J5390" t="s">
        <v>17</v>
      </c>
      <c r="K5390" t="str">
        <f>"34771430"</f>
        <v>34771430</v>
      </c>
      <c r="L5390" t="str">
        <f>"34771430"</f>
        <v>34771430</v>
      </c>
      <c r="M5390" t="s">
        <v>75</v>
      </c>
      <c r="N5390" s="1">
        <v>42872.839583333334</v>
      </c>
      <c r="O5390" t="s">
        <v>19</v>
      </c>
    </row>
    <row r="5391" spans="1:15" x14ac:dyDescent="0.25">
      <c r="A5391" t="s">
        <v>4073</v>
      </c>
      <c r="B5391" t="s">
        <v>15</v>
      </c>
      <c r="C5391" t="s">
        <v>27</v>
      </c>
      <c r="D5391" t="s">
        <v>17</v>
      </c>
      <c r="E5391" t="s">
        <v>18</v>
      </c>
      <c r="F5391" t="s">
        <v>19</v>
      </c>
      <c r="G5391" t="s">
        <v>20</v>
      </c>
      <c r="J5391" t="s">
        <v>17</v>
      </c>
      <c r="K5391" t="str">
        <f>"17481443"</f>
        <v>17481443</v>
      </c>
      <c r="L5391" t="str">
        <f>"17481443"</f>
        <v>17481443</v>
      </c>
      <c r="M5391" t="s">
        <v>75</v>
      </c>
      <c r="N5391" s="1">
        <v>42872.839583333334</v>
      </c>
      <c r="O5391" t="s">
        <v>19</v>
      </c>
    </row>
    <row r="5392" spans="1:15" x14ac:dyDescent="0.25">
      <c r="A5392" t="s">
        <v>4073</v>
      </c>
      <c r="B5392" t="s">
        <v>15</v>
      </c>
      <c r="C5392" t="s">
        <v>27</v>
      </c>
      <c r="D5392" t="s">
        <v>17</v>
      </c>
      <c r="E5392" t="s">
        <v>18</v>
      </c>
      <c r="F5392" t="s">
        <v>19</v>
      </c>
      <c r="G5392" t="s">
        <v>20</v>
      </c>
      <c r="J5392" t="s">
        <v>17</v>
      </c>
      <c r="K5392" t="str">
        <f>"76481443"</f>
        <v>76481443</v>
      </c>
      <c r="L5392" t="str">
        <f>"76481443"</f>
        <v>76481443</v>
      </c>
      <c r="M5392" t="s">
        <v>75</v>
      </c>
      <c r="N5392" s="1">
        <v>42872.847222222219</v>
      </c>
      <c r="O5392" t="s">
        <v>19</v>
      </c>
    </row>
    <row r="5393" spans="1:15" x14ac:dyDescent="0.25">
      <c r="A5393" t="s">
        <v>4074</v>
      </c>
      <c r="B5393" t="s">
        <v>15</v>
      </c>
      <c r="C5393" t="s">
        <v>27</v>
      </c>
      <c r="D5393" t="s">
        <v>17</v>
      </c>
      <c r="E5393" t="s">
        <v>18</v>
      </c>
      <c r="F5393" t="s">
        <v>19</v>
      </c>
      <c r="G5393" t="s">
        <v>20</v>
      </c>
      <c r="J5393" t="s">
        <v>17</v>
      </c>
      <c r="K5393" t="str">
        <f>"174714125"</f>
        <v>174714125</v>
      </c>
      <c r="L5393" t="str">
        <f>"174714125"</f>
        <v>174714125</v>
      </c>
      <c r="M5393" t="s">
        <v>75</v>
      </c>
      <c r="N5393" s="1">
        <v>42872.849305555559</v>
      </c>
      <c r="O5393" t="s">
        <v>19</v>
      </c>
    </row>
    <row r="5394" spans="1:15" x14ac:dyDescent="0.25">
      <c r="A5394" t="s">
        <v>4074</v>
      </c>
      <c r="B5394" t="s">
        <v>15</v>
      </c>
      <c r="C5394" t="s">
        <v>27</v>
      </c>
      <c r="D5394" t="s">
        <v>17</v>
      </c>
      <c r="E5394" t="s">
        <v>18</v>
      </c>
      <c r="F5394" t="s">
        <v>19</v>
      </c>
      <c r="G5394" t="s">
        <v>20</v>
      </c>
      <c r="J5394" t="s">
        <v>17</v>
      </c>
      <c r="K5394" t="str">
        <f>"174814125"</f>
        <v>174814125</v>
      </c>
      <c r="L5394" t="str">
        <f>"174814125"</f>
        <v>174814125</v>
      </c>
      <c r="M5394" t="s">
        <v>75</v>
      </c>
      <c r="N5394" s="1">
        <v>42872.849305555559</v>
      </c>
      <c r="O5394" t="s">
        <v>19</v>
      </c>
    </row>
    <row r="5395" spans="1:15" x14ac:dyDescent="0.25">
      <c r="A5395" t="s">
        <v>4074</v>
      </c>
      <c r="B5395" t="s">
        <v>15</v>
      </c>
      <c r="C5395" t="s">
        <v>27</v>
      </c>
      <c r="D5395" t="s">
        <v>17</v>
      </c>
      <c r="E5395" t="s">
        <v>18</v>
      </c>
      <c r="F5395" t="s">
        <v>19</v>
      </c>
      <c r="G5395" t="s">
        <v>20</v>
      </c>
      <c r="J5395" t="s">
        <v>17</v>
      </c>
      <c r="K5395" t="str">
        <f>"175814125"</f>
        <v>175814125</v>
      </c>
      <c r="L5395" t="str">
        <f>"175814125"</f>
        <v>175814125</v>
      </c>
      <c r="M5395" t="s">
        <v>75</v>
      </c>
      <c r="N5395" s="1">
        <v>42872.849305555559</v>
      </c>
      <c r="O5395" t="s">
        <v>19</v>
      </c>
    </row>
    <row r="5396" spans="1:15" x14ac:dyDescent="0.25">
      <c r="A5396" t="s">
        <v>4074</v>
      </c>
      <c r="B5396" t="s">
        <v>15</v>
      </c>
      <c r="C5396" t="s">
        <v>27</v>
      </c>
      <c r="D5396" t="s">
        <v>17</v>
      </c>
      <c r="E5396" t="s">
        <v>18</v>
      </c>
      <c r="F5396" t="s">
        <v>19</v>
      </c>
      <c r="G5396" t="s">
        <v>20</v>
      </c>
      <c r="J5396" t="s">
        <v>17</v>
      </c>
      <c r="K5396" t="str">
        <f>"762614125"</f>
        <v>762614125</v>
      </c>
      <c r="L5396" t="str">
        <f>"762614125"</f>
        <v>762614125</v>
      </c>
      <c r="M5396" t="s">
        <v>75</v>
      </c>
      <c r="N5396" s="1">
        <v>42872.849305555559</v>
      </c>
      <c r="O5396" t="s">
        <v>19</v>
      </c>
    </row>
    <row r="5397" spans="1:15" x14ac:dyDescent="0.25">
      <c r="A5397" t="s">
        <v>4074</v>
      </c>
      <c r="B5397" t="s">
        <v>15</v>
      </c>
      <c r="C5397" t="s">
        <v>27</v>
      </c>
      <c r="D5397" t="s">
        <v>17</v>
      </c>
      <c r="E5397" t="s">
        <v>18</v>
      </c>
      <c r="F5397" t="s">
        <v>19</v>
      </c>
      <c r="G5397" t="s">
        <v>20</v>
      </c>
      <c r="J5397" t="s">
        <v>17</v>
      </c>
      <c r="K5397" t="str">
        <f>"764714125"</f>
        <v>764714125</v>
      </c>
      <c r="L5397" t="str">
        <f>"764714125"</f>
        <v>764714125</v>
      </c>
      <c r="M5397" t="s">
        <v>75</v>
      </c>
      <c r="N5397" s="1">
        <v>42872.849305555559</v>
      </c>
      <c r="O5397" t="s">
        <v>19</v>
      </c>
    </row>
    <row r="5398" spans="1:15" x14ac:dyDescent="0.25">
      <c r="A5398" t="s">
        <v>4074</v>
      </c>
      <c r="B5398" t="s">
        <v>15</v>
      </c>
      <c r="C5398" t="s">
        <v>27</v>
      </c>
      <c r="D5398" t="s">
        <v>17</v>
      </c>
      <c r="E5398" t="s">
        <v>18</v>
      </c>
      <c r="F5398" t="s">
        <v>19</v>
      </c>
      <c r="G5398" t="s">
        <v>20</v>
      </c>
      <c r="J5398" t="s">
        <v>17</v>
      </c>
      <c r="K5398" t="str">
        <f>"764814125"</f>
        <v>764814125</v>
      </c>
      <c r="L5398" t="str">
        <f>"764814125"</f>
        <v>764814125</v>
      </c>
      <c r="M5398" t="s">
        <v>75</v>
      </c>
      <c r="N5398" s="1">
        <v>42872.849305555559</v>
      </c>
      <c r="O5398" t="s">
        <v>19</v>
      </c>
    </row>
    <row r="5399" spans="1:15" x14ac:dyDescent="0.25">
      <c r="A5399" t="s">
        <v>4074</v>
      </c>
      <c r="B5399" t="s">
        <v>15</v>
      </c>
      <c r="C5399" t="s">
        <v>27</v>
      </c>
      <c r="D5399" t="s">
        <v>17</v>
      </c>
      <c r="E5399" t="s">
        <v>18</v>
      </c>
      <c r="F5399" t="s">
        <v>19</v>
      </c>
      <c r="G5399" t="s">
        <v>20</v>
      </c>
      <c r="J5399" t="s">
        <v>17</v>
      </c>
      <c r="K5399" t="str">
        <f>"764809125"</f>
        <v>764809125</v>
      </c>
      <c r="L5399" t="str">
        <f>"764809125"</f>
        <v>764809125</v>
      </c>
      <c r="M5399" t="s">
        <v>75</v>
      </c>
      <c r="N5399" s="1">
        <v>42872.849305555559</v>
      </c>
      <c r="O5399" t="s">
        <v>19</v>
      </c>
    </row>
    <row r="5400" spans="1:15" x14ac:dyDescent="0.25">
      <c r="A5400" t="s">
        <v>4074</v>
      </c>
      <c r="B5400" t="s">
        <v>15</v>
      </c>
      <c r="C5400" t="s">
        <v>27</v>
      </c>
      <c r="D5400" t="s">
        <v>17</v>
      </c>
      <c r="E5400" t="s">
        <v>18</v>
      </c>
      <c r="F5400" t="s">
        <v>19</v>
      </c>
      <c r="G5400" t="s">
        <v>20</v>
      </c>
      <c r="J5400" t="s">
        <v>17</v>
      </c>
      <c r="K5400" t="str">
        <f>"764914125"</f>
        <v>764914125</v>
      </c>
      <c r="L5400" t="str">
        <f>"764914125"</f>
        <v>764914125</v>
      </c>
      <c r="M5400" t="s">
        <v>75</v>
      </c>
      <c r="N5400" s="1">
        <v>42872.849305555559</v>
      </c>
      <c r="O5400" t="s">
        <v>19</v>
      </c>
    </row>
    <row r="5401" spans="1:15" x14ac:dyDescent="0.25">
      <c r="A5401" t="s">
        <v>4074</v>
      </c>
      <c r="B5401" t="s">
        <v>15</v>
      </c>
      <c r="C5401" t="s">
        <v>27</v>
      </c>
      <c r="D5401" t="s">
        <v>17</v>
      </c>
      <c r="E5401" t="s">
        <v>18</v>
      </c>
      <c r="F5401" t="s">
        <v>19</v>
      </c>
      <c r="G5401" t="s">
        <v>20</v>
      </c>
      <c r="J5401" t="s">
        <v>17</v>
      </c>
      <c r="K5401" t="str">
        <f>"767614125"</f>
        <v>767614125</v>
      </c>
      <c r="L5401" t="str">
        <f>"767614125"</f>
        <v>767614125</v>
      </c>
      <c r="M5401" t="s">
        <v>75</v>
      </c>
      <c r="N5401" s="1">
        <v>42872.849305555559</v>
      </c>
      <c r="O5401" t="s">
        <v>19</v>
      </c>
    </row>
    <row r="5402" spans="1:15" x14ac:dyDescent="0.25">
      <c r="A5402" t="s">
        <v>4074</v>
      </c>
      <c r="B5402" t="s">
        <v>15</v>
      </c>
      <c r="C5402" t="s">
        <v>27</v>
      </c>
      <c r="D5402" t="s">
        <v>17</v>
      </c>
      <c r="E5402" t="s">
        <v>18</v>
      </c>
      <c r="F5402" t="s">
        <v>19</v>
      </c>
      <c r="G5402" t="s">
        <v>20</v>
      </c>
      <c r="J5402" t="s">
        <v>17</v>
      </c>
      <c r="K5402" t="str">
        <f>"767714125"</f>
        <v>767714125</v>
      </c>
      <c r="L5402" t="str">
        <f>"767714125"</f>
        <v>767714125</v>
      </c>
      <c r="M5402" t="s">
        <v>75</v>
      </c>
      <c r="N5402" s="1">
        <v>42872.849305555559</v>
      </c>
      <c r="O5402" t="s">
        <v>19</v>
      </c>
    </row>
    <row r="5403" spans="1:15" x14ac:dyDescent="0.25">
      <c r="A5403" t="s">
        <v>4074</v>
      </c>
      <c r="B5403" t="s">
        <v>15</v>
      </c>
      <c r="C5403" t="s">
        <v>27</v>
      </c>
      <c r="D5403" t="s">
        <v>17</v>
      </c>
      <c r="E5403" t="s">
        <v>18</v>
      </c>
      <c r="F5403" t="s">
        <v>19</v>
      </c>
      <c r="G5403" t="s">
        <v>20</v>
      </c>
      <c r="J5403" t="s">
        <v>17</v>
      </c>
      <c r="K5403" t="str">
        <f>"765114125"</f>
        <v>765114125</v>
      </c>
      <c r="L5403" t="str">
        <f>"765114125"</f>
        <v>765114125</v>
      </c>
      <c r="M5403" t="s">
        <v>75</v>
      </c>
      <c r="N5403" s="1">
        <v>43132.959722222222</v>
      </c>
      <c r="O5403" t="s">
        <v>19</v>
      </c>
    </row>
    <row r="5404" spans="1:15" x14ac:dyDescent="0.25">
      <c r="A5404" t="s">
        <v>4074</v>
      </c>
      <c r="B5404" t="s">
        <v>15</v>
      </c>
      <c r="C5404" t="s">
        <v>27</v>
      </c>
      <c r="D5404" t="s">
        <v>17</v>
      </c>
      <c r="E5404" t="s">
        <v>18</v>
      </c>
      <c r="F5404" t="s">
        <v>19</v>
      </c>
      <c r="G5404" t="s">
        <v>20</v>
      </c>
      <c r="J5404" t="s">
        <v>17</v>
      </c>
      <c r="K5404" t="str">
        <f>"174814192"</f>
        <v>174814192</v>
      </c>
      <c r="L5404" t="str">
        <f>"174814192"</f>
        <v>174814192</v>
      </c>
      <c r="M5404" t="s">
        <v>75</v>
      </c>
      <c r="N5404" s="1">
        <v>43175.775000000001</v>
      </c>
      <c r="O5404" t="s">
        <v>19</v>
      </c>
    </row>
    <row r="5405" spans="1:15" x14ac:dyDescent="0.25">
      <c r="A5405" t="s">
        <v>4074</v>
      </c>
      <c r="B5405" t="s">
        <v>15</v>
      </c>
      <c r="C5405" t="s">
        <v>27</v>
      </c>
      <c r="D5405" t="s">
        <v>17</v>
      </c>
      <c r="E5405" t="s">
        <v>18</v>
      </c>
      <c r="F5405" t="s">
        <v>19</v>
      </c>
      <c r="G5405" t="s">
        <v>20</v>
      </c>
      <c r="J5405" t="s">
        <v>17</v>
      </c>
      <c r="K5405" t="str">
        <f>"867714125"</f>
        <v>867714125</v>
      </c>
      <c r="L5405" t="str">
        <f>"867714125"</f>
        <v>867714125</v>
      </c>
      <c r="M5405" t="s">
        <v>84</v>
      </c>
      <c r="N5405" s="1">
        <v>43314.93472222222</v>
      </c>
      <c r="O5405" t="s">
        <v>19</v>
      </c>
    </row>
    <row r="5406" spans="1:15" x14ac:dyDescent="0.25">
      <c r="A5406" t="s">
        <v>4074</v>
      </c>
      <c r="B5406" t="s">
        <v>15</v>
      </c>
      <c r="C5406" t="s">
        <v>27</v>
      </c>
      <c r="D5406" t="s">
        <v>17</v>
      </c>
      <c r="E5406" t="s">
        <v>18</v>
      </c>
      <c r="F5406" t="s">
        <v>19</v>
      </c>
      <c r="G5406" t="s">
        <v>20</v>
      </c>
      <c r="J5406" t="s">
        <v>17</v>
      </c>
      <c r="K5406" t="str">
        <f>"695114125"</f>
        <v>695114125</v>
      </c>
      <c r="L5406" t="str">
        <f>"695114125"</f>
        <v>695114125</v>
      </c>
      <c r="M5406" t="s">
        <v>84</v>
      </c>
      <c r="N5406" s="1">
        <v>43336.838194444441</v>
      </c>
      <c r="O5406" t="s">
        <v>19</v>
      </c>
    </row>
    <row r="5407" spans="1:15" x14ac:dyDescent="0.25">
      <c r="A5407" t="s">
        <v>4075</v>
      </c>
      <c r="B5407" t="s">
        <v>15</v>
      </c>
      <c r="C5407" t="s">
        <v>27</v>
      </c>
      <c r="D5407" t="s">
        <v>17</v>
      </c>
      <c r="E5407" t="s">
        <v>18</v>
      </c>
      <c r="F5407" t="s">
        <v>19</v>
      </c>
      <c r="G5407" t="s">
        <v>20</v>
      </c>
      <c r="J5407" t="s">
        <v>17</v>
      </c>
      <c r="K5407" t="str">
        <f>"174814217"</f>
        <v>174814217</v>
      </c>
      <c r="L5407" t="str">
        <f>"174814217"</f>
        <v>174814217</v>
      </c>
      <c r="M5407" t="s">
        <v>75</v>
      </c>
      <c r="N5407" s="1">
        <v>42872.849305555559</v>
      </c>
      <c r="O5407" t="s">
        <v>19</v>
      </c>
    </row>
    <row r="5408" spans="1:15" x14ac:dyDescent="0.25">
      <c r="A5408" t="s">
        <v>4076</v>
      </c>
      <c r="B5408" t="s">
        <v>15</v>
      </c>
      <c r="C5408" t="s">
        <v>27</v>
      </c>
      <c r="D5408" t="s">
        <v>17</v>
      </c>
      <c r="E5408" t="s">
        <v>18</v>
      </c>
      <c r="F5408" t="s">
        <v>19</v>
      </c>
      <c r="G5408" t="s">
        <v>20</v>
      </c>
      <c r="J5408" t="s">
        <v>17</v>
      </c>
      <c r="K5408" t="str">
        <f>"765114193"</f>
        <v>765114193</v>
      </c>
      <c r="L5408" t="str">
        <f>"765114193"</f>
        <v>765114193</v>
      </c>
      <c r="M5408" t="s">
        <v>75</v>
      </c>
      <c r="N5408" s="1">
        <v>43148.658333333333</v>
      </c>
      <c r="O5408" t="s">
        <v>19</v>
      </c>
    </row>
    <row r="5409" spans="1:15" x14ac:dyDescent="0.25">
      <c r="A5409" t="s">
        <v>4077</v>
      </c>
      <c r="B5409" t="s">
        <v>15</v>
      </c>
      <c r="C5409" t="s">
        <v>27</v>
      </c>
      <c r="D5409" t="s">
        <v>17</v>
      </c>
      <c r="E5409" t="s">
        <v>18</v>
      </c>
      <c r="F5409" t="s">
        <v>19</v>
      </c>
      <c r="G5409" t="s">
        <v>20</v>
      </c>
      <c r="J5409" t="s">
        <v>17</v>
      </c>
      <c r="K5409" t="str">
        <f>"764814136"</f>
        <v>764814136</v>
      </c>
      <c r="L5409" t="str">
        <f>"764814136"</f>
        <v>764814136</v>
      </c>
      <c r="M5409" t="s">
        <v>75</v>
      </c>
      <c r="N5409" s="1">
        <v>42872.849305555559</v>
      </c>
      <c r="O5409" t="s">
        <v>19</v>
      </c>
    </row>
    <row r="5410" spans="1:15" x14ac:dyDescent="0.25">
      <c r="A5410" t="s">
        <v>4077</v>
      </c>
      <c r="B5410" t="s">
        <v>15</v>
      </c>
      <c r="C5410" t="s">
        <v>27</v>
      </c>
      <c r="D5410" t="s">
        <v>17</v>
      </c>
      <c r="E5410" t="s">
        <v>18</v>
      </c>
      <c r="F5410" t="s">
        <v>19</v>
      </c>
      <c r="G5410" t="s">
        <v>20</v>
      </c>
      <c r="J5410" t="s">
        <v>17</v>
      </c>
      <c r="K5410" t="str">
        <f>"765814136"</f>
        <v>765814136</v>
      </c>
      <c r="L5410" t="str">
        <f>"765814136"</f>
        <v>765814136</v>
      </c>
      <c r="M5410" t="s">
        <v>75</v>
      </c>
      <c r="N5410" s="1">
        <v>42872.849305555559</v>
      </c>
      <c r="O5410" t="s">
        <v>19</v>
      </c>
    </row>
    <row r="5411" spans="1:15" x14ac:dyDescent="0.25">
      <c r="A5411" t="s">
        <v>4077</v>
      </c>
      <c r="B5411" t="s">
        <v>15</v>
      </c>
      <c r="C5411" t="s">
        <v>27</v>
      </c>
      <c r="D5411" t="s">
        <v>17</v>
      </c>
      <c r="E5411" t="s">
        <v>18</v>
      </c>
      <c r="F5411" t="s">
        <v>19</v>
      </c>
      <c r="G5411" t="s">
        <v>20</v>
      </c>
      <c r="J5411" t="s">
        <v>17</v>
      </c>
      <c r="K5411" t="str">
        <f>"767514136"</f>
        <v>767514136</v>
      </c>
      <c r="L5411" t="str">
        <f>"767514136"</f>
        <v>767514136</v>
      </c>
      <c r="M5411" t="s">
        <v>75</v>
      </c>
      <c r="N5411" s="1">
        <v>42872.849305555559</v>
      </c>
      <c r="O5411" t="s">
        <v>19</v>
      </c>
    </row>
    <row r="5412" spans="1:15" x14ac:dyDescent="0.25">
      <c r="A5412" t="s">
        <v>4078</v>
      </c>
      <c r="B5412" t="s">
        <v>15</v>
      </c>
      <c r="C5412" t="s">
        <v>27</v>
      </c>
      <c r="D5412" t="s">
        <v>17</v>
      </c>
      <c r="E5412" t="s">
        <v>18</v>
      </c>
      <c r="F5412" t="s">
        <v>19</v>
      </c>
      <c r="G5412" t="s">
        <v>20</v>
      </c>
      <c r="J5412" t="s">
        <v>17</v>
      </c>
      <c r="K5412" t="str">
        <f>"1000001098395"</f>
        <v>1000001098395</v>
      </c>
      <c r="L5412" t="str">
        <f>"764814262"</f>
        <v>764814262</v>
      </c>
      <c r="M5412" t="s">
        <v>84</v>
      </c>
      <c r="N5412" s="1">
        <v>43451.665972222225</v>
      </c>
      <c r="O5412" t="s">
        <v>19</v>
      </c>
    </row>
    <row r="5413" spans="1:15" x14ac:dyDescent="0.25">
      <c r="A5413" t="s">
        <v>4078</v>
      </c>
      <c r="B5413" t="s">
        <v>15</v>
      </c>
      <c r="C5413" t="s">
        <v>27</v>
      </c>
      <c r="D5413" t="s">
        <v>17</v>
      </c>
      <c r="E5413" t="s">
        <v>18</v>
      </c>
      <c r="F5413" t="s">
        <v>19</v>
      </c>
      <c r="G5413" t="s">
        <v>20</v>
      </c>
      <c r="J5413" t="s">
        <v>17</v>
      </c>
      <c r="K5413" t="str">
        <f>"186414262"</f>
        <v>186414262</v>
      </c>
      <c r="L5413" t="str">
        <f>"186414262"</f>
        <v>186414262</v>
      </c>
      <c r="M5413" t="s">
        <v>21</v>
      </c>
      <c r="N5413" s="1">
        <v>43609.947222222225</v>
      </c>
      <c r="O5413" t="s">
        <v>19</v>
      </c>
    </row>
    <row r="5414" spans="1:15" x14ac:dyDescent="0.25">
      <c r="A5414" t="s">
        <v>4078</v>
      </c>
      <c r="B5414" t="s">
        <v>15</v>
      </c>
      <c r="C5414" t="s">
        <v>27</v>
      </c>
      <c r="D5414" t="s">
        <v>17</v>
      </c>
      <c r="E5414" t="s">
        <v>18</v>
      </c>
      <c r="F5414" t="s">
        <v>19</v>
      </c>
      <c r="G5414" t="s">
        <v>20</v>
      </c>
      <c r="J5414" t="s">
        <v>17</v>
      </c>
      <c r="K5414" t="str">
        <f>"2018121500086"</f>
        <v>2018121500086</v>
      </c>
      <c r="L5414" t="str">
        <f>"185114262"</f>
        <v>185114262</v>
      </c>
      <c r="M5414" t="s">
        <v>21</v>
      </c>
      <c r="N5414" s="1">
        <v>43609.953472222223</v>
      </c>
      <c r="O5414" t="s">
        <v>19</v>
      </c>
    </row>
    <row r="5415" spans="1:15" x14ac:dyDescent="0.25">
      <c r="A5415" t="s">
        <v>4079</v>
      </c>
      <c r="B5415" t="s">
        <v>15</v>
      </c>
      <c r="C5415" t="s">
        <v>27</v>
      </c>
      <c r="D5415" t="s">
        <v>17</v>
      </c>
      <c r="E5415" t="s">
        <v>18</v>
      </c>
      <c r="F5415" t="s">
        <v>19</v>
      </c>
      <c r="G5415" t="s">
        <v>20</v>
      </c>
      <c r="J5415" t="s">
        <v>17</v>
      </c>
      <c r="K5415" t="str">
        <f>"174814283"</f>
        <v>174814283</v>
      </c>
      <c r="L5415" t="str">
        <f>"174814283"</f>
        <v>174814283</v>
      </c>
      <c r="M5415" t="s">
        <v>75</v>
      </c>
      <c r="N5415" s="1">
        <v>42872.849305555559</v>
      </c>
      <c r="O5415" t="s">
        <v>19</v>
      </c>
    </row>
    <row r="5416" spans="1:15" x14ac:dyDescent="0.25">
      <c r="A5416" t="s">
        <v>4079</v>
      </c>
      <c r="B5416" t="s">
        <v>15</v>
      </c>
      <c r="C5416" t="s">
        <v>27</v>
      </c>
      <c r="D5416" t="s">
        <v>17</v>
      </c>
      <c r="E5416" t="s">
        <v>18</v>
      </c>
      <c r="F5416" t="s">
        <v>19</v>
      </c>
      <c r="G5416" t="s">
        <v>20</v>
      </c>
      <c r="J5416" t="s">
        <v>17</v>
      </c>
      <c r="K5416" t="str">
        <f>"1000001009094"</f>
        <v>1000001009094</v>
      </c>
      <c r="L5416" t="str">
        <f>"767714283"</f>
        <v>767714283</v>
      </c>
      <c r="M5416" t="s">
        <v>84</v>
      </c>
      <c r="N5416" s="1">
        <v>42896.786805555559</v>
      </c>
      <c r="O5416" t="s">
        <v>19</v>
      </c>
    </row>
    <row r="5417" spans="1:15" x14ac:dyDescent="0.25">
      <c r="A5417" t="s">
        <v>4079</v>
      </c>
      <c r="B5417" t="s">
        <v>15</v>
      </c>
      <c r="C5417" t="s">
        <v>27</v>
      </c>
      <c r="D5417" t="s">
        <v>17</v>
      </c>
      <c r="E5417" t="s">
        <v>18</v>
      </c>
      <c r="F5417" t="s">
        <v>19</v>
      </c>
      <c r="G5417" t="s">
        <v>20</v>
      </c>
      <c r="J5417" t="s">
        <v>17</v>
      </c>
      <c r="K5417" t="str">
        <f>"765814283"</f>
        <v>765814283</v>
      </c>
      <c r="L5417" t="str">
        <f>"765814283"</f>
        <v>765814283</v>
      </c>
      <c r="M5417" t="s">
        <v>75</v>
      </c>
      <c r="N5417" s="1">
        <v>42898.977083333331</v>
      </c>
      <c r="O5417" t="s">
        <v>19</v>
      </c>
    </row>
    <row r="5418" spans="1:15" x14ac:dyDescent="0.25">
      <c r="A5418" t="s">
        <v>4079</v>
      </c>
      <c r="B5418" t="s">
        <v>15</v>
      </c>
      <c r="C5418" t="s">
        <v>27</v>
      </c>
      <c r="D5418" t="s">
        <v>17</v>
      </c>
      <c r="E5418" t="s">
        <v>18</v>
      </c>
      <c r="F5418" t="s">
        <v>19</v>
      </c>
      <c r="G5418" t="s">
        <v>20</v>
      </c>
      <c r="J5418" t="s">
        <v>17</v>
      </c>
      <c r="K5418" t="str">
        <f>"764814283"</f>
        <v>764814283</v>
      </c>
      <c r="L5418" t="str">
        <f>"764814283"</f>
        <v>764814283</v>
      </c>
      <c r="M5418" t="s">
        <v>75</v>
      </c>
      <c r="N5418" s="1">
        <v>42959.723611111112</v>
      </c>
      <c r="O5418" t="s">
        <v>19</v>
      </c>
    </row>
    <row r="5419" spans="1:15" x14ac:dyDescent="0.25">
      <c r="A5419" t="s">
        <v>4079</v>
      </c>
      <c r="B5419" t="s">
        <v>15</v>
      </c>
      <c r="C5419" t="s">
        <v>27</v>
      </c>
      <c r="D5419" t="s">
        <v>17</v>
      </c>
      <c r="E5419" t="s">
        <v>18</v>
      </c>
      <c r="F5419" t="s">
        <v>19</v>
      </c>
      <c r="G5419" t="s">
        <v>20</v>
      </c>
      <c r="J5419" t="s">
        <v>17</v>
      </c>
      <c r="K5419" t="str">
        <f>"765114283"</f>
        <v>765114283</v>
      </c>
      <c r="L5419" t="str">
        <f>"765114283"</f>
        <v>765114283</v>
      </c>
      <c r="M5419" t="s">
        <v>75</v>
      </c>
      <c r="N5419" s="1">
        <v>43148.659722222219</v>
      </c>
      <c r="O5419" t="s">
        <v>19</v>
      </c>
    </row>
    <row r="5420" spans="1:15" x14ac:dyDescent="0.25">
      <c r="A5420" t="s">
        <v>4079</v>
      </c>
      <c r="B5420" t="s">
        <v>15</v>
      </c>
      <c r="C5420" t="s">
        <v>27</v>
      </c>
      <c r="D5420" t="s">
        <v>17</v>
      </c>
      <c r="E5420" t="s">
        <v>18</v>
      </c>
      <c r="F5420" t="s">
        <v>19</v>
      </c>
      <c r="G5420" t="s">
        <v>20</v>
      </c>
      <c r="J5420" t="s">
        <v>17</v>
      </c>
      <c r="K5420" t="str">
        <f>"763914283"</f>
        <v>763914283</v>
      </c>
      <c r="L5420" t="str">
        <f>"763914283"</f>
        <v>763914283</v>
      </c>
      <c r="M5420" t="s">
        <v>75</v>
      </c>
      <c r="N5420" s="1">
        <v>43196.834027777775</v>
      </c>
      <c r="O5420" t="s">
        <v>19</v>
      </c>
    </row>
    <row r="5421" spans="1:15" x14ac:dyDescent="0.25">
      <c r="A5421" t="s">
        <v>4079</v>
      </c>
      <c r="B5421" t="s">
        <v>15</v>
      </c>
      <c r="C5421" t="s">
        <v>27</v>
      </c>
      <c r="D5421" t="s">
        <v>17</v>
      </c>
      <c r="E5421" t="s">
        <v>18</v>
      </c>
      <c r="F5421" t="s">
        <v>19</v>
      </c>
      <c r="G5421" t="s">
        <v>20</v>
      </c>
      <c r="J5421" t="s">
        <v>17</v>
      </c>
      <c r="K5421" t="str">
        <f>"175114283"</f>
        <v>175114283</v>
      </c>
      <c r="L5421" t="str">
        <f>"175114283"</f>
        <v>175114283</v>
      </c>
      <c r="M5421" t="s">
        <v>75</v>
      </c>
      <c r="N5421" s="1">
        <v>43220.622916666667</v>
      </c>
      <c r="O5421" t="s">
        <v>19</v>
      </c>
    </row>
    <row r="5422" spans="1:15" x14ac:dyDescent="0.25">
      <c r="A5422" t="s">
        <v>4079</v>
      </c>
      <c r="B5422" t="s">
        <v>15</v>
      </c>
      <c r="C5422" t="s">
        <v>27</v>
      </c>
      <c r="D5422" t="s">
        <v>17</v>
      </c>
      <c r="E5422" t="s">
        <v>18</v>
      </c>
      <c r="F5422" t="s">
        <v>19</v>
      </c>
      <c r="G5422" t="s">
        <v>20</v>
      </c>
      <c r="J5422" t="s">
        <v>17</v>
      </c>
      <c r="K5422" t="str">
        <f>"766214283"</f>
        <v>766214283</v>
      </c>
      <c r="L5422" t="str">
        <f>"766214283"</f>
        <v>766214283</v>
      </c>
      <c r="M5422" t="s">
        <v>84</v>
      </c>
      <c r="N5422" s="1">
        <v>43272.802777777775</v>
      </c>
      <c r="O5422" t="s">
        <v>19</v>
      </c>
    </row>
    <row r="5423" spans="1:15" x14ac:dyDescent="0.25">
      <c r="A5423" t="s">
        <v>4079</v>
      </c>
      <c r="B5423" t="s">
        <v>15</v>
      </c>
      <c r="C5423" t="s">
        <v>27</v>
      </c>
      <c r="D5423" t="s">
        <v>17</v>
      </c>
      <c r="E5423" t="s">
        <v>18</v>
      </c>
      <c r="F5423" t="s">
        <v>19</v>
      </c>
      <c r="G5423" t="s">
        <v>20</v>
      </c>
      <c r="J5423" t="s">
        <v>17</v>
      </c>
      <c r="K5423" t="str">
        <f>"345114283"</f>
        <v>345114283</v>
      </c>
      <c r="L5423" t="str">
        <f>"345114283"</f>
        <v>345114283</v>
      </c>
      <c r="M5423" t="s">
        <v>84</v>
      </c>
      <c r="N5423" s="1">
        <v>43306.709722222222</v>
      </c>
      <c r="O5423" t="s">
        <v>19</v>
      </c>
    </row>
    <row r="5424" spans="1:15" x14ac:dyDescent="0.25">
      <c r="A5424" t="s">
        <v>4079</v>
      </c>
      <c r="B5424" t="s">
        <v>15</v>
      </c>
      <c r="C5424" t="s">
        <v>27</v>
      </c>
      <c r="D5424" t="s">
        <v>17</v>
      </c>
      <c r="E5424" t="s">
        <v>18</v>
      </c>
      <c r="F5424" t="s">
        <v>19</v>
      </c>
      <c r="G5424" t="s">
        <v>20</v>
      </c>
      <c r="J5424" t="s">
        <v>17</v>
      </c>
      <c r="K5424" t="str">
        <f>"766414283"</f>
        <v>766414283</v>
      </c>
      <c r="L5424" t="str">
        <f>"766414283"</f>
        <v>766414283</v>
      </c>
      <c r="M5424" t="s">
        <v>84</v>
      </c>
      <c r="N5424" s="1">
        <v>43308.68472222222</v>
      </c>
      <c r="O5424" t="s">
        <v>19</v>
      </c>
    </row>
    <row r="5425" spans="1:15" x14ac:dyDescent="0.25">
      <c r="A5425" t="s">
        <v>4079</v>
      </c>
      <c r="B5425" t="s">
        <v>15</v>
      </c>
      <c r="C5425" t="s">
        <v>27</v>
      </c>
      <c r="D5425" t="s">
        <v>17</v>
      </c>
      <c r="E5425" t="s">
        <v>18</v>
      </c>
      <c r="F5425" t="s">
        <v>19</v>
      </c>
      <c r="G5425" t="s">
        <v>20</v>
      </c>
      <c r="J5425" t="s">
        <v>17</v>
      </c>
      <c r="K5425" t="str">
        <f>"1000001094038"</f>
        <v>1000001094038</v>
      </c>
      <c r="L5425" t="str">
        <f>"766514283"</f>
        <v>766514283</v>
      </c>
      <c r="M5425" t="s">
        <v>84</v>
      </c>
      <c r="N5425" s="1">
        <v>43320.947916666664</v>
      </c>
      <c r="O5425" t="s">
        <v>19</v>
      </c>
    </row>
    <row r="5426" spans="1:15" x14ac:dyDescent="0.25">
      <c r="A5426" t="s">
        <v>4079</v>
      </c>
      <c r="B5426" t="s">
        <v>15</v>
      </c>
      <c r="C5426" t="s">
        <v>27</v>
      </c>
      <c r="D5426" t="s">
        <v>17</v>
      </c>
      <c r="E5426" t="s">
        <v>18</v>
      </c>
      <c r="F5426" t="s">
        <v>19</v>
      </c>
      <c r="G5426" t="s">
        <v>20</v>
      </c>
      <c r="J5426" t="s">
        <v>17</v>
      </c>
      <c r="K5426" t="str">
        <f>"765914283"</f>
        <v>765914283</v>
      </c>
      <c r="L5426" t="str">
        <f>"765914283"</f>
        <v>765914283</v>
      </c>
      <c r="M5426" t="s">
        <v>84</v>
      </c>
      <c r="N5426" s="1">
        <v>43321.72152777778</v>
      </c>
      <c r="O5426" t="s">
        <v>19</v>
      </c>
    </row>
    <row r="5427" spans="1:15" x14ac:dyDescent="0.25">
      <c r="A5427" t="s">
        <v>4079</v>
      </c>
      <c r="B5427" t="s">
        <v>15</v>
      </c>
      <c r="C5427" t="s">
        <v>27</v>
      </c>
      <c r="D5427" t="s">
        <v>17</v>
      </c>
      <c r="E5427" t="s">
        <v>18</v>
      </c>
      <c r="F5427" t="s">
        <v>19</v>
      </c>
      <c r="G5427" t="s">
        <v>20</v>
      </c>
      <c r="J5427" t="s">
        <v>17</v>
      </c>
      <c r="K5427" t="str">
        <f>"866414283"</f>
        <v>866414283</v>
      </c>
      <c r="L5427" t="str">
        <f>"866414283"</f>
        <v>866414283</v>
      </c>
      <c r="M5427" t="s">
        <v>84</v>
      </c>
      <c r="N5427" s="1">
        <v>43364.93472222222</v>
      </c>
      <c r="O5427" t="s">
        <v>19</v>
      </c>
    </row>
    <row r="5428" spans="1:15" x14ac:dyDescent="0.25">
      <c r="A5428" t="s">
        <v>4080</v>
      </c>
      <c r="B5428" t="s">
        <v>15</v>
      </c>
      <c r="C5428" t="s">
        <v>27</v>
      </c>
      <c r="D5428" t="s">
        <v>17</v>
      </c>
      <c r="E5428" t="s">
        <v>18</v>
      </c>
      <c r="F5428" t="s">
        <v>19</v>
      </c>
      <c r="G5428" t="s">
        <v>20</v>
      </c>
      <c r="J5428" t="s">
        <v>17</v>
      </c>
      <c r="K5428" t="str">
        <f>"765114131"</f>
        <v>765114131</v>
      </c>
      <c r="L5428" t="str">
        <f>"765114131"</f>
        <v>765114131</v>
      </c>
      <c r="M5428" t="s">
        <v>75</v>
      </c>
      <c r="N5428" s="1">
        <v>43236.916666666664</v>
      </c>
      <c r="O5428" t="s">
        <v>19</v>
      </c>
    </row>
    <row r="5429" spans="1:15" x14ac:dyDescent="0.25">
      <c r="A5429" t="s">
        <v>4080</v>
      </c>
      <c r="B5429" t="s">
        <v>15</v>
      </c>
      <c r="C5429" t="s">
        <v>27</v>
      </c>
      <c r="D5429" t="s">
        <v>17</v>
      </c>
      <c r="E5429" t="s">
        <v>18</v>
      </c>
      <c r="F5429" t="s">
        <v>19</v>
      </c>
      <c r="G5429" t="s">
        <v>20</v>
      </c>
      <c r="J5429" t="s">
        <v>17</v>
      </c>
      <c r="K5429" t="str">
        <f>"766114131"</f>
        <v>766114131</v>
      </c>
      <c r="L5429" t="str">
        <f>"766114131"</f>
        <v>766114131</v>
      </c>
      <c r="M5429" t="s">
        <v>84</v>
      </c>
      <c r="N5429" s="1">
        <v>43272.798611111109</v>
      </c>
      <c r="O5429" t="s">
        <v>19</v>
      </c>
    </row>
    <row r="5430" spans="1:15" x14ac:dyDescent="0.25">
      <c r="A5430" t="s">
        <v>4080</v>
      </c>
      <c r="B5430" t="s">
        <v>15</v>
      </c>
      <c r="C5430" t="s">
        <v>27</v>
      </c>
      <c r="D5430" t="s">
        <v>17</v>
      </c>
      <c r="E5430" t="s">
        <v>18</v>
      </c>
      <c r="F5430" t="s">
        <v>19</v>
      </c>
      <c r="G5430" t="s">
        <v>20</v>
      </c>
      <c r="J5430" t="s">
        <v>17</v>
      </c>
      <c r="K5430" t="str">
        <f>"764814131"</f>
        <v>764814131</v>
      </c>
      <c r="L5430" t="str">
        <f>"764814131"</f>
        <v>764814131</v>
      </c>
      <c r="M5430" t="s">
        <v>84</v>
      </c>
      <c r="N5430" s="1">
        <v>43286.978472222225</v>
      </c>
      <c r="O5430" t="s">
        <v>19</v>
      </c>
    </row>
    <row r="5431" spans="1:15" x14ac:dyDescent="0.25">
      <c r="A5431" t="s">
        <v>4080</v>
      </c>
      <c r="B5431" t="s">
        <v>15</v>
      </c>
      <c r="C5431" t="s">
        <v>27</v>
      </c>
      <c r="D5431" t="s">
        <v>17</v>
      </c>
      <c r="E5431" t="s">
        <v>18</v>
      </c>
      <c r="F5431" t="s">
        <v>19</v>
      </c>
      <c r="G5431" t="s">
        <v>20</v>
      </c>
      <c r="J5431" t="s">
        <v>17</v>
      </c>
      <c r="K5431" t="str">
        <f>"615114131"</f>
        <v>615114131</v>
      </c>
      <c r="L5431" t="str">
        <f>"615114131"</f>
        <v>615114131</v>
      </c>
      <c r="M5431" t="s">
        <v>84</v>
      </c>
      <c r="N5431" s="1">
        <v>43328.624305555553</v>
      </c>
      <c r="O5431" t="s">
        <v>19</v>
      </c>
    </row>
    <row r="5432" spans="1:15" x14ac:dyDescent="0.25">
      <c r="A5432" t="s">
        <v>4080</v>
      </c>
      <c r="B5432" t="s">
        <v>15</v>
      </c>
      <c r="C5432" t="s">
        <v>27</v>
      </c>
      <c r="D5432" t="s">
        <v>17</v>
      </c>
      <c r="E5432" t="s">
        <v>18</v>
      </c>
      <c r="F5432" t="s">
        <v>19</v>
      </c>
      <c r="G5432" t="s">
        <v>20</v>
      </c>
      <c r="J5432" t="s">
        <v>17</v>
      </c>
      <c r="K5432" t="str">
        <f>"645114131"</f>
        <v>645114131</v>
      </c>
      <c r="L5432" t="str">
        <f>"645114131"</f>
        <v>645114131</v>
      </c>
      <c r="M5432" t="s">
        <v>84</v>
      </c>
      <c r="N5432" s="1">
        <v>43336.634722222225</v>
      </c>
      <c r="O5432" t="s">
        <v>19</v>
      </c>
    </row>
    <row r="5433" spans="1:15" x14ac:dyDescent="0.25">
      <c r="A5433" t="s">
        <v>4080</v>
      </c>
      <c r="B5433" t="s">
        <v>15</v>
      </c>
      <c r="C5433" t="s">
        <v>27</v>
      </c>
      <c r="D5433" t="s">
        <v>17</v>
      </c>
      <c r="E5433" t="s">
        <v>18</v>
      </c>
      <c r="F5433" t="s">
        <v>19</v>
      </c>
      <c r="G5433" t="s">
        <v>20</v>
      </c>
      <c r="J5433" t="s">
        <v>17</v>
      </c>
      <c r="K5433" t="str">
        <f>"866414131"</f>
        <v>866414131</v>
      </c>
      <c r="L5433" t="str">
        <f>"866414131"</f>
        <v>866414131</v>
      </c>
      <c r="M5433" t="s">
        <v>84</v>
      </c>
      <c r="N5433" s="1">
        <v>43364.936805555553</v>
      </c>
      <c r="O5433" t="s">
        <v>19</v>
      </c>
    </row>
    <row r="5434" spans="1:15" x14ac:dyDescent="0.25">
      <c r="A5434" t="s">
        <v>4081</v>
      </c>
      <c r="B5434" t="s">
        <v>15</v>
      </c>
      <c r="C5434" t="s">
        <v>27</v>
      </c>
      <c r="D5434" t="s">
        <v>17</v>
      </c>
      <c r="E5434" t="s">
        <v>18</v>
      </c>
      <c r="F5434" t="s">
        <v>19</v>
      </c>
      <c r="G5434" t="s">
        <v>20</v>
      </c>
      <c r="J5434" t="s">
        <v>17</v>
      </c>
      <c r="K5434" t="str">
        <f>"174814136"</f>
        <v>174814136</v>
      </c>
      <c r="L5434" t="str">
        <f>"174814291"</f>
        <v>174814291</v>
      </c>
      <c r="M5434" t="s">
        <v>21</v>
      </c>
      <c r="N5434" s="1">
        <v>42872.849305555559</v>
      </c>
      <c r="O5434" t="s">
        <v>19</v>
      </c>
    </row>
    <row r="5435" spans="1:15" x14ac:dyDescent="0.25">
      <c r="A5435" t="s">
        <v>4082</v>
      </c>
      <c r="B5435" t="s">
        <v>15</v>
      </c>
      <c r="C5435" t="s">
        <v>27</v>
      </c>
      <c r="D5435" t="s">
        <v>17</v>
      </c>
      <c r="E5435" t="s">
        <v>18</v>
      </c>
      <c r="F5435" t="s">
        <v>19</v>
      </c>
      <c r="G5435" t="s">
        <v>20</v>
      </c>
      <c r="J5435" t="s">
        <v>17</v>
      </c>
      <c r="K5435" t="str">
        <f>"174714108"</f>
        <v>174714108</v>
      </c>
      <c r="L5435" t="str">
        <f>"174714108"</f>
        <v>174714108</v>
      </c>
      <c r="M5435" t="s">
        <v>75</v>
      </c>
      <c r="N5435" s="1">
        <v>42872.849305555559</v>
      </c>
      <c r="O5435" t="s">
        <v>19</v>
      </c>
    </row>
    <row r="5436" spans="1:15" x14ac:dyDescent="0.25">
      <c r="A5436" t="s">
        <v>4082</v>
      </c>
      <c r="B5436" t="s">
        <v>15</v>
      </c>
      <c r="C5436" t="s">
        <v>27</v>
      </c>
      <c r="D5436" t="s">
        <v>17</v>
      </c>
      <c r="E5436" t="s">
        <v>18</v>
      </c>
      <c r="F5436" t="s">
        <v>19</v>
      </c>
      <c r="G5436" t="s">
        <v>20</v>
      </c>
      <c r="J5436" t="s">
        <v>17</v>
      </c>
      <c r="K5436" t="str">
        <f>"764614108"</f>
        <v>764614108</v>
      </c>
      <c r="L5436" t="str">
        <f>"764614108"</f>
        <v>764614108</v>
      </c>
      <c r="M5436" t="s">
        <v>75</v>
      </c>
      <c r="N5436" s="1">
        <v>42872.849305555559</v>
      </c>
      <c r="O5436" t="s">
        <v>19</v>
      </c>
    </row>
    <row r="5437" spans="1:15" x14ac:dyDescent="0.25">
      <c r="A5437" t="s">
        <v>4082</v>
      </c>
      <c r="B5437" t="s">
        <v>15</v>
      </c>
      <c r="C5437" t="s">
        <v>27</v>
      </c>
      <c r="D5437" t="s">
        <v>17</v>
      </c>
      <c r="E5437" t="s">
        <v>18</v>
      </c>
      <c r="F5437" t="s">
        <v>19</v>
      </c>
      <c r="G5437" t="s">
        <v>20</v>
      </c>
      <c r="J5437" t="s">
        <v>17</v>
      </c>
      <c r="K5437" t="str">
        <f>"764914108"</f>
        <v>764914108</v>
      </c>
      <c r="L5437" t="str">
        <f>"764914108"</f>
        <v>764914108</v>
      </c>
      <c r="M5437" t="s">
        <v>75</v>
      </c>
      <c r="N5437" s="1">
        <v>42872.849305555559</v>
      </c>
      <c r="O5437" t="s">
        <v>19</v>
      </c>
    </row>
    <row r="5438" spans="1:15" x14ac:dyDescent="0.25">
      <c r="A5438" t="s">
        <v>4083</v>
      </c>
      <c r="B5438" t="s">
        <v>15</v>
      </c>
      <c r="C5438" t="s">
        <v>27</v>
      </c>
      <c r="D5438" t="s">
        <v>17</v>
      </c>
      <c r="E5438" t="s">
        <v>18</v>
      </c>
      <c r="F5438" t="s">
        <v>19</v>
      </c>
      <c r="G5438" t="s">
        <v>20</v>
      </c>
      <c r="J5438" t="s">
        <v>17</v>
      </c>
      <c r="K5438" t="str">
        <f>"764814108"</f>
        <v>764814108</v>
      </c>
      <c r="L5438" t="str">
        <f>"764814108"</f>
        <v>764814108</v>
      </c>
      <c r="M5438" t="s">
        <v>75</v>
      </c>
      <c r="N5438" s="1">
        <v>42872.849305555559</v>
      </c>
      <c r="O5438" t="s">
        <v>19</v>
      </c>
    </row>
    <row r="5439" spans="1:15" x14ac:dyDescent="0.25">
      <c r="A5439" t="s">
        <v>4084</v>
      </c>
      <c r="B5439" t="s">
        <v>15</v>
      </c>
      <c r="C5439" t="s">
        <v>27</v>
      </c>
      <c r="D5439" t="s">
        <v>17</v>
      </c>
      <c r="E5439" t="s">
        <v>18</v>
      </c>
      <c r="F5439" t="s">
        <v>19</v>
      </c>
      <c r="G5439" t="s">
        <v>20</v>
      </c>
      <c r="J5439" t="s">
        <v>17</v>
      </c>
      <c r="K5439" t="str">
        <f>"174714194"</f>
        <v>174714194</v>
      </c>
      <c r="L5439" t="str">
        <f>"174714194"</f>
        <v>174714194</v>
      </c>
      <c r="M5439" t="s">
        <v>75</v>
      </c>
      <c r="N5439" s="1">
        <v>42872.849305555559</v>
      </c>
      <c r="O5439" t="s">
        <v>19</v>
      </c>
    </row>
    <row r="5440" spans="1:15" x14ac:dyDescent="0.25">
      <c r="A5440" t="s">
        <v>4084</v>
      </c>
      <c r="B5440" t="s">
        <v>15</v>
      </c>
      <c r="C5440" t="s">
        <v>27</v>
      </c>
      <c r="D5440" t="s">
        <v>17</v>
      </c>
      <c r="E5440" t="s">
        <v>18</v>
      </c>
      <c r="F5440" t="s">
        <v>19</v>
      </c>
      <c r="G5440" t="s">
        <v>20</v>
      </c>
      <c r="J5440" t="s">
        <v>17</v>
      </c>
      <c r="K5440" t="str">
        <f>"174807194"</f>
        <v>174807194</v>
      </c>
      <c r="L5440" t="str">
        <f>"174807194"</f>
        <v>174807194</v>
      </c>
      <c r="M5440" t="s">
        <v>75</v>
      </c>
      <c r="N5440" s="1">
        <v>42872.849305555559</v>
      </c>
      <c r="O5440" t="s">
        <v>19</v>
      </c>
    </row>
    <row r="5441" spans="1:15" x14ac:dyDescent="0.25">
      <c r="A5441" t="s">
        <v>4084</v>
      </c>
      <c r="B5441" t="s">
        <v>15</v>
      </c>
      <c r="C5441" t="s">
        <v>27</v>
      </c>
      <c r="D5441" t="s">
        <v>17</v>
      </c>
      <c r="E5441" t="s">
        <v>18</v>
      </c>
      <c r="F5441" t="s">
        <v>19</v>
      </c>
      <c r="G5441" t="s">
        <v>20</v>
      </c>
      <c r="J5441" t="s">
        <v>17</v>
      </c>
      <c r="K5441" t="str">
        <f>"174814194"</f>
        <v>174814194</v>
      </c>
      <c r="L5441" t="str">
        <f>"174814194"</f>
        <v>174814194</v>
      </c>
      <c r="M5441" t="s">
        <v>75</v>
      </c>
      <c r="N5441" s="1">
        <v>42872.849305555559</v>
      </c>
      <c r="O5441" t="s">
        <v>19</v>
      </c>
    </row>
    <row r="5442" spans="1:15" x14ac:dyDescent="0.25">
      <c r="A5442" t="s">
        <v>4084</v>
      </c>
      <c r="B5442" t="s">
        <v>15</v>
      </c>
      <c r="C5442" t="s">
        <v>27</v>
      </c>
      <c r="D5442" t="s">
        <v>17</v>
      </c>
      <c r="E5442" t="s">
        <v>18</v>
      </c>
      <c r="F5442" t="s">
        <v>19</v>
      </c>
      <c r="G5442" t="s">
        <v>20</v>
      </c>
      <c r="J5442" t="s">
        <v>17</v>
      </c>
      <c r="K5442" t="str">
        <f>"174814108"</f>
        <v>174814108</v>
      </c>
      <c r="L5442" t="str">
        <f>"174814108"</f>
        <v>174814108</v>
      </c>
      <c r="M5442" t="s">
        <v>75</v>
      </c>
      <c r="N5442" s="1">
        <v>42872.849305555559</v>
      </c>
      <c r="O5442" t="s">
        <v>19</v>
      </c>
    </row>
    <row r="5443" spans="1:15" x14ac:dyDescent="0.25">
      <c r="A5443" t="s">
        <v>4084</v>
      </c>
      <c r="B5443" t="s">
        <v>15</v>
      </c>
      <c r="C5443" t="s">
        <v>27</v>
      </c>
      <c r="D5443" t="s">
        <v>17</v>
      </c>
      <c r="E5443" t="s">
        <v>18</v>
      </c>
      <c r="F5443" t="s">
        <v>19</v>
      </c>
      <c r="G5443" t="s">
        <v>20</v>
      </c>
      <c r="J5443" t="s">
        <v>17</v>
      </c>
      <c r="K5443" t="str">
        <f>"767514194"</f>
        <v>767514194</v>
      </c>
      <c r="L5443" t="str">
        <f>"767514194"</f>
        <v>767514194</v>
      </c>
      <c r="M5443" t="s">
        <v>75</v>
      </c>
      <c r="N5443" s="1">
        <v>42872.849305555559</v>
      </c>
      <c r="O5443" t="s">
        <v>19</v>
      </c>
    </row>
    <row r="5444" spans="1:15" x14ac:dyDescent="0.25">
      <c r="A5444" t="s">
        <v>4084</v>
      </c>
      <c r="B5444" t="s">
        <v>15</v>
      </c>
      <c r="C5444" t="s">
        <v>27</v>
      </c>
      <c r="D5444" t="s">
        <v>17</v>
      </c>
      <c r="E5444" t="s">
        <v>18</v>
      </c>
      <c r="F5444" t="s">
        <v>19</v>
      </c>
      <c r="G5444" t="s">
        <v>20</v>
      </c>
      <c r="J5444" t="s">
        <v>17</v>
      </c>
      <c r="K5444" t="str">
        <f>"935114108"</f>
        <v>935114108</v>
      </c>
      <c r="L5444" t="str">
        <f>"935114108"</f>
        <v>935114108</v>
      </c>
      <c r="M5444" t="s">
        <v>84</v>
      </c>
      <c r="N5444" s="1">
        <v>43267.789583333331</v>
      </c>
      <c r="O5444" t="s">
        <v>19</v>
      </c>
    </row>
    <row r="5445" spans="1:15" x14ac:dyDescent="0.25">
      <c r="A5445" t="s">
        <v>4085</v>
      </c>
      <c r="B5445" t="s">
        <v>15</v>
      </c>
      <c r="C5445" t="s">
        <v>27</v>
      </c>
      <c r="D5445" t="s">
        <v>17</v>
      </c>
      <c r="E5445" t="s">
        <v>18</v>
      </c>
      <c r="F5445" t="s">
        <v>19</v>
      </c>
      <c r="G5445" t="s">
        <v>20</v>
      </c>
      <c r="J5445" t="s">
        <v>17</v>
      </c>
      <c r="K5445" t="str">
        <f>"766214255"</f>
        <v>766214255</v>
      </c>
      <c r="L5445" t="str">
        <f>"766214255"</f>
        <v>766214255</v>
      </c>
      <c r="M5445" t="s">
        <v>21</v>
      </c>
      <c r="N5445" s="1">
        <v>44251.852777777778</v>
      </c>
      <c r="O5445" t="s">
        <v>19</v>
      </c>
    </row>
    <row r="5446" spans="1:15" x14ac:dyDescent="0.25">
      <c r="A5446" t="s">
        <v>4086</v>
      </c>
      <c r="B5446" t="s">
        <v>15</v>
      </c>
      <c r="C5446" t="s">
        <v>27</v>
      </c>
      <c r="D5446" t="s">
        <v>17</v>
      </c>
      <c r="E5446" t="s">
        <v>18</v>
      </c>
      <c r="F5446" t="s">
        <v>19</v>
      </c>
      <c r="G5446" t="s">
        <v>20</v>
      </c>
      <c r="J5446" t="s">
        <v>17</v>
      </c>
      <c r="K5446" t="str">
        <f>"17481445"</f>
        <v>17481445</v>
      </c>
      <c r="L5446" t="str">
        <f>"17481445"</f>
        <v>17481445</v>
      </c>
      <c r="M5446" t="s">
        <v>75</v>
      </c>
      <c r="N5446" s="1">
        <v>42872.839583333334</v>
      </c>
      <c r="O5446" t="s">
        <v>19</v>
      </c>
    </row>
    <row r="5447" spans="1:15" x14ac:dyDescent="0.25">
      <c r="A5447" t="s">
        <v>4086</v>
      </c>
      <c r="B5447" t="s">
        <v>15</v>
      </c>
      <c r="C5447" t="s">
        <v>27</v>
      </c>
      <c r="D5447" t="s">
        <v>17</v>
      </c>
      <c r="E5447" t="s">
        <v>18</v>
      </c>
      <c r="F5447" t="s">
        <v>19</v>
      </c>
      <c r="G5447" t="s">
        <v>20</v>
      </c>
      <c r="J5447" t="s">
        <v>17</v>
      </c>
      <c r="K5447" t="str">
        <f>"34581445"</f>
        <v>34581445</v>
      </c>
      <c r="L5447" t="str">
        <f>"34581445"</f>
        <v>34581445</v>
      </c>
      <c r="M5447" t="s">
        <v>75</v>
      </c>
      <c r="N5447" s="1">
        <v>42872.839583333334</v>
      </c>
      <c r="O5447" t="s">
        <v>19</v>
      </c>
    </row>
    <row r="5448" spans="1:15" x14ac:dyDescent="0.25">
      <c r="A5448" t="s">
        <v>4086</v>
      </c>
      <c r="B5448" t="s">
        <v>15</v>
      </c>
      <c r="C5448" t="s">
        <v>27</v>
      </c>
      <c r="D5448" t="s">
        <v>17</v>
      </c>
      <c r="E5448" t="s">
        <v>18</v>
      </c>
      <c r="F5448" t="s">
        <v>19</v>
      </c>
      <c r="G5448" t="s">
        <v>20</v>
      </c>
      <c r="J5448" t="s">
        <v>17</v>
      </c>
      <c r="K5448" t="str">
        <f>"34771445"</f>
        <v>34771445</v>
      </c>
      <c r="L5448" t="str">
        <f>"34771445"</f>
        <v>34771445</v>
      </c>
      <c r="M5448" t="s">
        <v>75</v>
      </c>
      <c r="N5448" s="1">
        <v>42872.839583333334</v>
      </c>
      <c r="O5448" t="s">
        <v>19</v>
      </c>
    </row>
    <row r="5449" spans="1:15" x14ac:dyDescent="0.25">
      <c r="A5449" t="s">
        <v>4086</v>
      </c>
      <c r="B5449" t="s">
        <v>15</v>
      </c>
      <c r="C5449" t="s">
        <v>27</v>
      </c>
      <c r="D5449" t="s">
        <v>17</v>
      </c>
      <c r="E5449" t="s">
        <v>18</v>
      </c>
      <c r="F5449" t="s">
        <v>19</v>
      </c>
      <c r="G5449" t="s">
        <v>20</v>
      </c>
      <c r="J5449" t="s">
        <v>17</v>
      </c>
      <c r="K5449" t="str">
        <f>"76261445"</f>
        <v>76261445</v>
      </c>
      <c r="L5449" t="str">
        <f>"76261445"</f>
        <v>76261445</v>
      </c>
      <c r="M5449" t="s">
        <v>75</v>
      </c>
      <c r="N5449" s="1">
        <v>42872.847222222219</v>
      </c>
      <c r="O5449" t="s">
        <v>19</v>
      </c>
    </row>
    <row r="5450" spans="1:15" x14ac:dyDescent="0.25">
      <c r="A5450" t="s">
        <v>4086</v>
      </c>
      <c r="B5450" t="s">
        <v>15</v>
      </c>
      <c r="C5450" t="s">
        <v>27</v>
      </c>
      <c r="D5450" t="s">
        <v>17</v>
      </c>
      <c r="E5450" t="s">
        <v>18</v>
      </c>
      <c r="F5450" t="s">
        <v>19</v>
      </c>
      <c r="G5450" t="s">
        <v>20</v>
      </c>
      <c r="J5450" t="s">
        <v>17</v>
      </c>
      <c r="K5450" t="str">
        <f>"76261447"</f>
        <v>76261447</v>
      </c>
      <c r="L5450" t="str">
        <f>"76261447"</f>
        <v>76261447</v>
      </c>
      <c r="M5450" t="s">
        <v>75</v>
      </c>
      <c r="N5450" s="1">
        <v>42872.847222222219</v>
      </c>
      <c r="O5450" t="s">
        <v>19</v>
      </c>
    </row>
    <row r="5451" spans="1:15" x14ac:dyDescent="0.25">
      <c r="A5451" t="s">
        <v>4086</v>
      </c>
      <c r="B5451" t="s">
        <v>15</v>
      </c>
      <c r="C5451" t="s">
        <v>27</v>
      </c>
      <c r="D5451" t="s">
        <v>17</v>
      </c>
      <c r="E5451" t="s">
        <v>18</v>
      </c>
      <c r="F5451" t="s">
        <v>19</v>
      </c>
      <c r="G5451" t="s">
        <v>20</v>
      </c>
      <c r="J5451" t="s">
        <v>17</v>
      </c>
      <c r="K5451" t="str">
        <f>"76471445"</f>
        <v>76471445</v>
      </c>
      <c r="L5451" t="str">
        <f>"76471445"</f>
        <v>76471445</v>
      </c>
      <c r="M5451" t="s">
        <v>75</v>
      </c>
      <c r="N5451" s="1">
        <v>42872.847222222219</v>
      </c>
      <c r="O5451" t="s">
        <v>19</v>
      </c>
    </row>
    <row r="5452" spans="1:15" x14ac:dyDescent="0.25">
      <c r="A5452" t="s">
        <v>4086</v>
      </c>
      <c r="B5452" t="s">
        <v>15</v>
      </c>
      <c r="C5452" t="s">
        <v>27</v>
      </c>
      <c r="D5452" t="s">
        <v>17</v>
      </c>
      <c r="E5452" t="s">
        <v>18</v>
      </c>
      <c r="F5452" t="s">
        <v>19</v>
      </c>
      <c r="G5452" t="s">
        <v>20</v>
      </c>
      <c r="J5452" t="s">
        <v>17</v>
      </c>
      <c r="K5452" t="str">
        <f>"76481445"</f>
        <v>76481445</v>
      </c>
      <c r="L5452" t="str">
        <f>"76481445"</f>
        <v>76481445</v>
      </c>
      <c r="M5452" t="s">
        <v>75</v>
      </c>
      <c r="N5452" s="1">
        <v>42872.847222222219</v>
      </c>
      <c r="O5452" t="s">
        <v>19</v>
      </c>
    </row>
    <row r="5453" spans="1:15" x14ac:dyDescent="0.25">
      <c r="A5453" t="s">
        <v>4086</v>
      </c>
      <c r="B5453" t="s">
        <v>15</v>
      </c>
      <c r="C5453" t="s">
        <v>27</v>
      </c>
      <c r="D5453" t="s">
        <v>17</v>
      </c>
      <c r="E5453" t="s">
        <v>18</v>
      </c>
      <c r="F5453" t="s">
        <v>19</v>
      </c>
      <c r="G5453" t="s">
        <v>20</v>
      </c>
      <c r="J5453" t="s">
        <v>17</v>
      </c>
      <c r="K5453" t="str">
        <f>"76581445"</f>
        <v>76581445</v>
      </c>
      <c r="L5453" t="str">
        <f>"76581445"</f>
        <v>76581445</v>
      </c>
      <c r="M5453" t="s">
        <v>75</v>
      </c>
      <c r="N5453" s="1">
        <v>42872.847222222219</v>
      </c>
      <c r="O5453" t="s">
        <v>19</v>
      </c>
    </row>
    <row r="5454" spans="1:15" x14ac:dyDescent="0.25">
      <c r="A5454" t="s">
        <v>4086</v>
      </c>
      <c r="B5454" t="s">
        <v>15</v>
      </c>
      <c r="C5454" t="s">
        <v>27</v>
      </c>
      <c r="D5454" t="s">
        <v>17</v>
      </c>
      <c r="E5454" t="s">
        <v>18</v>
      </c>
      <c r="F5454" t="s">
        <v>19</v>
      </c>
      <c r="G5454" t="s">
        <v>20</v>
      </c>
      <c r="J5454" t="s">
        <v>17</v>
      </c>
      <c r="K5454" t="str">
        <f>"76691445"</f>
        <v>76691445</v>
      </c>
      <c r="L5454" t="str">
        <f>"76691445"</f>
        <v>76691445</v>
      </c>
      <c r="M5454" t="s">
        <v>75</v>
      </c>
      <c r="N5454" s="1">
        <v>42872.847222222219</v>
      </c>
      <c r="O5454" t="s">
        <v>19</v>
      </c>
    </row>
    <row r="5455" spans="1:15" x14ac:dyDescent="0.25">
      <c r="A5455" t="s">
        <v>4086</v>
      </c>
      <c r="B5455" t="s">
        <v>15</v>
      </c>
      <c r="C5455" t="s">
        <v>27</v>
      </c>
      <c r="D5455" t="s">
        <v>17</v>
      </c>
      <c r="E5455" t="s">
        <v>18</v>
      </c>
      <c r="F5455" t="s">
        <v>19</v>
      </c>
      <c r="G5455" t="s">
        <v>20</v>
      </c>
      <c r="J5455" t="s">
        <v>17</v>
      </c>
      <c r="K5455" t="str">
        <f>"76751445"</f>
        <v>76751445</v>
      </c>
      <c r="L5455" t="str">
        <f>"76751445"</f>
        <v>76751445</v>
      </c>
      <c r="M5455" t="s">
        <v>75</v>
      </c>
      <c r="N5455" s="1">
        <v>42872.847222222219</v>
      </c>
      <c r="O5455" t="s">
        <v>19</v>
      </c>
    </row>
    <row r="5456" spans="1:15" x14ac:dyDescent="0.25">
      <c r="A5456" t="s">
        <v>4086</v>
      </c>
      <c r="B5456" t="s">
        <v>15</v>
      </c>
      <c r="C5456" t="s">
        <v>27</v>
      </c>
      <c r="D5456" t="s">
        <v>17</v>
      </c>
      <c r="E5456" t="s">
        <v>18</v>
      </c>
      <c r="F5456" t="s">
        <v>19</v>
      </c>
      <c r="G5456" t="s">
        <v>20</v>
      </c>
      <c r="J5456" t="s">
        <v>17</v>
      </c>
      <c r="K5456" t="str">
        <f>"76511445"</f>
        <v>76511445</v>
      </c>
      <c r="L5456" t="str">
        <f>"76511445"</f>
        <v>76511445</v>
      </c>
      <c r="M5456" t="s">
        <v>84</v>
      </c>
      <c r="N5456" s="1">
        <v>43351.675000000003</v>
      </c>
      <c r="O5456" t="s">
        <v>19</v>
      </c>
    </row>
    <row r="5457" spans="1:15" x14ac:dyDescent="0.25">
      <c r="A5457" t="s">
        <v>4087</v>
      </c>
      <c r="B5457" t="s">
        <v>15</v>
      </c>
      <c r="C5457" t="s">
        <v>27</v>
      </c>
      <c r="D5457" t="s">
        <v>17</v>
      </c>
      <c r="E5457" t="s">
        <v>18</v>
      </c>
      <c r="F5457" t="s">
        <v>19</v>
      </c>
      <c r="G5457" t="s">
        <v>20</v>
      </c>
      <c r="J5457" t="s">
        <v>17</v>
      </c>
      <c r="K5457" t="str">
        <f>"174714270"</f>
        <v>174714270</v>
      </c>
      <c r="L5457" t="str">
        <f>"174714270"</f>
        <v>174714270</v>
      </c>
      <c r="M5457" t="s">
        <v>75</v>
      </c>
      <c r="N5457" s="1">
        <v>42872.849305555559</v>
      </c>
      <c r="O5457" t="s">
        <v>19</v>
      </c>
    </row>
    <row r="5458" spans="1:15" x14ac:dyDescent="0.25">
      <c r="A5458" t="s">
        <v>4087</v>
      </c>
      <c r="B5458" t="s">
        <v>15</v>
      </c>
      <c r="C5458" t="s">
        <v>27</v>
      </c>
      <c r="D5458" t="s">
        <v>17</v>
      </c>
      <c r="E5458" t="s">
        <v>18</v>
      </c>
      <c r="F5458" t="s">
        <v>19</v>
      </c>
      <c r="G5458" t="s">
        <v>20</v>
      </c>
      <c r="J5458" t="s">
        <v>17</v>
      </c>
      <c r="K5458" t="str">
        <f>"174814270"</f>
        <v>174814270</v>
      </c>
      <c r="L5458" t="str">
        <f>"174814270"</f>
        <v>174814270</v>
      </c>
      <c r="M5458" t="s">
        <v>75</v>
      </c>
      <c r="N5458" s="1">
        <v>42872.849305555559</v>
      </c>
      <c r="O5458" t="s">
        <v>19</v>
      </c>
    </row>
    <row r="5459" spans="1:15" x14ac:dyDescent="0.25">
      <c r="A5459" t="s">
        <v>4087</v>
      </c>
      <c r="B5459" t="s">
        <v>15</v>
      </c>
      <c r="C5459" t="s">
        <v>27</v>
      </c>
      <c r="D5459" t="s">
        <v>17</v>
      </c>
      <c r="E5459" t="s">
        <v>18</v>
      </c>
      <c r="F5459" t="s">
        <v>19</v>
      </c>
      <c r="G5459" t="s">
        <v>20</v>
      </c>
      <c r="J5459" t="s">
        <v>17</v>
      </c>
      <c r="K5459" t="str">
        <f>"175814270"</f>
        <v>175814270</v>
      </c>
      <c r="L5459" t="str">
        <f>"175814270"</f>
        <v>175814270</v>
      </c>
      <c r="M5459" t="s">
        <v>75</v>
      </c>
      <c r="N5459" s="1">
        <v>42872.849305555559</v>
      </c>
      <c r="O5459" t="s">
        <v>19</v>
      </c>
    </row>
    <row r="5460" spans="1:15" x14ac:dyDescent="0.25">
      <c r="A5460" t="s">
        <v>4087</v>
      </c>
      <c r="B5460" t="s">
        <v>15</v>
      </c>
      <c r="C5460" t="s">
        <v>27</v>
      </c>
      <c r="D5460" t="s">
        <v>17</v>
      </c>
      <c r="E5460" t="s">
        <v>18</v>
      </c>
      <c r="F5460" t="s">
        <v>19</v>
      </c>
      <c r="G5460" t="s">
        <v>20</v>
      </c>
      <c r="J5460" t="s">
        <v>17</v>
      </c>
      <c r="K5460" t="str">
        <f>"767614270"</f>
        <v>767614270</v>
      </c>
      <c r="L5460" t="str">
        <f>"767614270"</f>
        <v>767614270</v>
      </c>
      <c r="M5460" t="s">
        <v>75</v>
      </c>
      <c r="N5460" s="1">
        <v>42872.849305555559</v>
      </c>
      <c r="O5460" t="s">
        <v>19</v>
      </c>
    </row>
    <row r="5461" spans="1:15" x14ac:dyDescent="0.25">
      <c r="A5461" t="s">
        <v>4087</v>
      </c>
      <c r="B5461" t="s">
        <v>15</v>
      </c>
      <c r="C5461" t="s">
        <v>27</v>
      </c>
      <c r="D5461" t="s">
        <v>17</v>
      </c>
      <c r="E5461" t="s">
        <v>18</v>
      </c>
      <c r="F5461" t="s">
        <v>19</v>
      </c>
      <c r="G5461" t="s">
        <v>20</v>
      </c>
      <c r="J5461" t="s">
        <v>17</v>
      </c>
      <c r="K5461" t="str">
        <f>"764814270"</f>
        <v>764814270</v>
      </c>
      <c r="L5461" t="str">
        <f>"764814270"</f>
        <v>764814270</v>
      </c>
      <c r="M5461" t="s">
        <v>75</v>
      </c>
      <c r="N5461" s="1">
        <v>42959.722222222219</v>
      </c>
      <c r="O5461" t="s">
        <v>19</v>
      </c>
    </row>
    <row r="5462" spans="1:15" x14ac:dyDescent="0.25">
      <c r="A5462" t="s">
        <v>4087</v>
      </c>
      <c r="B5462" t="s">
        <v>15</v>
      </c>
      <c r="C5462" t="s">
        <v>27</v>
      </c>
      <c r="D5462" t="s">
        <v>17</v>
      </c>
      <c r="E5462" t="s">
        <v>18</v>
      </c>
      <c r="F5462" t="s">
        <v>19</v>
      </c>
      <c r="G5462" t="s">
        <v>20</v>
      </c>
      <c r="J5462" t="s">
        <v>17</v>
      </c>
      <c r="K5462" t="str">
        <f>"344814270"</f>
        <v>344814270</v>
      </c>
      <c r="L5462" t="str">
        <f>"344814270"</f>
        <v>344814270</v>
      </c>
      <c r="M5462" t="s">
        <v>75</v>
      </c>
      <c r="N5462" s="1">
        <v>43066.755555555559</v>
      </c>
      <c r="O5462" t="s">
        <v>19</v>
      </c>
    </row>
    <row r="5463" spans="1:15" x14ac:dyDescent="0.25">
      <c r="A5463" t="s">
        <v>4087</v>
      </c>
      <c r="B5463" t="s">
        <v>15</v>
      </c>
      <c r="C5463" t="s">
        <v>27</v>
      </c>
      <c r="D5463" t="s">
        <v>17</v>
      </c>
      <c r="E5463" t="s">
        <v>18</v>
      </c>
      <c r="F5463" t="s">
        <v>19</v>
      </c>
      <c r="G5463" t="s">
        <v>20</v>
      </c>
      <c r="J5463" t="s">
        <v>17</v>
      </c>
      <c r="K5463" t="str">
        <f>"765114270"</f>
        <v>765114270</v>
      </c>
      <c r="L5463" t="str">
        <f>"765114270"</f>
        <v>765114270</v>
      </c>
      <c r="M5463" t="s">
        <v>75</v>
      </c>
      <c r="N5463" s="1">
        <v>43196.71597222222</v>
      </c>
      <c r="O5463" t="s">
        <v>19</v>
      </c>
    </row>
    <row r="5464" spans="1:15" x14ac:dyDescent="0.25">
      <c r="A5464" t="s">
        <v>4087</v>
      </c>
      <c r="B5464" t="s">
        <v>15</v>
      </c>
      <c r="C5464" t="s">
        <v>27</v>
      </c>
      <c r="D5464" t="s">
        <v>17</v>
      </c>
      <c r="E5464" t="s">
        <v>18</v>
      </c>
      <c r="F5464" t="s">
        <v>19</v>
      </c>
      <c r="G5464" t="s">
        <v>20</v>
      </c>
      <c r="J5464" t="s">
        <v>17</v>
      </c>
      <c r="K5464" t="str">
        <f>"765914270"</f>
        <v>765914270</v>
      </c>
      <c r="L5464" t="str">
        <f>"765914270"</f>
        <v>765914270</v>
      </c>
      <c r="M5464" t="s">
        <v>84</v>
      </c>
      <c r="N5464" s="1">
        <v>43286.984722222223</v>
      </c>
      <c r="O5464" t="s">
        <v>19</v>
      </c>
    </row>
    <row r="5465" spans="1:15" x14ac:dyDescent="0.25">
      <c r="A5465" t="s">
        <v>4087</v>
      </c>
      <c r="B5465" t="s">
        <v>15</v>
      </c>
      <c r="C5465" t="s">
        <v>27</v>
      </c>
      <c r="D5465" t="s">
        <v>17</v>
      </c>
      <c r="E5465" t="s">
        <v>18</v>
      </c>
      <c r="F5465" t="s">
        <v>19</v>
      </c>
      <c r="G5465" t="s">
        <v>20</v>
      </c>
      <c r="J5465" t="s">
        <v>17</v>
      </c>
      <c r="K5465" t="str">
        <f>"764714283"</f>
        <v>764714283</v>
      </c>
      <c r="L5465" t="str">
        <f>"764714283"</f>
        <v>764714283</v>
      </c>
      <c r="M5465" t="s">
        <v>84</v>
      </c>
      <c r="N5465" s="1">
        <v>43321.671527777777</v>
      </c>
      <c r="O5465" t="s">
        <v>19</v>
      </c>
    </row>
    <row r="5466" spans="1:15" x14ac:dyDescent="0.25">
      <c r="A5466" t="s">
        <v>4088</v>
      </c>
      <c r="B5466" t="s">
        <v>15</v>
      </c>
      <c r="C5466" t="s">
        <v>27</v>
      </c>
      <c r="D5466" t="s">
        <v>17</v>
      </c>
      <c r="E5466" t="s">
        <v>18</v>
      </c>
      <c r="F5466" t="s">
        <v>19</v>
      </c>
      <c r="G5466" t="s">
        <v>20</v>
      </c>
      <c r="J5466" t="s">
        <v>17</v>
      </c>
      <c r="K5466" t="str">
        <f>"767514128"</f>
        <v>767514128</v>
      </c>
      <c r="L5466" t="str">
        <f>"767514128"</f>
        <v>767514128</v>
      </c>
      <c r="M5466" t="s">
        <v>75</v>
      </c>
      <c r="N5466" s="1">
        <v>42987.892361111109</v>
      </c>
      <c r="O5466" t="s">
        <v>19</v>
      </c>
    </row>
    <row r="5467" spans="1:15" x14ac:dyDescent="0.25">
      <c r="A5467" t="s">
        <v>4088</v>
      </c>
      <c r="B5467" t="s">
        <v>15</v>
      </c>
      <c r="C5467" t="s">
        <v>27</v>
      </c>
      <c r="D5467" t="s">
        <v>17</v>
      </c>
      <c r="E5467" t="s">
        <v>18</v>
      </c>
      <c r="F5467" t="s">
        <v>19</v>
      </c>
      <c r="G5467" t="s">
        <v>20</v>
      </c>
      <c r="J5467" t="s">
        <v>17</v>
      </c>
      <c r="K5467" t="str">
        <f>"764814128"</f>
        <v>764814128</v>
      </c>
      <c r="L5467" t="str">
        <f>"764814128"</f>
        <v>764814128</v>
      </c>
      <c r="M5467" t="s">
        <v>75</v>
      </c>
      <c r="N5467" s="1">
        <v>43064.707638888889</v>
      </c>
      <c r="O5467" t="s">
        <v>19</v>
      </c>
    </row>
    <row r="5468" spans="1:15" x14ac:dyDescent="0.25">
      <c r="A5468" t="s">
        <v>4089</v>
      </c>
      <c r="B5468" t="s">
        <v>15</v>
      </c>
      <c r="C5468" t="s">
        <v>27</v>
      </c>
      <c r="D5468" t="s">
        <v>17</v>
      </c>
      <c r="E5468" t="s">
        <v>18</v>
      </c>
      <c r="F5468" t="s">
        <v>19</v>
      </c>
      <c r="G5468" t="s">
        <v>20</v>
      </c>
      <c r="J5468" t="s">
        <v>17</v>
      </c>
      <c r="K5468" t="str">
        <f>"767714128"</f>
        <v>767714128</v>
      </c>
      <c r="L5468" t="str">
        <f>"767714128"</f>
        <v>767714128</v>
      </c>
      <c r="M5468" t="s">
        <v>75</v>
      </c>
      <c r="N5468" s="1">
        <v>43064.712500000001</v>
      </c>
      <c r="O5468" t="s">
        <v>19</v>
      </c>
    </row>
    <row r="5469" spans="1:15" x14ac:dyDescent="0.25">
      <c r="A5469" t="s">
        <v>4088</v>
      </c>
      <c r="B5469" t="s">
        <v>15</v>
      </c>
      <c r="C5469" t="s">
        <v>27</v>
      </c>
      <c r="D5469" t="s">
        <v>17</v>
      </c>
      <c r="E5469" t="s">
        <v>18</v>
      </c>
      <c r="F5469" t="s">
        <v>19</v>
      </c>
      <c r="G5469" t="s">
        <v>20</v>
      </c>
      <c r="J5469" t="s">
        <v>17</v>
      </c>
      <c r="K5469" t="str">
        <f>"765114128"</f>
        <v>765114128</v>
      </c>
      <c r="L5469" t="str">
        <f>"765114128"</f>
        <v>765114128</v>
      </c>
      <c r="M5469" t="s">
        <v>84</v>
      </c>
      <c r="N5469" s="1">
        <v>43251.710416666669</v>
      </c>
      <c r="O5469" t="s">
        <v>19</v>
      </c>
    </row>
    <row r="5470" spans="1:15" x14ac:dyDescent="0.25">
      <c r="A5470" t="s">
        <v>4088</v>
      </c>
      <c r="B5470" t="s">
        <v>15</v>
      </c>
      <c r="C5470" t="s">
        <v>27</v>
      </c>
      <c r="D5470" t="s">
        <v>17</v>
      </c>
      <c r="E5470" t="s">
        <v>18</v>
      </c>
      <c r="F5470" t="s">
        <v>19</v>
      </c>
      <c r="G5470" t="s">
        <v>20</v>
      </c>
      <c r="J5470" t="s">
        <v>17</v>
      </c>
      <c r="K5470" t="str">
        <f>"765914128"</f>
        <v>765914128</v>
      </c>
      <c r="L5470" t="str">
        <f>"765914128"</f>
        <v>765914128</v>
      </c>
      <c r="M5470" t="s">
        <v>84</v>
      </c>
      <c r="N5470" s="1">
        <v>43286.980555555558</v>
      </c>
      <c r="O5470" t="s">
        <v>19</v>
      </c>
    </row>
    <row r="5471" spans="1:15" x14ac:dyDescent="0.25">
      <c r="A5471" t="s">
        <v>4088</v>
      </c>
      <c r="B5471" t="s">
        <v>15</v>
      </c>
      <c r="C5471" t="s">
        <v>27</v>
      </c>
      <c r="D5471" t="s">
        <v>17</v>
      </c>
      <c r="E5471" t="s">
        <v>18</v>
      </c>
      <c r="F5471" t="s">
        <v>19</v>
      </c>
      <c r="G5471" t="s">
        <v>20</v>
      </c>
      <c r="J5471" t="s">
        <v>17</v>
      </c>
      <c r="K5471" t="str">
        <f>"695114128"</f>
        <v>695114128</v>
      </c>
      <c r="L5471" t="str">
        <f>"695114128"</f>
        <v>695114128</v>
      </c>
      <c r="M5471" t="s">
        <v>84</v>
      </c>
      <c r="N5471" s="1">
        <v>43328.840277777781</v>
      </c>
      <c r="O5471" t="s">
        <v>19</v>
      </c>
    </row>
    <row r="5472" spans="1:15" x14ac:dyDescent="0.25">
      <c r="A5472" t="s">
        <v>4088</v>
      </c>
      <c r="B5472" t="s">
        <v>15</v>
      </c>
      <c r="C5472" t="s">
        <v>27</v>
      </c>
      <c r="D5472" t="s">
        <v>17</v>
      </c>
      <c r="E5472" t="s">
        <v>18</v>
      </c>
      <c r="F5472" t="s">
        <v>19</v>
      </c>
      <c r="G5472" t="s">
        <v>20</v>
      </c>
      <c r="J5472" t="s">
        <v>17</v>
      </c>
      <c r="K5472" t="str">
        <f>"765114280"</f>
        <v>765114280</v>
      </c>
      <c r="L5472" t="str">
        <f>"765114280"</f>
        <v>765114280</v>
      </c>
      <c r="M5472" t="s">
        <v>84</v>
      </c>
      <c r="N5472" s="1">
        <v>43328.943055555559</v>
      </c>
      <c r="O5472" t="s">
        <v>19</v>
      </c>
    </row>
    <row r="5473" spans="1:15" x14ac:dyDescent="0.25">
      <c r="A5473" t="s">
        <v>4090</v>
      </c>
      <c r="B5473" t="s">
        <v>15</v>
      </c>
      <c r="C5473" t="s">
        <v>27</v>
      </c>
      <c r="D5473" t="s">
        <v>17</v>
      </c>
      <c r="E5473" t="s">
        <v>18</v>
      </c>
      <c r="F5473" t="s">
        <v>19</v>
      </c>
      <c r="G5473" t="s">
        <v>20</v>
      </c>
      <c r="J5473" t="s">
        <v>17</v>
      </c>
      <c r="K5473" t="str">
        <f>"174714126"</f>
        <v>174714126</v>
      </c>
      <c r="L5473" t="str">
        <f>"174714126"</f>
        <v>174714126</v>
      </c>
      <c r="M5473" t="s">
        <v>75</v>
      </c>
      <c r="N5473" s="1">
        <v>42872.849305555559</v>
      </c>
      <c r="O5473" t="s">
        <v>19</v>
      </c>
    </row>
    <row r="5474" spans="1:15" x14ac:dyDescent="0.25">
      <c r="A5474" t="s">
        <v>4090</v>
      </c>
      <c r="B5474" t="s">
        <v>15</v>
      </c>
      <c r="C5474" t="s">
        <v>27</v>
      </c>
      <c r="D5474" t="s">
        <v>17</v>
      </c>
      <c r="E5474" t="s">
        <v>18</v>
      </c>
      <c r="F5474" t="s">
        <v>19</v>
      </c>
      <c r="G5474" t="s">
        <v>20</v>
      </c>
      <c r="J5474" t="s">
        <v>17</v>
      </c>
      <c r="K5474" t="str">
        <f>"175814126"</f>
        <v>175814126</v>
      </c>
      <c r="L5474" t="str">
        <f>"175814126"</f>
        <v>175814126</v>
      </c>
      <c r="M5474" t="s">
        <v>75</v>
      </c>
      <c r="N5474" s="1">
        <v>42872.849305555559</v>
      </c>
      <c r="O5474" t="s">
        <v>19</v>
      </c>
    </row>
    <row r="5475" spans="1:15" x14ac:dyDescent="0.25">
      <c r="A5475" t="s">
        <v>4090</v>
      </c>
      <c r="B5475" t="s">
        <v>15</v>
      </c>
      <c r="C5475" t="s">
        <v>27</v>
      </c>
      <c r="D5475" t="s">
        <v>17</v>
      </c>
      <c r="E5475" t="s">
        <v>18</v>
      </c>
      <c r="F5475" t="s">
        <v>19</v>
      </c>
      <c r="G5475" t="s">
        <v>20</v>
      </c>
      <c r="J5475" t="s">
        <v>17</v>
      </c>
      <c r="K5475" t="str">
        <f>"764814126"</f>
        <v>764814126</v>
      </c>
      <c r="L5475" t="str">
        <f>"764814126"</f>
        <v>764814126</v>
      </c>
      <c r="M5475" t="s">
        <v>75</v>
      </c>
      <c r="N5475" s="1">
        <v>42872.849305555559</v>
      </c>
      <c r="O5475" t="s">
        <v>19</v>
      </c>
    </row>
    <row r="5476" spans="1:15" x14ac:dyDescent="0.25">
      <c r="A5476" t="s">
        <v>4090</v>
      </c>
      <c r="B5476" t="s">
        <v>15</v>
      </c>
      <c r="C5476" t="s">
        <v>27</v>
      </c>
      <c r="D5476" t="s">
        <v>17</v>
      </c>
      <c r="E5476" t="s">
        <v>18</v>
      </c>
      <c r="F5476" t="s">
        <v>19</v>
      </c>
      <c r="G5476" t="s">
        <v>20</v>
      </c>
      <c r="J5476" t="s">
        <v>17</v>
      </c>
      <c r="K5476" t="str">
        <f>"767714126"</f>
        <v>767714126</v>
      </c>
      <c r="L5476" t="str">
        <f>"767714126"</f>
        <v>767714126</v>
      </c>
      <c r="M5476" t="s">
        <v>75</v>
      </c>
      <c r="N5476" s="1">
        <v>43045.73541666667</v>
      </c>
      <c r="O5476" t="s">
        <v>19</v>
      </c>
    </row>
    <row r="5477" spans="1:15" x14ac:dyDescent="0.25">
      <c r="A5477" t="s">
        <v>4090</v>
      </c>
      <c r="B5477" t="s">
        <v>15</v>
      </c>
      <c r="C5477" t="s">
        <v>27</v>
      </c>
      <c r="D5477" t="s">
        <v>17</v>
      </c>
      <c r="E5477" t="s">
        <v>18</v>
      </c>
      <c r="F5477" t="s">
        <v>19</v>
      </c>
      <c r="G5477" t="s">
        <v>20</v>
      </c>
      <c r="J5477" t="s">
        <v>17</v>
      </c>
      <c r="K5477" t="str">
        <f>"765114126"</f>
        <v>765114126</v>
      </c>
      <c r="L5477" t="str">
        <f>"765114126"</f>
        <v>765114126</v>
      </c>
      <c r="M5477" t="s">
        <v>75</v>
      </c>
      <c r="N5477" s="1">
        <v>43196.713888888888</v>
      </c>
      <c r="O5477" t="s">
        <v>19</v>
      </c>
    </row>
    <row r="5478" spans="1:15" x14ac:dyDescent="0.25">
      <c r="A5478" t="s">
        <v>4090</v>
      </c>
      <c r="B5478" t="s">
        <v>15</v>
      </c>
      <c r="C5478" t="s">
        <v>27</v>
      </c>
      <c r="D5478" t="s">
        <v>17</v>
      </c>
      <c r="E5478" t="s">
        <v>18</v>
      </c>
      <c r="F5478" t="s">
        <v>19</v>
      </c>
      <c r="G5478" t="s">
        <v>20</v>
      </c>
      <c r="J5478" t="s">
        <v>17</v>
      </c>
      <c r="K5478" t="str">
        <f>"763914126"</f>
        <v>763914126</v>
      </c>
      <c r="L5478" t="str">
        <f>"763914126"</f>
        <v>763914126</v>
      </c>
      <c r="M5478" t="s">
        <v>75</v>
      </c>
      <c r="N5478" s="1">
        <v>43196.831944444442</v>
      </c>
      <c r="O5478" t="s">
        <v>19</v>
      </c>
    </row>
    <row r="5479" spans="1:15" x14ac:dyDescent="0.25">
      <c r="A5479" t="s">
        <v>4090</v>
      </c>
      <c r="B5479" t="s">
        <v>15</v>
      </c>
      <c r="C5479" t="s">
        <v>27</v>
      </c>
      <c r="D5479" t="s">
        <v>17</v>
      </c>
      <c r="E5479" t="s">
        <v>18</v>
      </c>
      <c r="F5479" t="s">
        <v>19</v>
      </c>
      <c r="G5479" t="s">
        <v>20</v>
      </c>
      <c r="J5479" t="s">
        <v>17</v>
      </c>
      <c r="K5479" t="str">
        <f>"766414126"</f>
        <v>766414126</v>
      </c>
      <c r="L5479" t="str">
        <f>"766414126"</f>
        <v>766414126</v>
      </c>
      <c r="M5479" t="s">
        <v>75</v>
      </c>
      <c r="N5479" s="1">
        <v>43244.981944444444</v>
      </c>
      <c r="O5479" t="s">
        <v>19</v>
      </c>
    </row>
    <row r="5480" spans="1:15" x14ac:dyDescent="0.25">
      <c r="A5480" t="s">
        <v>4091</v>
      </c>
      <c r="B5480" t="s">
        <v>15</v>
      </c>
      <c r="C5480" t="s">
        <v>27</v>
      </c>
      <c r="D5480" t="s">
        <v>17</v>
      </c>
      <c r="E5480" t="s">
        <v>18</v>
      </c>
      <c r="F5480" t="s">
        <v>19</v>
      </c>
      <c r="G5480" t="s">
        <v>20</v>
      </c>
      <c r="J5480" t="s">
        <v>17</v>
      </c>
      <c r="K5480" t="str">
        <f>"764814317"</f>
        <v>764814317</v>
      </c>
      <c r="L5480" t="str">
        <f>"764814317"</f>
        <v>764814317</v>
      </c>
      <c r="M5480" t="s">
        <v>75</v>
      </c>
      <c r="N5480" s="1">
        <v>42933.696527777778</v>
      </c>
      <c r="O5480" t="s">
        <v>19</v>
      </c>
    </row>
    <row r="5481" spans="1:15" x14ac:dyDescent="0.25">
      <c r="A5481" t="s">
        <v>4092</v>
      </c>
      <c r="B5481" t="s">
        <v>15</v>
      </c>
      <c r="C5481" t="s">
        <v>27</v>
      </c>
      <c r="D5481" t="s">
        <v>17</v>
      </c>
      <c r="E5481" t="s">
        <v>18</v>
      </c>
      <c r="F5481" t="s">
        <v>19</v>
      </c>
      <c r="G5481" t="s">
        <v>20</v>
      </c>
      <c r="J5481" t="s">
        <v>17</v>
      </c>
      <c r="K5481" t="str">
        <f>"1000001098418"</f>
        <v>1000001098418</v>
      </c>
      <c r="L5481" t="str">
        <f>"765114264"</f>
        <v>765114264</v>
      </c>
      <c r="M5481" t="s">
        <v>84</v>
      </c>
      <c r="N5481" s="1">
        <v>43451.659722222219</v>
      </c>
      <c r="O5481" t="s">
        <v>19</v>
      </c>
    </row>
    <row r="5482" spans="1:15" x14ac:dyDescent="0.25">
      <c r="A5482" t="s">
        <v>4092</v>
      </c>
      <c r="B5482" t="s">
        <v>15</v>
      </c>
      <c r="C5482" t="s">
        <v>27</v>
      </c>
      <c r="D5482" t="s">
        <v>17</v>
      </c>
      <c r="E5482" t="s">
        <v>18</v>
      </c>
      <c r="F5482" t="s">
        <v>19</v>
      </c>
      <c r="G5482" t="s">
        <v>20</v>
      </c>
      <c r="J5482" t="s">
        <v>17</v>
      </c>
      <c r="K5482" t="str">
        <f>"768914264"</f>
        <v>768914264</v>
      </c>
      <c r="L5482" t="str">
        <f>"768914264"</f>
        <v>768914264</v>
      </c>
      <c r="M5482" t="s">
        <v>84</v>
      </c>
      <c r="N5482" s="1">
        <v>43528.664583333331</v>
      </c>
      <c r="O5482" t="s">
        <v>19</v>
      </c>
    </row>
    <row r="5483" spans="1:15" x14ac:dyDescent="0.25">
      <c r="A5483" t="s">
        <v>4092</v>
      </c>
      <c r="B5483" t="s">
        <v>15</v>
      </c>
      <c r="C5483" t="s">
        <v>27</v>
      </c>
      <c r="D5483" t="s">
        <v>17</v>
      </c>
      <c r="E5483" t="s">
        <v>18</v>
      </c>
      <c r="F5483" t="s">
        <v>19</v>
      </c>
      <c r="G5483" t="s">
        <v>20</v>
      </c>
      <c r="J5483" t="s">
        <v>17</v>
      </c>
      <c r="K5483" t="str">
        <f>"2018110500332"</f>
        <v>2018110500332</v>
      </c>
      <c r="L5483" t="str">
        <f>"187514264"</f>
        <v>187514264</v>
      </c>
      <c r="M5483" t="s">
        <v>21</v>
      </c>
      <c r="N5483" s="1">
        <v>43609.955555555556</v>
      </c>
      <c r="O5483" t="s">
        <v>19</v>
      </c>
    </row>
    <row r="5484" spans="1:15" x14ac:dyDescent="0.25">
      <c r="A5484" t="s">
        <v>4092</v>
      </c>
      <c r="B5484" t="s">
        <v>15</v>
      </c>
      <c r="C5484" t="s">
        <v>27</v>
      </c>
      <c r="D5484" t="s">
        <v>17</v>
      </c>
      <c r="E5484" t="s">
        <v>18</v>
      </c>
      <c r="F5484" t="s">
        <v>19</v>
      </c>
      <c r="G5484" t="s">
        <v>20</v>
      </c>
      <c r="J5484" t="s">
        <v>17</v>
      </c>
      <c r="K5484" t="str">
        <f>"347714264"</f>
        <v>347714264</v>
      </c>
      <c r="L5484" t="str">
        <f>"347714264"</f>
        <v>347714264</v>
      </c>
      <c r="M5484" t="s">
        <v>21</v>
      </c>
      <c r="N5484" s="1">
        <v>43668.71597222222</v>
      </c>
      <c r="O5484" t="s">
        <v>19</v>
      </c>
    </row>
    <row r="5485" spans="1:15" x14ac:dyDescent="0.25">
      <c r="A5485" t="s">
        <v>4093</v>
      </c>
      <c r="B5485" t="s">
        <v>15</v>
      </c>
      <c r="C5485" t="s">
        <v>27</v>
      </c>
      <c r="D5485" t="s">
        <v>17</v>
      </c>
      <c r="E5485" t="s">
        <v>18</v>
      </c>
      <c r="F5485" t="s">
        <v>19</v>
      </c>
      <c r="G5485" t="s">
        <v>20</v>
      </c>
      <c r="J5485" t="s">
        <v>17</v>
      </c>
      <c r="K5485" t="str">
        <f>"17201447"</f>
        <v>17201447</v>
      </c>
      <c r="L5485" t="str">
        <f>"17201447"</f>
        <v>17201447</v>
      </c>
      <c r="M5485" t="s">
        <v>75</v>
      </c>
      <c r="N5485" s="1">
        <v>42872.839583333334</v>
      </c>
      <c r="O5485" t="s">
        <v>19</v>
      </c>
    </row>
    <row r="5486" spans="1:15" x14ac:dyDescent="0.25">
      <c r="A5486" t="s">
        <v>4093</v>
      </c>
      <c r="B5486" t="s">
        <v>15</v>
      </c>
      <c r="C5486" t="s">
        <v>27</v>
      </c>
      <c r="D5486" t="s">
        <v>17</v>
      </c>
      <c r="E5486" t="s">
        <v>18</v>
      </c>
      <c r="F5486" t="s">
        <v>19</v>
      </c>
      <c r="G5486" t="s">
        <v>20</v>
      </c>
      <c r="J5486" t="s">
        <v>17</v>
      </c>
      <c r="K5486" t="str">
        <f>"17481447"</f>
        <v>17481447</v>
      </c>
      <c r="L5486" t="str">
        <f>"17481447"</f>
        <v>17481447</v>
      </c>
      <c r="M5486" t="s">
        <v>75</v>
      </c>
      <c r="N5486" s="1">
        <v>42872.839583333334</v>
      </c>
      <c r="O5486" t="s">
        <v>19</v>
      </c>
    </row>
    <row r="5487" spans="1:15" x14ac:dyDescent="0.25">
      <c r="A5487" t="s">
        <v>4093</v>
      </c>
      <c r="B5487" t="s">
        <v>15</v>
      </c>
      <c r="C5487" t="s">
        <v>27</v>
      </c>
      <c r="D5487" t="s">
        <v>17</v>
      </c>
      <c r="E5487" t="s">
        <v>18</v>
      </c>
      <c r="F5487" t="s">
        <v>19</v>
      </c>
      <c r="G5487" t="s">
        <v>20</v>
      </c>
      <c r="J5487" t="s">
        <v>17</v>
      </c>
      <c r="K5487" t="str">
        <f>"17581447"</f>
        <v>17581447</v>
      </c>
      <c r="L5487" t="str">
        <f>"17581447"</f>
        <v>17581447</v>
      </c>
      <c r="M5487" t="s">
        <v>75</v>
      </c>
      <c r="N5487" s="1">
        <v>42872.839583333334</v>
      </c>
      <c r="O5487" t="s">
        <v>19</v>
      </c>
    </row>
    <row r="5488" spans="1:15" x14ac:dyDescent="0.25">
      <c r="A5488" t="s">
        <v>4093</v>
      </c>
      <c r="B5488" t="s">
        <v>15</v>
      </c>
      <c r="C5488" t="s">
        <v>27</v>
      </c>
      <c r="D5488" t="s">
        <v>17</v>
      </c>
      <c r="E5488" t="s">
        <v>18</v>
      </c>
      <c r="F5488" t="s">
        <v>19</v>
      </c>
      <c r="G5488" t="s">
        <v>20</v>
      </c>
      <c r="J5488" t="s">
        <v>17</v>
      </c>
      <c r="K5488" t="str">
        <f>"34481447"</f>
        <v>34481447</v>
      </c>
      <c r="L5488" t="str">
        <f>"34481447"</f>
        <v>34481447</v>
      </c>
      <c r="M5488" t="s">
        <v>75</v>
      </c>
      <c r="N5488" s="1">
        <v>42872.839583333334</v>
      </c>
      <c r="O5488" t="s">
        <v>19</v>
      </c>
    </row>
    <row r="5489" spans="1:15" x14ac:dyDescent="0.25">
      <c r="A5489" t="s">
        <v>4093</v>
      </c>
      <c r="B5489" t="s">
        <v>15</v>
      </c>
      <c r="C5489" t="s">
        <v>27</v>
      </c>
      <c r="D5489" t="s">
        <v>17</v>
      </c>
      <c r="E5489" t="s">
        <v>18</v>
      </c>
      <c r="F5489" t="s">
        <v>19</v>
      </c>
      <c r="G5489" t="s">
        <v>20</v>
      </c>
      <c r="J5489" t="s">
        <v>17</v>
      </c>
      <c r="K5489" t="str">
        <f>"34581447"</f>
        <v>34581447</v>
      </c>
      <c r="L5489" t="str">
        <f>"34581447"</f>
        <v>34581447</v>
      </c>
      <c r="M5489" t="s">
        <v>75</v>
      </c>
      <c r="N5489" s="1">
        <v>42872.839583333334</v>
      </c>
      <c r="O5489" t="s">
        <v>19</v>
      </c>
    </row>
    <row r="5490" spans="1:15" x14ac:dyDescent="0.25">
      <c r="A5490" t="s">
        <v>4093</v>
      </c>
      <c r="B5490" t="s">
        <v>15</v>
      </c>
      <c r="C5490" t="s">
        <v>27</v>
      </c>
      <c r="D5490" t="s">
        <v>17</v>
      </c>
      <c r="E5490" t="s">
        <v>18</v>
      </c>
      <c r="F5490" t="s">
        <v>19</v>
      </c>
      <c r="G5490" t="s">
        <v>20</v>
      </c>
      <c r="J5490" t="s">
        <v>17</v>
      </c>
      <c r="K5490" t="str">
        <f>"34641447"</f>
        <v>34641447</v>
      </c>
      <c r="L5490" t="str">
        <f>"34641447"</f>
        <v>34641447</v>
      </c>
      <c r="M5490" t="s">
        <v>75</v>
      </c>
      <c r="N5490" s="1">
        <v>42872.839583333334</v>
      </c>
      <c r="O5490" t="s">
        <v>19</v>
      </c>
    </row>
    <row r="5491" spans="1:15" x14ac:dyDescent="0.25">
      <c r="A5491" t="s">
        <v>4093</v>
      </c>
      <c r="B5491" t="s">
        <v>15</v>
      </c>
      <c r="C5491" t="s">
        <v>27</v>
      </c>
      <c r="D5491" t="s">
        <v>17</v>
      </c>
      <c r="E5491" t="s">
        <v>18</v>
      </c>
      <c r="F5491" t="s">
        <v>19</v>
      </c>
      <c r="G5491" t="s">
        <v>20</v>
      </c>
      <c r="J5491" t="s">
        <v>17</v>
      </c>
      <c r="K5491" t="str">
        <f>"34774447"</f>
        <v>34774447</v>
      </c>
      <c r="L5491" t="str">
        <f>"34774447"</f>
        <v>34774447</v>
      </c>
      <c r="M5491" t="s">
        <v>75</v>
      </c>
      <c r="N5491" s="1">
        <v>42872.839583333334</v>
      </c>
      <c r="O5491" t="s">
        <v>19</v>
      </c>
    </row>
    <row r="5492" spans="1:15" x14ac:dyDescent="0.25">
      <c r="A5492" t="s">
        <v>4093</v>
      </c>
      <c r="B5492" t="s">
        <v>15</v>
      </c>
      <c r="C5492" t="s">
        <v>27</v>
      </c>
      <c r="D5492" t="s">
        <v>17</v>
      </c>
      <c r="E5492" t="s">
        <v>18</v>
      </c>
      <c r="F5492" t="s">
        <v>19</v>
      </c>
      <c r="G5492" t="s">
        <v>20</v>
      </c>
      <c r="J5492" t="s">
        <v>17</v>
      </c>
      <c r="K5492" t="str">
        <f>"76471447"</f>
        <v>76471447</v>
      </c>
      <c r="L5492" t="str">
        <f>"76471447"</f>
        <v>76471447</v>
      </c>
      <c r="M5492" t="s">
        <v>75</v>
      </c>
      <c r="N5492" s="1">
        <v>42872.847222222219</v>
      </c>
      <c r="O5492" t="s">
        <v>19</v>
      </c>
    </row>
    <row r="5493" spans="1:15" x14ac:dyDescent="0.25">
      <c r="A5493" t="s">
        <v>4093</v>
      </c>
      <c r="B5493" t="s">
        <v>15</v>
      </c>
      <c r="C5493" t="s">
        <v>27</v>
      </c>
      <c r="D5493" t="s">
        <v>17</v>
      </c>
      <c r="E5493" t="s">
        <v>18</v>
      </c>
      <c r="F5493" t="s">
        <v>19</v>
      </c>
      <c r="G5493" t="s">
        <v>20</v>
      </c>
      <c r="J5493" t="s">
        <v>17</v>
      </c>
      <c r="K5493" t="str">
        <f>"76481447"</f>
        <v>76481447</v>
      </c>
      <c r="L5493" t="str">
        <f>"76481447"</f>
        <v>76481447</v>
      </c>
      <c r="M5493" t="s">
        <v>75</v>
      </c>
      <c r="N5493" s="1">
        <v>42872.847222222219</v>
      </c>
      <c r="O5493" t="s">
        <v>19</v>
      </c>
    </row>
    <row r="5494" spans="1:15" x14ac:dyDescent="0.25">
      <c r="A5494" t="s">
        <v>4093</v>
      </c>
      <c r="B5494" t="s">
        <v>15</v>
      </c>
      <c r="C5494" t="s">
        <v>27</v>
      </c>
      <c r="D5494" t="s">
        <v>17</v>
      </c>
      <c r="E5494" t="s">
        <v>18</v>
      </c>
      <c r="F5494" t="s">
        <v>19</v>
      </c>
      <c r="G5494" t="s">
        <v>20</v>
      </c>
      <c r="J5494" t="s">
        <v>17</v>
      </c>
      <c r="K5494" t="str">
        <f>"76691447"</f>
        <v>76691447</v>
      </c>
      <c r="L5494" t="str">
        <f>"76691447"</f>
        <v>76691447</v>
      </c>
      <c r="M5494" t="s">
        <v>75</v>
      </c>
      <c r="N5494" s="1">
        <v>42872.847222222219</v>
      </c>
      <c r="O5494" t="s">
        <v>19</v>
      </c>
    </row>
    <row r="5495" spans="1:15" x14ac:dyDescent="0.25">
      <c r="A5495" t="s">
        <v>4093</v>
      </c>
      <c r="B5495" t="s">
        <v>15</v>
      </c>
      <c r="C5495" t="s">
        <v>27</v>
      </c>
      <c r="D5495" t="s">
        <v>17</v>
      </c>
      <c r="E5495" t="s">
        <v>18</v>
      </c>
      <c r="F5495" t="s">
        <v>19</v>
      </c>
      <c r="G5495" t="s">
        <v>20</v>
      </c>
      <c r="J5495" t="s">
        <v>17</v>
      </c>
      <c r="K5495" t="str">
        <f>"76701447"</f>
        <v>76701447</v>
      </c>
      <c r="L5495" t="str">
        <f>"76701447"</f>
        <v>76701447</v>
      </c>
      <c r="M5495" t="s">
        <v>75</v>
      </c>
      <c r="N5495" s="1">
        <v>42872.847222222219</v>
      </c>
      <c r="O5495" t="s">
        <v>19</v>
      </c>
    </row>
    <row r="5496" spans="1:15" x14ac:dyDescent="0.25">
      <c r="A5496" t="s">
        <v>4093</v>
      </c>
      <c r="B5496" t="s">
        <v>15</v>
      </c>
      <c r="C5496" t="s">
        <v>27</v>
      </c>
      <c r="D5496" t="s">
        <v>17</v>
      </c>
      <c r="E5496" t="s">
        <v>18</v>
      </c>
      <c r="F5496" t="s">
        <v>19</v>
      </c>
      <c r="G5496" t="s">
        <v>20</v>
      </c>
      <c r="J5496" t="s">
        <v>17</v>
      </c>
      <c r="K5496" t="str">
        <f>"76751447"</f>
        <v>76751447</v>
      </c>
      <c r="L5496" t="str">
        <f>"76751447"</f>
        <v>76751447</v>
      </c>
      <c r="M5496" t="s">
        <v>75</v>
      </c>
      <c r="N5496" s="1">
        <v>42872.847222222219</v>
      </c>
      <c r="O5496" t="s">
        <v>19</v>
      </c>
    </row>
    <row r="5497" spans="1:15" x14ac:dyDescent="0.25">
      <c r="A5497" t="s">
        <v>4093</v>
      </c>
      <c r="B5497" t="s">
        <v>15</v>
      </c>
      <c r="C5497" t="s">
        <v>27</v>
      </c>
      <c r="D5497" t="s">
        <v>17</v>
      </c>
      <c r="E5497" t="s">
        <v>18</v>
      </c>
      <c r="F5497" t="s">
        <v>19</v>
      </c>
      <c r="G5497" t="s">
        <v>20</v>
      </c>
      <c r="J5497" t="s">
        <v>17</v>
      </c>
      <c r="K5497" t="str">
        <f>"76771447"</f>
        <v>76771447</v>
      </c>
      <c r="L5497" t="str">
        <f>"76771447"</f>
        <v>76771447</v>
      </c>
      <c r="M5497" t="s">
        <v>75</v>
      </c>
      <c r="N5497" s="1">
        <v>42872.847222222219</v>
      </c>
      <c r="O5497" t="s">
        <v>19</v>
      </c>
    </row>
    <row r="5498" spans="1:15" x14ac:dyDescent="0.25">
      <c r="A5498" t="s">
        <v>4093</v>
      </c>
      <c r="B5498" t="s">
        <v>15</v>
      </c>
      <c r="C5498" t="s">
        <v>27</v>
      </c>
      <c r="D5498" t="s">
        <v>17</v>
      </c>
      <c r="E5498" t="s">
        <v>18</v>
      </c>
      <c r="F5498" t="s">
        <v>19</v>
      </c>
      <c r="G5498" t="s">
        <v>20</v>
      </c>
      <c r="J5498" t="s">
        <v>17</v>
      </c>
      <c r="K5498" t="str">
        <f>"76511447"</f>
        <v>76511447</v>
      </c>
      <c r="L5498" t="str">
        <f>"76511447"</f>
        <v>76511447</v>
      </c>
      <c r="M5498" t="s">
        <v>75</v>
      </c>
      <c r="N5498" s="1">
        <v>43174.646527777775</v>
      </c>
      <c r="O5498" t="s">
        <v>19</v>
      </c>
    </row>
    <row r="5499" spans="1:15" x14ac:dyDescent="0.25">
      <c r="A5499" t="s">
        <v>4093</v>
      </c>
      <c r="B5499" t="s">
        <v>15</v>
      </c>
      <c r="C5499" t="s">
        <v>27</v>
      </c>
      <c r="D5499" t="s">
        <v>17</v>
      </c>
      <c r="E5499" t="s">
        <v>18</v>
      </c>
      <c r="F5499" t="s">
        <v>19</v>
      </c>
      <c r="G5499" t="s">
        <v>20</v>
      </c>
      <c r="J5499" t="s">
        <v>17</v>
      </c>
      <c r="K5499" t="str">
        <f>"76591447"</f>
        <v>76591447</v>
      </c>
      <c r="L5499" t="str">
        <f>"76591447"</f>
        <v>76591447</v>
      </c>
      <c r="M5499" t="s">
        <v>84</v>
      </c>
      <c r="N5499" s="1">
        <v>43251.713888888888</v>
      </c>
      <c r="O5499" t="s">
        <v>19</v>
      </c>
    </row>
    <row r="5500" spans="1:15" x14ac:dyDescent="0.25">
      <c r="A5500" t="s">
        <v>4093</v>
      </c>
      <c r="B5500" t="s">
        <v>15</v>
      </c>
      <c r="C5500" t="s">
        <v>27</v>
      </c>
      <c r="D5500" t="s">
        <v>17</v>
      </c>
      <c r="E5500" t="s">
        <v>18</v>
      </c>
      <c r="F5500" t="s">
        <v>19</v>
      </c>
      <c r="G5500" t="s">
        <v>20</v>
      </c>
      <c r="J5500" t="s">
        <v>17</v>
      </c>
      <c r="K5500" t="str">
        <f>"76621447"</f>
        <v>76621447</v>
      </c>
      <c r="L5500" t="str">
        <f>"76621447"</f>
        <v>76621447</v>
      </c>
      <c r="M5500" t="s">
        <v>84</v>
      </c>
      <c r="N5500" s="1">
        <v>43272.800694444442</v>
      </c>
      <c r="O5500" t="s">
        <v>19</v>
      </c>
    </row>
    <row r="5501" spans="1:15" x14ac:dyDescent="0.25">
      <c r="A5501" t="s">
        <v>4093</v>
      </c>
      <c r="B5501" t="s">
        <v>15</v>
      </c>
      <c r="C5501" t="s">
        <v>27</v>
      </c>
      <c r="D5501" t="s">
        <v>17</v>
      </c>
      <c r="E5501" t="s">
        <v>18</v>
      </c>
      <c r="F5501" t="s">
        <v>19</v>
      </c>
      <c r="G5501" t="s">
        <v>20</v>
      </c>
      <c r="J5501" t="s">
        <v>17</v>
      </c>
      <c r="K5501" t="str">
        <f>"61511447"</f>
        <v>61511447</v>
      </c>
      <c r="L5501" t="str">
        <f>"61511447"</f>
        <v>61511447</v>
      </c>
      <c r="M5501" t="s">
        <v>84</v>
      </c>
      <c r="N5501" s="1">
        <v>43320.711111111108</v>
      </c>
      <c r="O5501" t="s">
        <v>19</v>
      </c>
    </row>
    <row r="5502" spans="1:15" x14ac:dyDescent="0.25">
      <c r="A5502" t="s">
        <v>4093</v>
      </c>
      <c r="B5502" t="s">
        <v>15</v>
      </c>
      <c r="C5502" t="s">
        <v>27</v>
      </c>
      <c r="D5502" t="s">
        <v>17</v>
      </c>
      <c r="E5502" t="s">
        <v>18</v>
      </c>
      <c r="F5502" t="s">
        <v>19</v>
      </c>
      <c r="G5502" t="s">
        <v>20</v>
      </c>
      <c r="J5502" t="s">
        <v>17</v>
      </c>
      <c r="K5502" t="str">
        <f>"4001166010403"</f>
        <v>4001166010403</v>
      </c>
      <c r="L5502" t="str">
        <f>"41481447"</f>
        <v>41481447</v>
      </c>
      <c r="M5502" t="s">
        <v>84</v>
      </c>
      <c r="N5502" s="1">
        <v>43350.872916666667</v>
      </c>
      <c r="O5502" t="s">
        <v>19</v>
      </c>
    </row>
    <row r="5503" spans="1:15" x14ac:dyDescent="0.25">
      <c r="A5503" t="s">
        <v>4093</v>
      </c>
      <c r="B5503" t="s">
        <v>15</v>
      </c>
      <c r="C5503" t="s">
        <v>27</v>
      </c>
      <c r="D5503" t="s">
        <v>17</v>
      </c>
      <c r="E5503" t="s">
        <v>18</v>
      </c>
      <c r="F5503" t="s">
        <v>19</v>
      </c>
      <c r="G5503" t="s">
        <v>20</v>
      </c>
      <c r="J5503" t="s">
        <v>17</v>
      </c>
      <c r="K5503" t="str">
        <f>"86641447"</f>
        <v>86641447</v>
      </c>
      <c r="L5503" t="str">
        <f>"86641447"</f>
        <v>86641447</v>
      </c>
      <c r="M5503" t="s">
        <v>84</v>
      </c>
      <c r="N5503" s="1">
        <v>43364.932638888888</v>
      </c>
      <c r="O5503" t="s">
        <v>19</v>
      </c>
    </row>
    <row r="5504" spans="1:15" x14ac:dyDescent="0.25">
      <c r="A5504" t="s">
        <v>4093</v>
      </c>
      <c r="B5504" t="s">
        <v>15</v>
      </c>
      <c r="C5504" t="s">
        <v>27</v>
      </c>
      <c r="D5504" t="s">
        <v>17</v>
      </c>
      <c r="E5504" t="s">
        <v>18</v>
      </c>
      <c r="F5504" t="s">
        <v>19</v>
      </c>
      <c r="G5504" t="s">
        <v>20</v>
      </c>
      <c r="J5504" t="s">
        <v>17</v>
      </c>
      <c r="K5504" t="str">
        <f>"40991447"</f>
        <v>40991447</v>
      </c>
      <c r="L5504" t="str">
        <f>"40991447"</f>
        <v>40991447</v>
      </c>
      <c r="M5504" t="s">
        <v>84</v>
      </c>
      <c r="N5504" s="1">
        <v>43549.600694444445</v>
      </c>
      <c r="O5504" t="s">
        <v>19</v>
      </c>
    </row>
    <row r="5505" spans="1:15" x14ac:dyDescent="0.25">
      <c r="A5505" t="s">
        <v>4094</v>
      </c>
      <c r="B5505" t="s">
        <v>15</v>
      </c>
      <c r="C5505" t="s">
        <v>27</v>
      </c>
      <c r="D5505" t="s">
        <v>17</v>
      </c>
      <c r="E5505" t="s">
        <v>18</v>
      </c>
      <c r="F5505" t="s">
        <v>19</v>
      </c>
      <c r="G5505" t="s">
        <v>20</v>
      </c>
      <c r="J5505" t="s">
        <v>17</v>
      </c>
      <c r="K5505" t="str">
        <f>"765114257"</f>
        <v>765114257</v>
      </c>
      <c r="L5505" t="str">
        <f>"765114257"</f>
        <v>765114257</v>
      </c>
      <c r="M5505" t="s">
        <v>84</v>
      </c>
      <c r="N5505" s="1">
        <v>43266.717361111114</v>
      </c>
      <c r="O5505" t="s">
        <v>19</v>
      </c>
    </row>
    <row r="5506" spans="1:15" x14ac:dyDescent="0.25">
      <c r="A5506" t="s">
        <v>4094</v>
      </c>
      <c r="B5506" t="s">
        <v>15</v>
      </c>
      <c r="C5506" t="s">
        <v>27</v>
      </c>
      <c r="D5506" t="s">
        <v>17</v>
      </c>
      <c r="E5506" t="s">
        <v>18</v>
      </c>
      <c r="F5506" t="s">
        <v>19</v>
      </c>
      <c r="G5506" t="s">
        <v>20</v>
      </c>
      <c r="J5506" t="s">
        <v>17</v>
      </c>
      <c r="K5506" t="str">
        <f>"766114257"</f>
        <v>766114257</v>
      </c>
      <c r="L5506" t="str">
        <f>"766114257"</f>
        <v>766114257</v>
      </c>
      <c r="M5506" t="s">
        <v>84</v>
      </c>
      <c r="N5506" s="1">
        <v>43272.798611111109</v>
      </c>
      <c r="O5506" t="s">
        <v>19</v>
      </c>
    </row>
    <row r="5507" spans="1:15" x14ac:dyDescent="0.25">
      <c r="A5507" t="s">
        <v>4094</v>
      </c>
      <c r="B5507" t="s">
        <v>15</v>
      </c>
      <c r="C5507" t="s">
        <v>27</v>
      </c>
      <c r="D5507" t="s">
        <v>17</v>
      </c>
      <c r="E5507" t="s">
        <v>18</v>
      </c>
      <c r="F5507" t="s">
        <v>19</v>
      </c>
      <c r="G5507" t="s">
        <v>20</v>
      </c>
      <c r="J5507" t="s">
        <v>17</v>
      </c>
      <c r="K5507" t="str">
        <f>"764814257"</f>
        <v>764814257</v>
      </c>
      <c r="L5507" t="str">
        <f>"764814257"</f>
        <v>764814257</v>
      </c>
      <c r="M5507" t="s">
        <v>84</v>
      </c>
      <c r="N5507" s="1">
        <v>43286.978472222225</v>
      </c>
      <c r="O5507" t="s">
        <v>19</v>
      </c>
    </row>
    <row r="5508" spans="1:15" x14ac:dyDescent="0.25">
      <c r="A5508" t="s">
        <v>4094</v>
      </c>
      <c r="B5508" t="s">
        <v>15</v>
      </c>
      <c r="C5508" t="s">
        <v>27</v>
      </c>
      <c r="D5508" t="s">
        <v>17</v>
      </c>
      <c r="E5508" t="s">
        <v>18</v>
      </c>
      <c r="F5508" t="s">
        <v>19</v>
      </c>
      <c r="G5508" t="s">
        <v>20</v>
      </c>
      <c r="J5508" t="s">
        <v>17</v>
      </c>
      <c r="K5508" t="str">
        <f>"767714257"</f>
        <v>767714257</v>
      </c>
      <c r="L5508" t="str">
        <f>"767714257"</f>
        <v>767714257</v>
      </c>
      <c r="M5508" t="s">
        <v>84</v>
      </c>
      <c r="N5508" s="1">
        <v>43328.943749999999</v>
      </c>
      <c r="O5508" t="s">
        <v>19</v>
      </c>
    </row>
    <row r="5509" spans="1:15" x14ac:dyDescent="0.25">
      <c r="A5509" t="s">
        <v>4095</v>
      </c>
      <c r="B5509" t="s">
        <v>15</v>
      </c>
      <c r="C5509" t="s">
        <v>27</v>
      </c>
      <c r="D5509" t="s">
        <v>17</v>
      </c>
      <c r="E5509" t="s">
        <v>18</v>
      </c>
      <c r="F5509" t="s">
        <v>19</v>
      </c>
      <c r="G5509" t="s">
        <v>20</v>
      </c>
      <c r="J5509" t="s">
        <v>17</v>
      </c>
      <c r="K5509" t="str">
        <f>"767714137"</f>
        <v>767714137</v>
      </c>
      <c r="L5509" t="str">
        <f>"767714137"</f>
        <v>767714137</v>
      </c>
      <c r="M5509" t="s">
        <v>75</v>
      </c>
      <c r="N5509" s="1">
        <v>43045.734027777777</v>
      </c>
      <c r="O5509" t="s">
        <v>19</v>
      </c>
    </row>
    <row r="5510" spans="1:15" x14ac:dyDescent="0.25">
      <c r="A5510" t="s">
        <v>4095</v>
      </c>
      <c r="B5510" t="s">
        <v>15</v>
      </c>
      <c r="C5510" t="s">
        <v>27</v>
      </c>
      <c r="D5510" t="s">
        <v>17</v>
      </c>
      <c r="E5510" t="s">
        <v>18</v>
      </c>
      <c r="F5510" t="s">
        <v>19</v>
      </c>
      <c r="G5510" t="s">
        <v>20</v>
      </c>
      <c r="J5510" t="s">
        <v>17</v>
      </c>
      <c r="K5510" t="str">
        <f>"174814137"</f>
        <v>174814137</v>
      </c>
      <c r="L5510" t="str">
        <f>"174814137"</f>
        <v>174814137</v>
      </c>
      <c r="M5510" t="s">
        <v>75</v>
      </c>
      <c r="N5510" s="1">
        <v>43133.655555555553</v>
      </c>
      <c r="O5510" t="s">
        <v>19</v>
      </c>
    </row>
    <row r="5511" spans="1:15" x14ac:dyDescent="0.25">
      <c r="A5511" t="s">
        <v>4095</v>
      </c>
      <c r="B5511" t="s">
        <v>15</v>
      </c>
      <c r="C5511" t="s">
        <v>27</v>
      </c>
      <c r="D5511" t="s">
        <v>17</v>
      </c>
      <c r="E5511" t="s">
        <v>18</v>
      </c>
      <c r="F5511" t="s">
        <v>19</v>
      </c>
      <c r="G5511" t="s">
        <v>20</v>
      </c>
      <c r="J5511" t="s">
        <v>17</v>
      </c>
      <c r="K5511" t="str">
        <f>"765114137"</f>
        <v>765114137</v>
      </c>
      <c r="L5511" t="str">
        <f>"765114137"</f>
        <v>765114137</v>
      </c>
      <c r="M5511" t="s">
        <v>75</v>
      </c>
      <c r="N5511" s="1">
        <v>43148.65625</v>
      </c>
      <c r="O5511" t="s">
        <v>19</v>
      </c>
    </row>
    <row r="5512" spans="1:15" x14ac:dyDescent="0.25">
      <c r="A5512" t="s">
        <v>4095</v>
      </c>
      <c r="B5512" t="s">
        <v>15</v>
      </c>
      <c r="C5512" t="s">
        <v>27</v>
      </c>
      <c r="D5512" t="s">
        <v>17</v>
      </c>
      <c r="E5512" t="s">
        <v>18</v>
      </c>
      <c r="F5512" t="s">
        <v>19</v>
      </c>
      <c r="G5512" t="s">
        <v>20</v>
      </c>
      <c r="J5512" t="s">
        <v>17</v>
      </c>
      <c r="K5512" t="str">
        <f>"764814137"</f>
        <v>764814137</v>
      </c>
      <c r="L5512" t="str">
        <f>"764814137"</f>
        <v>764814137</v>
      </c>
      <c r="M5512" t="s">
        <v>75</v>
      </c>
      <c r="N5512" s="1">
        <v>43236.947916666664</v>
      </c>
      <c r="O5512" t="s">
        <v>19</v>
      </c>
    </row>
    <row r="5513" spans="1:15" x14ac:dyDescent="0.25">
      <c r="A5513" t="s">
        <v>4095</v>
      </c>
      <c r="B5513" t="s">
        <v>15</v>
      </c>
      <c r="C5513" t="s">
        <v>27</v>
      </c>
      <c r="D5513" t="s">
        <v>17</v>
      </c>
      <c r="E5513" t="s">
        <v>18</v>
      </c>
      <c r="F5513" t="s">
        <v>19</v>
      </c>
      <c r="G5513" t="s">
        <v>20</v>
      </c>
      <c r="J5513" t="s">
        <v>17</v>
      </c>
      <c r="K5513" t="str">
        <f>"1000001094014"</f>
        <v>1000001094014</v>
      </c>
      <c r="L5513" t="str">
        <f>"76651447"</f>
        <v>76651447</v>
      </c>
      <c r="M5513" t="s">
        <v>84</v>
      </c>
      <c r="N5513" s="1">
        <v>43320.945138888892</v>
      </c>
      <c r="O5513" t="s">
        <v>19</v>
      </c>
    </row>
    <row r="5514" spans="1:15" x14ac:dyDescent="0.25">
      <c r="A5514" t="s">
        <v>4095</v>
      </c>
      <c r="B5514" t="s">
        <v>15</v>
      </c>
      <c r="C5514" t="s">
        <v>27</v>
      </c>
      <c r="D5514" t="s">
        <v>17</v>
      </c>
      <c r="E5514" t="s">
        <v>18</v>
      </c>
      <c r="F5514" t="s">
        <v>19</v>
      </c>
      <c r="G5514" t="s">
        <v>20</v>
      </c>
      <c r="J5514" t="s">
        <v>17</v>
      </c>
      <c r="K5514" t="str">
        <f>"764714137"</f>
        <v>764714137</v>
      </c>
      <c r="L5514" t="str">
        <f>"764714137"</f>
        <v>764714137</v>
      </c>
      <c r="M5514" t="s">
        <v>84</v>
      </c>
      <c r="N5514" s="1">
        <v>43321.668055555558</v>
      </c>
      <c r="O5514" t="s">
        <v>19</v>
      </c>
    </row>
    <row r="5515" spans="1:15" x14ac:dyDescent="0.25">
      <c r="A5515" t="s">
        <v>4096</v>
      </c>
      <c r="B5515" t="s">
        <v>15</v>
      </c>
      <c r="C5515" t="s">
        <v>27</v>
      </c>
      <c r="D5515" t="s">
        <v>17</v>
      </c>
      <c r="E5515" t="s">
        <v>18</v>
      </c>
      <c r="F5515" t="s">
        <v>19</v>
      </c>
      <c r="G5515" t="s">
        <v>20</v>
      </c>
      <c r="J5515" t="s">
        <v>17</v>
      </c>
      <c r="K5515" t="str">
        <f>"174814266"</f>
        <v>174814266</v>
      </c>
      <c r="L5515" t="str">
        <f>"174814266"</f>
        <v>174814266</v>
      </c>
      <c r="M5515" t="s">
        <v>75</v>
      </c>
      <c r="N5515" s="1">
        <v>42872.849305555559</v>
      </c>
      <c r="O5515" t="s">
        <v>19</v>
      </c>
    </row>
    <row r="5516" spans="1:15" x14ac:dyDescent="0.25">
      <c r="A5516" t="s">
        <v>4096</v>
      </c>
      <c r="B5516" t="s">
        <v>15</v>
      </c>
      <c r="C5516" t="s">
        <v>27</v>
      </c>
      <c r="D5516" t="s">
        <v>17</v>
      </c>
      <c r="E5516" t="s">
        <v>18</v>
      </c>
      <c r="F5516" t="s">
        <v>19</v>
      </c>
      <c r="G5516" t="s">
        <v>20</v>
      </c>
      <c r="J5516" t="s">
        <v>17</v>
      </c>
      <c r="K5516" t="str">
        <f>"914814266"</f>
        <v>914814266</v>
      </c>
      <c r="L5516" t="str">
        <f>"914814266"</f>
        <v>914814266</v>
      </c>
      <c r="M5516" t="s">
        <v>75</v>
      </c>
      <c r="N5516" s="1">
        <v>42872.849305555559</v>
      </c>
      <c r="O5516" t="s">
        <v>19</v>
      </c>
    </row>
    <row r="5517" spans="1:15" x14ac:dyDescent="0.25">
      <c r="A5517" t="s">
        <v>4096</v>
      </c>
      <c r="B5517" t="s">
        <v>15</v>
      </c>
      <c r="C5517" t="s">
        <v>27</v>
      </c>
      <c r="D5517" t="s">
        <v>17</v>
      </c>
      <c r="E5517" t="s">
        <v>18</v>
      </c>
      <c r="F5517" t="s">
        <v>19</v>
      </c>
      <c r="G5517" t="s">
        <v>20</v>
      </c>
      <c r="J5517" t="s">
        <v>17</v>
      </c>
      <c r="K5517" t="str">
        <f>"175814266"</f>
        <v>175814266</v>
      </c>
      <c r="L5517" t="str">
        <f>"175814266"</f>
        <v>175814266</v>
      </c>
      <c r="M5517" t="s">
        <v>75</v>
      </c>
      <c r="N5517" s="1">
        <v>42872.849305555559</v>
      </c>
      <c r="O5517" t="s">
        <v>19</v>
      </c>
    </row>
    <row r="5518" spans="1:15" x14ac:dyDescent="0.25">
      <c r="A5518" t="s">
        <v>4096</v>
      </c>
      <c r="B5518" t="s">
        <v>15</v>
      </c>
      <c r="C5518" t="s">
        <v>27</v>
      </c>
      <c r="D5518" t="s">
        <v>17</v>
      </c>
      <c r="E5518" t="s">
        <v>18</v>
      </c>
      <c r="F5518" t="s">
        <v>19</v>
      </c>
      <c r="G5518" t="s">
        <v>20</v>
      </c>
      <c r="J5518" t="s">
        <v>17</v>
      </c>
      <c r="K5518" t="str">
        <f>"764714266"</f>
        <v>764714266</v>
      </c>
      <c r="L5518" t="str">
        <f>"764714266"</f>
        <v>764714266</v>
      </c>
      <c r="M5518" t="s">
        <v>75</v>
      </c>
      <c r="N5518" s="1">
        <v>42872.849305555559</v>
      </c>
      <c r="O5518" t="s">
        <v>19</v>
      </c>
    </row>
    <row r="5519" spans="1:15" x14ac:dyDescent="0.25">
      <c r="A5519" t="s">
        <v>4096</v>
      </c>
      <c r="B5519" t="s">
        <v>15</v>
      </c>
      <c r="C5519" t="s">
        <v>27</v>
      </c>
      <c r="D5519" t="s">
        <v>17</v>
      </c>
      <c r="E5519" t="s">
        <v>18</v>
      </c>
      <c r="F5519" t="s">
        <v>19</v>
      </c>
      <c r="G5519" t="s">
        <v>20</v>
      </c>
      <c r="J5519" t="s">
        <v>17</v>
      </c>
      <c r="K5519" t="str">
        <f>"767514266"</f>
        <v>767514266</v>
      </c>
      <c r="L5519" t="str">
        <f>"767514266"</f>
        <v>767514266</v>
      </c>
      <c r="M5519" t="s">
        <v>75</v>
      </c>
      <c r="N5519" s="1">
        <v>42872.849305555559</v>
      </c>
      <c r="O5519" t="s">
        <v>19</v>
      </c>
    </row>
    <row r="5520" spans="1:15" x14ac:dyDescent="0.25">
      <c r="A5520" t="s">
        <v>4096</v>
      </c>
      <c r="B5520" t="s">
        <v>15</v>
      </c>
      <c r="C5520" t="s">
        <v>27</v>
      </c>
      <c r="D5520" t="s">
        <v>17</v>
      </c>
      <c r="E5520" t="s">
        <v>18</v>
      </c>
      <c r="F5520" t="s">
        <v>19</v>
      </c>
      <c r="G5520" t="s">
        <v>20</v>
      </c>
      <c r="J5520" t="s">
        <v>17</v>
      </c>
      <c r="K5520" t="str">
        <f>"767714266"</f>
        <v>767714266</v>
      </c>
      <c r="L5520" t="str">
        <f>"767714266"</f>
        <v>767714266</v>
      </c>
      <c r="M5520" t="s">
        <v>75</v>
      </c>
      <c r="N5520" s="1">
        <v>42872.849305555559</v>
      </c>
      <c r="O5520" t="s">
        <v>19</v>
      </c>
    </row>
    <row r="5521" spans="1:15" x14ac:dyDescent="0.25">
      <c r="A5521" t="s">
        <v>4096</v>
      </c>
      <c r="B5521" t="s">
        <v>15</v>
      </c>
      <c r="C5521" t="s">
        <v>27</v>
      </c>
      <c r="D5521" t="s">
        <v>17</v>
      </c>
      <c r="E5521" t="s">
        <v>18</v>
      </c>
      <c r="F5521" t="s">
        <v>19</v>
      </c>
      <c r="G5521" t="s">
        <v>20</v>
      </c>
      <c r="J5521" t="s">
        <v>17</v>
      </c>
      <c r="K5521" t="str">
        <f>"767614266"</f>
        <v>767614266</v>
      </c>
      <c r="L5521" t="str">
        <f>"767614266"</f>
        <v>767614266</v>
      </c>
      <c r="M5521" t="s">
        <v>75</v>
      </c>
      <c r="N5521" s="1">
        <v>42872.849305555559</v>
      </c>
      <c r="O5521" t="s">
        <v>19</v>
      </c>
    </row>
    <row r="5522" spans="1:15" x14ac:dyDescent="0.25">
      <c r="A5522" t="s">
        <v>4096</v>
      </c>
      <c r="B5522" t="s">
        <v>15</v>
      </c>
      <c r="C5522" t="s">
        <v>27</v>
      </c>
      <c r="D5522" t="s">
        <v>17</v>
      </c>
      <c r="E5522" t="s">
        <v>18</v>
      </c>
      <c r="F5522" t="s">
        <v>19</v>
      </c>
      <c r="G5522" t="s">
        <v>20</v>
      </c>
      <c r="J5522" t="s">
        <v>17</v>
      </c>
      <c r="K5522" t="str">
        <f>"767914266"</f>
        <v>767914266</v>
      </c>
      <c r="L5522" t="str">
        <f>"767914266"</f>
        <v>767914266</v>
      </c>
      <c r="M5522" t="s">
        <v>75</v>
      </c>
      <c r="N5522" s="1">
        <v>42933.729166666664</v>
      </c>
      <c r="O5522" t="s">
        <v>19</v>
      </c>
    </row>
    <row r="5523" spans="1:15" x14ac:dyDescent="0.25">
      <c r="A5523" t="s">
        <v>4096</v>
      </c>
      <c r="B5523" t="s">
        <v>15</v>
      </c>
      <c r="C5523" t="s">
        <v>27</v>
      </c>
      <c r="D5523" t="s">
        <v>17</v>
      </c>
      <c r="E5523" t="s">
        <v>18</v>
      </c>
      <c r="F5523" t="s">
        <v>19</v>
      </c>
      <c r="G5523" t="s">
        <v>20</v>
      </c>
      <c r="J5523" t="s">
        <v>17</v>
      </c>
      <c r="K5523" t="str">
        <f>"764814266"</f>
        <v>764814266</v>
      </c>
      <c r="L5523" t="str">
        <f>"764814266"</f>
        <v>764814266</v>
      </c>
      <c r="M5523" t="s">
        <v>75</v>
      </c>
      <c r="N5523" s="1">
        <v>42959.720833333333</v>
      </c>
      <c r="O5523" t="s">
        <v>19</v>
      </c>
    </row>
    <row r="5524" spans="1:15" x14ac:dyDescent="0.25">
      <c r="A5524" t="s">
        <v>4096</v>
      </c>
      <c r="B5524" t="s">
        <v>15</v>
      </c>
      <c r="C5524" t="s">
        <v>27</v>
      </c>
      <c r="D5524" t="s">
        <v>17</v>
      </c>
      <c r="E5524" t="s">
        <v>18</v>
      </c>
      <c r="F5524" t="s">
        <v>19</v>
      </c>
      <c r="G5524" t="s">
        <v>20</v>
      </c>
      <c r="J5524" t="s">
        <v>17</v>
      </c>
      <c r="K5524" t="str">
        <f>"345914266"</f>
        <v>345914266</v>
      </c>
      <c r="L5524" t="str">
        <f>"345914266"</f>
        <v>345914266</v>
      </c>
      <c r="M5524" t="s">
        <v>75</v>
      </c>
      <c r="N5524" s="1">
        <v>43131.692361111112</v>
      </c>
      <c r="O5524" t="s">
        <v>19</v>
      </c>
    </row>
    <row r="5525" spans="1:15" x14ac:dyDescent="0.25">
      <c r="A5525" t="s">
        <v>4096</v>
      </c>
      <c r="B5525" t="s">
        <v>15</v>
      </c>
      <c r="C5525" t="s">
        <v>27</v>
      </c>
      <c r="D5525" t="s">
        <v>17</v>
      </c>
      <c r="E5525" t="s">
        <v>18</v>
      </c>
      <c r="F5525" t="s">
        <v>19</v>
      </c>
      <c r="G5525" t="s">
        <v>20</v>
      </c>
      <c r="J5525" t="s">
        <v>17</v>
      </c>
      <c r="K5525" t="str">
        <f>"765114266"</f>
        <v>765114266</v>
      </c>
      <c r="L5525" t="str">
        <f>"765114266"</f>
        <v>765114266</v>
      </c>
      <c r="M5525" t="s">
        <v>75</v>
      </c>
      <c r="N5525" s="1">
        <v>43148.65625</v>
      </c>
      <c r="O5525" t="s">
        <v>19</v>
      </c>
    </row>
    <row r="5526" spans="1:15" x14ac:dyDescent="0.25">
      <c r="A5526" t="s">
        <v>4096</v>
      </c>
      <c r="B5526" t="s">
        <v>15</v>
      </c>
      <c r="C5526" t="s">
        <v>27</v>
      </c>
      <c r="D5526" t="s">
        <v>17</v>
      </c>
      <c r="E5526" t="s">
        <v>18</v>
      </c>
      <c r="F5526" t="s">
        <v>19</v>
      </c>
      <c r="G5526" t="s">
        <v>20</v>
      </c>
      <c r="J5526" t="s">
        <v>17</v>
      </c>
      <c r="K5526" t="str">
        <f>"763914266"</f>
        <v>763914266</v>
      </c>
      <c r="L5526" t="str">
        <f>"763914266"</f>
        <v>763914266</v>
      </c>
      <c r="M5526" t="s">
        <v>75</v>
      </c>
      <c r="N5526" s="1">
        <v>43196.826388888891</v>
      </c>
      <c r="O5526" t="s">
        <v>19</v>
      </c>
    </row>
    <row r="5527" spans="1:15" x14ac:dyDescent="0.25">
      <c r="A5527" t="s">
        <v>4096</v>
      </c>
      <c r="B5527" t="s">
        <v>15</v>
      </c>
      <c r="C5527" t="s">
        <v>27</v>
      </c>
      <c r="D5527" t="s">
        <v>17</v>
      </c>
      <c r="E5527" t="s">
        <v>18</v>
      </c>
      <c r="F5527" t="s">
        <v>19</v>
      </c>
      <c r="G5527" t="s">
        <v>20</v>
      </c>
      <c r="J5527" t="s">
        <v>17</v>
      </c>
      <c r="K5527" t="str">
        <f>"344814266"</f>
        <v>344814266</v>
      </c>
      <c r="L5527" t="str">
        <f>"344814266"</f>
        <v>344814266</v>
      </c>
      <c r="M5527" t="s">
        <v>84</v>
      </c>
      <c r="N5527" s="1">
        <v>43306.710416666669</v>
      </c>
      <c r="O5527" t="s">
        <v>19</v>
      </c>
    </row>
    <row r="5528" spans="1:15" x14ac:dyDescent="0.25">
      <c r="A5528" t="s">
        <v>4096</v>
      </c>
      <c r="B5528" t="s">
        <v>15</v>
      </c>
      <c r="C5528" t="s">
        <v>27</v>
      </c>
      <c r="D5528" t="s">
        <v>17</v>
      </c>
      <c r="E5528" t="s">
        <v>18</v>
      </c>
      <c r="F5528" t="s">
        <v>19</v>
      </c>
      <c r="G5528" t="s">
        <v>20</v>
      </c>
      <c r="J5528" t="s">
        <v>17</v>
      </c>
      <c r="K5528" t="str">
        <f>"1000001094274"</f>
        <v>1000001094274</v>
      </c>
      <c r="L5528" t="str">
        <f>"766514266"</f>
        <v>766514266</v>
      </c>
      <c r="M5528" t="s">
        <v>84</v>
      </c>
      <c r="N5528" s="1">
        <v>43320.947916666664</v>
      </c>
      <c r="O5528" t="s">
        <v>19</v>
      </c>
    </row>
    <row r="5529" spans="1:15" x14ac:dyDescent="0.25">
      <c r="A5529" t="s">
        <v>4096</v>
      </c>
      <c r="B5529" t="s">
        <v>15</v>
      </c>
      <c r="C5529" t="s">
        <v>27</v>
      </c>
      <c r="D5529" t="s">
        <v>17</v>
      </c>
      <c r="E5529" t="s">
        <v>18</v>
      </c>
      <c r="F5529" t="s">
        <v>19</v>
      </c>
      <c r="G5529" t="s">
        <v>20</v>
      </c>
      <c r="J5529" t="s">
        <v>18</v>
      </c>
      <c r="K5529" t="str">
        <f>"1000001092706"</f>
        <v>1000001092706</v>
      </c>
      <c r="L5529" t="str">
        <f>"768014266"</f>
        <v>768014266</v>
      </c>
      <c r="M5529" t="s">
        <v>84</v>
      </c>
      <c r="N5529" s="1">
        <v>43351.67083333333</v>
      </c>
      <c r="O5529" t="s">
        <v>19</v>
      </c>
    </row>
    <row r="5530" spans="1:15" x14ac:dyDescent="0.25">
      <c r="A5530" t="s">
        <v>4097</v>
      </c>
      <c r="B5530" t="s">
        <v>15</v>
      </c>
      <c r="C5530" t="s">
        <v>27</v>
      </c>
      <c r="D5530" t="s">
        <v>17</v>
      </c>
      <c r="E5530" t="s">
        <v>18</v>
      </c>
      <c r="F5530" t="s">
        <v>19</v>
      </c>
      <c r="G5530" t="s">
        <v>20</v>
      </c>
      <c r="J5530" t="s">
        <v>17</v>
      </c>
      <c r="K5530" t="str">
        <f>"767514129"</f>
        <v>767514129</v>
      </c>
      <c r="L5530" t="str">
        <f>"767514129"</f>
        <v>767514129</v>
      </c>
      <c r="M5530" t="s">
        <v>75</v>
      </c>
      <c r="N5530" s="1">
        <v>42987.890277777777</v>
      </c>
      <c r="O5530" t="s">
        <v>19</v>
      </c>
    </row>
    <row r="5531" spans="1:15" x14ac:dyDescent="0.25">
      <c r="A5531" t="s">
        <v>4097</v>
      </c>
      <c r="B5531" t="s">
        <v>15</v>
      </c>
      <c r="C5531" t="s">
        <v>27</v>
      </c>
      <c r="D5531" t="s">
        <v>17</v>
      </c>
      <c r="E5531" t="s">
        <v>18</v>
      </c>
      <c r="F5531" t="s">
        <v>19</v>
      </c>
      <c r="G5531" t="s">
        <v>20</v>
      </c>
      <c r="J5531" t="s">
        <v>17</v>
      </c>
      <c r="K5531" t="str">
        <f>"764814129"</f>
        <v>764814129</v>
      </c>
      <c r="L5531" t="str">
        <f>"764814129"</f>
        <v>764814129</v>
      </c>
      <c r="M5531" t="s">
        <v>75</v>
      </c>
      <c r="N5531" s="1">
        <v>43064.708333333336</v>
      </c>
      <c r="O5531" t="s">
        <v>19</v>
      </c>
    </row>
    <row r="5532" spans="1:15" x14ac:dyDescent="0.25">
      <c r="A5532" t="s">
        <v>4097</v>
      </c>
      <c r="B5532" t="s">
        <v>15</v>
      </c>
      <c r="C5532" t="s">
        <v>27</v>
      </c>
      <c r="D5532" t="s">
        <v>17</v>
      </c>
      <c r="E5532" t="s">
        <v>18</v>
      </c>
      <c r="F5532" t="s">
        <v>19</v>
      </c>
      <c r="G5532" t="s">
        <v>20</v>
      </c>
      <c r="J5532" t="s">
        <v>17</v>
      </c>
      <c r="K5532" t="str">
        <f>"174814129"</f>
        <v>174814129</v>
      </c>
      <c r="L5532" t="str">
        <f>"174814129"</f>
        <v>174814129</v>
      </c>
      <c r="M5532" t="s">
        <v>75</v>
      </c>
      <c r="N5532" s="1">
        <v>43096.702777777777</v>
      </c>
      <c r="O5532" t="s">
        <v>19</v>
      </c>
    </row>
    <row r="5533" spans="1:15" x14ac:dyDescent="0.25">
      <c r="A5533" t="s">
        <v>4097</v>
      </c>
      <c r="B5533" t="s">
        <v>15</v>
      </c>
      <c r="C5533" t="s">
        <v>27</v>
      </c>
      <c r="D5533" t="s">
        <v>17</v>
      </c>
      <c r="E5533" t="s">
        <v>18</v>
      </c>
      <c r="F5533" t="s">
        <v>19</v>
      </c>
      <c r="G5533" t="s">
        <v>20</v>
      </c>
      <c r="J5533" t="s">
        <v>17</v>
      </c>
      <c r="K5533" t="str">
        <f>"765114129"</f>
        <v>765114129</v>
      </c>
      <c r="L5533" t="str">
        <f>"765114129"</f>
        <v>765114129</v>
      </c>
      <c r="M5533" t="s">
        <v>75</v>
      </c>
      <c r="N5533" s="1">
        <v>43174.842361111114</v>
      </c>
      <c r="O5533" t="s">
        <v>19</v>
      </c>
    </row>
    <row r="5534" spans="1:15" x14ac:dyDescent="0.25">
      <c r="A5534" t="s">
        <v>4097</v>
      </c>
      <c r="B5534" t="s">
        <v>15</v>
      </c>
      <c r="C5534" t="s">
        <v>27</v>
      </c>
      <c r="D5534" t="s">
        <v>17</v>
      </c>
      <c r="E5534" t="s">
        <v>18</v>
      </c>
      <c r="F5534" t="s">
        <v>19</v>
      </c>
      <c r="G5534" t="s">
        <v>20</v>
      </c>
      <c r="J5534" t="s">
        <v>17</v>
      </c>
      <c r="K5534" t="str">
        <f>"765914129"</f>
        <v>765914129</v>
      </c>
      <c r="L5534" t="str">
        <f>"765914129"</f>
        <v>765914129</v>
      </c>
      <c r="M5534" t="s">
        <v>84</v>
      </c>
      <c r="N5534" s="1">
        <v>43251.744444444441</v>
      </c>
      <c r="O5534" t="s">
        <v>19</v>
      </c>
    </row>
    <row r="5535" spans="1:15" x14ac:dyDescent="0.25">
      <c r="A5535" t="s">
        <v>4097</v>
      </c>
      <c r="B5535" t="s">
        <v>15</v>
      </c>
      <c r="C5535" t="s">
        <v>27</v>
      </c>
      <c r="D5535" t="s">
        <v>17</v>
      </c>
      <c r="E5535" t="s">
        <v>18</v>
      </c>
      <c r="F5535" t="s">
        <v>19</v>
      </c>
      <c r="G5535" t="s">
        <v>20</v>
      </c>
      <c r="J5535" t="s">
        <v>17</v>
      </c>
      <c r="K5535" t="str">
        <f>"766414129"</f>
        <v>766414129</v>
      </c>
      <c r="L5535" t="str">
        <f>"766414129"</f>
        <v>766414129</v>
      </c>
      <c r="M5535" t="s">
        <v>84</v>
      </c>
      <c r="N5535" s="1">
        <v>43266.722222222219</v>
      </c>
      <c r="O5535" t="s">
        <v>19</v>
      </c>
    </row>
    <row r="5536" spans="1:15" x14ac:dyDescent="0.25">
      <c r="A5536" t="s">
        <v>4097</v>
      </c>
      <c r="B5536" t="s">
        <v>15</v>
      </c>
      <c r="C5536" t="s">
        <v>27</v>
      </c>
      <c r="D5536" t="s">
        <v>17</v>
      </c>
      <c r="E5536" t="s">
        <v>18</v>
      </c>
      <c r="F5536" t="s">
        <v>19</v>
      </c>
      <c r="G5536" t="s">
        <v>20</v>
      </c>
      <c r="J5536" t="s">
        <v>17</v>
      </c>
      <c r="K5536" t="str">
        <f>"764714129"</f>
        <v>764714129</v>
      </c>
      <c r="L5536" t="str">
        <f>"764714129"</f>
        <v>764714129</v>
      </c>
      <c r="M5536" t="s">
        <v>84</v>
      </c>
      <c r="N5536" s="1">
        <v>43321.669444444444</v>
      </c>
      <c r="O5536" t="s">
        <v>19</v>
      </c>
    </row>
    <row r="5537" spans="1:15" x14ac:dyDescent="0.25">
      <c r="A5537" t="s">
        <v>4097</v>
      </c>
      <c r="B5537" t="s">
        <v>15</v>
      </c>
      <c r="C5537" t="s">
        <v>27</v>
      </c>
      <c r="D5537" t="s">
        <v>17</v>
      </c>
      <c r="E5537" t="s">
        <v>18</v>
      </c>
      <c r="F5537" t="s">
        <v>19</v>
      </c>
      <c r="G5537" t="s">
        <v>20</v>
      </c>
      <c r="J5537" t="s">
        <v>17</v>
      </c>
      <c r="K5537" t="str">
        <f>"695114129"</f>
        <v>695114129</v>
      </c>
      <c r="L5537" t="str">
        <f>"695114129"</f>
        <v>695114129</v>
      </c>
      <c r="M5537" t="s">
        <v>84</v>
      </c>
      <c r="N5537" s="1">
        <v>43328.839583333334</v>
      </c>
      <c r="O5537" t="s">
        <v>19</v>
      </c>
    </row>
    <row r="5538" spans="1:15" x14ac:dyDescent="0.25">
      <c r="A5538" t="s">
        <v>4097</v>
      </c>
      <c r="B5538" t="s">
        <v>15</v>
      </c>
      <c r="C5538" t="s">
        <v>27</v>
      </c>
      <c r="D5538" t="s">
        <v>17</v>
      </c>
      <c r="E5538" t="s">
        <v>18</v>
      </c>
      <c r="F5538" t="s">
        <v>19</v>
      </c>
      <c r="G5538" t="s">
        <v>20</v>
      </c>
      <c r="J5538" t="s">
        <v>17</v>
      </c>
      <c r="K5538" t="str">
        <f>"4001166010694"</f>
        <v>4001166010694</v>
      </c>
      <c r="L5538" t="str">
        <f>"414814129"</f>
        <v>414814129</v>
      </c>
      <c r="M5538" t="s">
        <v>84</v>
      </c>
      <c r="N5538" s="1">
        <v>43350.873611111114</v>
      </c>
      <c r="O5538" t="s">
        <v>19</v>
      </c>
    </row>
    <row r="5539" spans="1:15" x14ac:dyDescent="0.25">
      <c r="A5539" t="s">
        <v>4098</v>
      </c>
      <c r="B5539" t="s">
        <v>15</v>
      </c>
      <c r="C5539" t="s">
        <v>27</v>
      </c>
      <c r="D5539" t="s">
        <v>17</v>
      </c>
      <c r="E5539" t="s">
        <v>18</v>
      </c>
      <c r="F5539" t="s">
        <v>19</v>
      </c>
      <c r="G5539" t="s">
        <v>20</v>
      </c>
      <c r="J5539" t="s">
        <v>17</v>
      </c>
      <c r="K5539" t="str">
        <f>"174814127"</f>
        <v>174814127</v>
      </c>
      <c r="L5539" t="str">
        <f>"174814127"</f>
        <v>174814127</v>
      </c>
      <c r="M5539" t="s">
        <v>75</v>
      </c>
      <c r="N5539" s="1">
        <v>42872.849305555559</v>
      </c>
      <c r="O5539" t="s">
        <v>19</v>
      </c>
    </row>
    <row r="5540" spans="1:15" x14ac:dyDescent="0.25">
      <c r="A5540" t="s">
        <v>4098</v>
      </c>
      <c r="B5540" t="s">
        <v>15</v>
      </c>
      <c r="C5540" t="s">
        <v>27</v>
      </c>
      <c r="D5540" t="s">
        <v>17</v>
      </c>
      <c r="E5540" t="s">
        <v>18</v>
      </c>
      <c r="F5540" t="s">
        <v>19</v>
      </c>
      <c r="G5540" t="s">
        <v>20</v>
      </c>
      <c r="J5540" t="s">
        <v>17</v>
      </c>
      <c r="K5540" t="str">
        <f>"175814127"</f>
        <v>175814127</v>
      </c>
      <c r="L5540" t="str">
        <f>"175814127"</f>
        <v>175814127</v>
      </c>
      <c r="M5540" t="s">
        <v>75</v>
      </c>
      <c r="N5540" s="1">
        <v>42872.849305555559</v>
      </c>
      <c r="O5540" t="s">
        <v>19</v>
      </c>
    </row>
    <row r="5541" spans="1:15" x14ac:dyDescent="0.25">
      <c r="A5541" t="s">
        <v>4098</v>
      </c>
      <c r="B5541" t="s">
        <v>15</v>
      </c>
      <c r="C5541" t="s">
        <v>27</v>
      </c>
      <c r="D5541" t="s">
        <v>17</v>
      </c>
      <c r="E5541" t="s">
        <v>18</v>
      </c>
      <c r="F5541" t="s">
        <v>19</v>
      </c>
      <c r="G5541" t="s">
        <v>20</v>
      </c>
      <c r="J5541" t="s">
        <v>17</v>
      </c>
      <c r="K5541" t="str">
        <f>"178614127"</f>
        <v>178614127</v>
      </c>
      <c r="L5541" t="str">
        <f>"178614127"</f>
        <v>178614127</v>
      </c>
      <c r="M5541" t="s">
        <v>75</v>
      </c>
      <c r="N5541" s="1">
        <v>42872.849305555559</v>
      </c>
      <c r="O5541" t="s">
        <v>19</v>
      </c>
    </row>
    <row r="5542" spans="1:15" x14ac:dyDescent="0.25">
      <c r="A5542" t="s">
        <v>4098</v>
      </c>
      <c r="B5542" t="s">
        <v>15</v>
      </c>
      <c r="C5542" t="s">
        <v>27</v>
      </c>
      <c r="D5542" t="s">
        <v>17</v>
      </c>
      <c r="E5542" t="s">
        <v>18</v>
      </c>
      <c r="F5542" t="s">
        <v>19</v>
      </c>
      <c r="G5542" t="s">
        <v>20</v>
      </c>
      <c r="J5542" t="s">
        <v>17</v>
      </c>
      <c r="K5542" t="str">
        <f>"764814127"</f>
        <v>764814127</v>
      </c>
      <c r="L5542" t="str">
        <f>"764814127"</f>
        <v>764814127</v>
      </c>
      <c r="M5542" t="s">
        <v>75</v>
      </c>
      <c r="N5542" s="1">
        <v>42872.849305555559</v>
      </c>
      <c r="O5542" t="s">
        <v>19</v>
      </c>
    </row>
    <row r="5543" spans="1:15" x14ac:dyDescent="0.25">
      <c r="A5543" t="s">
        <v>4098</v>
      </c>
      <c r="B5543" t="s">
        <v>15</v>
      </c>
      <c r="C5543" t="s">
        <v>27</v>
      </c>
      <c r="D5543" t="s">
        <v>17</v>
      </c>
      <c r="E5543" t="s">
        <v>18</v>
      </c>
      <c r="F5543" t="s">
        <v>19</v>
      </c>
      <c r="G5543" t="s">
        <v>20</v>
      </c>
      <c r="J5543" t="s">
        <v>17</v>
      </c>
      <c r="K5543" t="str">
        <f>"767514127"</f>
        <v>767514127</v>
      </c>
      <c r="L5543" t="str">
        <f>"767514127"</f>
        <v>767514127</v>
      </c>
      <c r="M5543" t="s">
        <v>75</v>
      </c>
      <c r="N5543" s="1">
        <v>42872.849305555559</v>
      </c>
      <c r="O5543" t="s">
        <v>19</v>
      </c>
    </row>
    <row r="5544" spans="1:15" x14ac:dyDescent="0.25">
      <c r="A5544" t="s">
        <v>4098</v>
      </c>
      <c r="B5544" t="s">
        <v>15</v>
      </c>
      <c r="C5544" t="s">
        <v>27</v>
      </c>
      <c r="D5544" t="s">
        <v>17</v>
      </c>
      <c r="E5544" t="s">
        <v>18</v>
      </c>
      <c r="F5544" t="s">
        <v>19</v>
      </c>
      <c r="G5544" t="s">
        <v>20</v>
      </c>
      <c r="J5544" t="s">
        <v>17</v>
      </c>
      <c r="K5544" t="str">
        <f>"765814127"</f>
        <v>765814127</v>
      </c>
      <c r="L5544" t="str">
        <f>"765814127"</f>
        <v>765814127</v>
      </c>
      <c r="M5544" t="s">
        <v>75</v>
      </c>
      <c r="N5544" s="1">
        <v>42898.975694444445</v>
      </c>
      <c r="O5544" t="s">
        <v>19</v>
      </c>
    </row>
    <row r="5545" spans="1:15" x14ac:dyDescent="0.25">
      <c r="A5545" t="s">
        <v>4098</v>
      </c>
      <c r="B5545" t="s">
        <v>15</v>
      </c>
      <c r="C5545" t="s">
        <v>27</v>
      </c>
      <c r="D5545" t="s">
        <v>17</v>
      </c>
      <c r="E5545" t="s">
        <v>18</v>
      </c>
      <c r="F5545" t="s">
        <v>19</v>
      </c>
      <c r="G5545" t="s">
        <v>20</v>
      </c>
      <c r="J5545" t="s">
        <v>17</v>
      </c>
      <c r="K5545" t="str">
        <f>"767714127"</f>
        <v>767714127</v>
      </c>
      <c r="L5545" t="str">
        <f>"767714127"</f>
        <v>767714127</v>
      </c>
      <c r="M5545" t="s">
        <v>75</v>
      </c>
      <c r="N5545" s="1">
        <v>43045.73333333333</v>
      </c>
      <c r="O5545" t="s">
        <v>19</v>
      </c>
    </row>
    <row r="5546" spans="1:15" x14ac:dyDescent="0.25">
      <c r="A5546" t="s">
        <v>4098</v>
      </c>
      <c r="B5546" t="s">
        <v>15</v>
      </c>
      <c r="C5546" t="s">
        <v>27</v>
      </c>
      <c r="D5546" t="s">
        <v>17</v>
      </c>
      <c r="E5546" t="s">
        <v>18</v>
      </c>
      <c r="F5546" t="s">
        <v>19</v>
      </c>
      <c r="G5546" t="s">
        <v>20</v>
      </c>
      <c r="J5546" t="s">
        <v>17</v>
      </c>
      <c r="K5546" t="str">
        <f>"345914127"</f>
        <v>345914127</v>
      </c>
      <c r="L5546" t="str">
        <f>"345914127"</f>
        <v>345914127</v>
      </c>
      <c r="M5546" t="s">
        <v>75</v>
      </c>
      <c r="N5546" s="1">
        <v>43131.688888888886</v>
      </c>
      <c r="O5546" t="s">
        <v>19</v>
      </c>
    </row>
    <row r="5547" spans="1:15" x14ac:dyDescent="0.25">
      <c r="A5547" t="s">
        <v>4098</v>
      </c>
      <c r="B5547" t="s">
        <v>15</v>
      </c>
      <c r="C5547" t="s">
        <v>27</v>
      </c>
      <c r="D5547" t="s">
        <v>17</v>
      </c>
      <c r="E5547" t="s">
        <v>18</v>
      </c>
      <c r="F5547" t="s">
        <v>19</v>
      </c>
      <c r="G5547" t="s">
        <v>20</v>
      </c>
      <c r="J5547" t="s">
        <v>17</v>
      </c>
      <c r="K5547" t="str">
        <f>"177914127"</f>
        <v>177914127</v>
      </c>
      <c r="L5547" t="str">
        <f>"177914127"</f>
        <v>177914127</v>
      </c>
      <c r="M5547" t="s">
        <v>75</v>
      </c>
      <c r="N5547" s="1">
        <v>43132.649305555555</v>
      </c>
      <c r="O5547" t="s">
        <v>19</v>
      </c>
    </row>
    <row r="5548" spans="1:15" x14ac:dyDescent="0.25">
      <c r="A5548" t="s">
        <v>4098</v>
      </c>
      <c r="B5548" t="s">
        <v>15</v>
      </c>
      <c r="C5548" t="s">
        <v>27</v>
      </c>
      <c r="D5548" t="s">
        <v>17</v>
      </c>
      <c r="E5548" t="s">
        <v>18</v>
      </c>
      <c r="F5548" t="s">
        <v>19</v>
      </c>
      <c r="G5548" t="s">
        <v>20</v>
      </c>
      <c r="J5548" t="s">
        <v>17</v>
      </c>
      <c r="K5548" t="str">
        <f>"177514127"</f>
        <v>177514127</v>
      </c>
      <c r="L5548" t="str">
        <f>"177514127"</f>
        <v>177514127</v>
      </c>
      <c r="M5548" t="s">
        <v>75</v>
      </c>
      <c r="N5548" s="1">
        <v>43132.65347222222</v>
      </c>
      <c r="O5548" t="s">
        <v>19</v>
      </c>
    </row>
    <row r="5549" spans="1:15" x14ac:dyDescent="0.25">
      <c r="A5549" t="s">
        <v>4098</v>
      </c>
      <c r="B5549" t="s">
        <v>15</v>
      </c>
      <c r="C5549" t="s">
        <v>27</v>
      </c>
      <c r="D5549" t="s">
        <v>17</v>
      </c>
      <c r="E5549" t="s">
        <v>18</v>
      </c>
      <c r="F5549" t="s">
        <v>19</v>
      </c>
      <c r="G5549" t="s">
        <v>20</v>
      </c>
      <c r="J5549" t="s">
        <v>17</v>
      </c>
      <c r="K5549" t="str">
        <f>"765114127"</f>
        <v>765114127</v>
      </c>
      <c r="L5549" t="str">
        <f>"765114127"</f>
        <v>765114127</v>
      </c>
      <c r="M5549" t="s">
        <v>75</v>
      </c>
      <c r="N5549" s="1">
        <v>43148.656944444447</v>
      </c>
      <c r="O5549" t="s">
        <v>19</v>
      </c>
    </row>
    <row r="5550" spans="1:15" x14ac:dyDescent="0.25">
      <c r="A5550" t="s">
        <v>4098</v>
      </c>
      <c r="B5550" t="s">
        <v>15</v>
      </c>
      <c r="C5550" t="s">
        <v>27</v>
      </c>
      <c r="D5550" t="s">
        <v>17</v>
      </c>
      <c r="E5550" t="s">
        <v>18</v>
      </c>
      <c r="F5550" t="s">
        <v>19</v>
      </c>
      <c r="G5550" t="s">
        <v>20</v>
      </c>
      <c r="J5550" t="s">
        <v>17</v>
      </c>
      <c r="K5550" t="str">
        <f>"935114127"</f>
        <v>935114127</v>
      </c>
      <c r="L5550" t="str">
        <f>"935114127"</f>
        <v>935114127</v>
      </c>
      <c r="M5550" t="s">
        <v>84</v>
      </c>
      <c r="N5550" s="1">
        <v>43267.789583333331</v>
      </c>
      <c r="O5550" t="s">
        <v>19</v>
      </c>
    </row>
    <row r="5551" spans="1:15" x14ac:dyDescent="0.25">
      <c r="A5551" t="s">
        <v>4098</v>
      </c>
      <c r="B5551" t="s">
        <v>15</v>
      </c>
      <c r="C5551" t="s">
        <v>27</v>
      </c>
      <c r="D5551" t="s">
        <v>17</v>
      </c>
      <c r="E5551" t="s">
        <v>18</v>
      </c>
      <c r="F5551" t="s">
        <v>19</v>
      </c>
      <c r="G5551" t="s">
        <v>20</v>
      </c>
      <c r="J5551" t="s">
        <v>17</v>
      </c>
      <c r="K5551" t="str">
        <f>"866414127"</f>
        <v>866414127</v>
      </c>
      <c r="L5551" t="str">
        <f>"866414127"</f>
        <v>866414127</v>
      </c>
      <c r="M5551" t="s">
        <v>84</v>
      </c>
      <c r="N5551" s="1">
        <v>43364.938194444447</v>
      </c>
      <c r="O5551" t="s">
        <v>19</v>
      </c>
    </row>
    <row r="5552" spans="1:15" x14ac:dyDescent="0.25">
      <c r="A5552" t="s">
        <v>4099</v>
      </c>
      <c r="B5552" t="s">
        <v>15</v>
      </c>
      <c r="C5552" t="s">
        <v>27</v>
      </c>
      <c r="D5552" t="s">
        <v>17</v>
      </c>
      <c r="E5552" t="s">
        <v>18</v>
      </c>
      <c r="F5552" t="s">
        <v>19</v>
      </c>
      <c r="G5552" t="s">
        <v>20</v>
      </c>
      <c r="J5552" t="s">
        <v>17</v>
      </c>
      <c r="K5552" t="str">
        <f>"1000001098463"</f>
        <v>1000001098463</v>
      </c>
      <c r="L5552" t="str">
        <f>"765114261"</f>
        <v>765114261</v>
      </c>
      <c r="M5552" t="s">
        <v>84</v>
      </c>
      <c r="N5552" s="1">
        <v>43370.637499999997</v>
      </c>
      <c r="O5552" t="s">
        <v>19</v>
      </c>
    </row>
    <row r="5553" spans="1:15" x14ac:dyDescent="0.25">
      <c r="A5553" t="s">
        <v>4099</v>
      </c>
      <c r="B5553" t="s">
        <v>15</v>
      </c>
      <c r="C5553" t="s">
        <v>27</v>
      </c>
      <c r="D5553" t="s">
        <v>17</v>
      </c>
      <c r="E5553" t="s">
        <v>18</v>
      </c>
      <c r="F5553" t="s">
        <v>19</v>
      </c>
      <c r="G5553" t="s">
        <v>20</v>
      </c>
      <c r="J5553" t="s">
        <v>17</v>
      </c>
      <c r="K5553" t="str">
        <f>"764814261"</f>
        <v>764814261</v>
      </c>
      <c r="L5553" t="str">
        <f>"764814261"</f>
        <v>764814261</v>
      </c>
      <c r="M5553" t="s">
        <v>84</v>
      </c>
      <c r="N5553" s="1">
        <v>43377.910416666666</v>
      </c>
      <c r="O5553" t="s">
        <v>19</v>
      </c>
    </row>
    <row r="5554" spans="1:15" x14ac:dyDescent="0.25">
      <c r="A5554" t="s">
        <v>4099</v>
      </c>
      <c r="B5554" t="s">
        <v>15</v>
      </c>
      <c r="C5554" t="s">
        <v>27</v>
      </c>
      <c r="D5554" t="s">
        <v>17</v>
      </c>
      <c r="E5554" t="s">
        <v>18</v>
      </c>
      <c r="F5554" t="s">
        <v>19</v>
      </c>
      <c r="G5554" t="s">
        <v>20</v>
      </c>
      <c r="J5554" t="s">
        <v>17</v>
      </c>
      <c r="K5554" t="str">
        <f>"675114261"</f>
        <v>675114261</v>
      </c>
      <c r="L5554" t="str">
        <f>"675114261"</f>
        <v>675114261</v>
      </c>
      <c r="M5554" t="s">
        <v>84</v>
      </c>
      <c r="N5554" s="1">
        <v>43502.658333333333</v>
      </c>
      <c r="O5554" t="s">
        <v>19</v>
      </c>
    </row>
    <row r="5555" spans="1:15" x14ac:dyDescent="0.25">
      <c r="A5555" t="s">
        <v>4099</v>
      </c>
      <c r="B5555" t="s">
        <v>15</v>
      </c>
      <c r="C5555" t="s">
        <v>27</v>
      </c>
      <c r="D5555" t="s">
        <v>17</v>
      </c>
      <c r="E5555" t="s">
        <v>18</v>
      </c>
      <c r="F5555" t="s">
        <v>19</v>
      </c>
      <c r="G5555" t="s">
        <v>20</v>
      </c>
      <c r="J5555" t="s">
        <v>17</v>
      </c>
      <c r="K5555" t="str">
        <f>"768914261"</f>
        <v>768914261</v>
      </c>
      <c r="L5555" t="str">
        <f>"768914261"</f>
        <v>768914261</v>
      </c>
      <c r="M5555" t="s">
        <v>84</v>
      </c>
      <c r="N5555" s="1">
        <v>43528.659722222219</v>
      </c>
      <c r="O5555" t="s">
        <v>19</v>
      </c>
    </row>
    <row r="5556" spans="1:15" x14ac:dyDescent="0.25">
      <c r="A5556" t="s">
        <v>4099</v>
      </c>
      <c r="B5556" t="s">
        <v>15</v>
      </c>
      <c r="C5556" t="s">
        <v>27</v>
      </c>
      <c r="D5556" t="s">
        <v>17</v>
      </c>
      <c r="E5556" t="s">
        <v>18</v>
      </c>
      <c r="F5556" t="s">
        <v>19</v>
      </c>
      <c r="G5556" t="s">
        <v>20</v>
      </c>
      <c r="J5556" t="s">
        <v>17</v>
      </c>
      <c r="K5556" t="str">
        <f>"2019020300210"</f>
        <v>2019020300210</v>
      </c>
      <c r="L5556" t="str">
        <f>"186414261"</f>
        <v>186414261</v>
      </c>
      <c r="M5556" t="s">
        <v>21</v>
      </c>
      <c r="N5556" s="1">
        <v>43603.688194444447</v>
      </c>
      <c r="O5556" t="s">
        <v>19</v>
      </c>
    </row>
    <row r="5557" spans="1:15" x14ac:dyDescent="0.25">
      <c r="A5557" t="s">
        <v>4099</v>
      </c>
      <c r="B5557" t="s">
        <v>15</v>
      </c>
      <c r="C5557" t="s">
        <v>27</v>
      </c>
      <c r="D5557" t="s">
        <v>17</v>
      </c>
      <c r="E5557" t="s">
        <v>18</v>
      </c>
      <c r="F5557" t="s">
        <v>19</v>
      </c>
      <c r="G5557" t="s">
        <v>20</v>
      </c>
      <c r="J5557" t="s">
        <v>17</v>
      </c>
      <c r="K5557" t="str">
        <f>"2019030400061"</f>
        <v>2019030400061</v>
      </c>
      <c r="L5557" t="str">
        <f>"187514261"</f>
        <v>187514261</v>
      </c>
      <c r="M5557" t="s">
        <v>21</v>
      </c>
      <c r="N5557" s="1">
        <v>43649.632638888892</v>
      </c>
      <c r="O5557" t="s">
        <v>19</v>
      </c>
    </row>
    <row r="5558" spans="1:15" x14ac:dyDescent="0.25">
      <c r="A5558" t="s">
        <v>4100</v>
      </c>
      <c r="B5558" t="s">
        <v>15</v>
      </c>
      <c r="C5558" t="s">
        <v>27</v>
      </c>
      <c r="D5558" t="s">
        <v>17</v>
      </c>
      <c r="E5558" t="s">
        <v>18</v>
      </c>
      <c r="F5558" t="s">
        <v>19</v>
      </c>
      <c r="G5558" t="s">
        <v>20</v>
      </c>
      <c r="J5558" t="s">
        <v>17</v>
      </c>
      <c r="K5558" t="str">
        <f>"766214297"</f>
        <v>766214297</v>
      </c>
      <c r="L5558" t="str">
        <f>"766214297"</f>
        <v>766214297</v>
      </c>
      <c r="M5558" t="s">
        <v>21</v>
      </c>
      <c r="N5558" s="1">
        <v>42872.839583333334</v>
      </c>
      <c r="O5558" t="s">
        <v>19</v>
      </c>
    </row>
    <row r="5559" spans="1:15" x14ac:dyDescent="0.25">
      <c r="A5559" t="s">
        <v>4100</v>
      </c>
      <c r="B5559" t="s">
        <v>15</v>
      </c>
      <c r="C5559" t="s">
        <v>27</v>
      </c>
      <c r="D5559" t="s">
        <v>17</v>
      </c>
      <c r="E5559" t="s">
        <v>18</v>
      </c>
      <c r="F5559" t="s">
        <v>19</v>
      </c>
      <c r="G5559" t="s">
        <v>20</v>
      </c>
      <c r="J5559" t="s">
        <v>17</v>
      </c>
      <c r="K5559" t="str">
        <f>"764814297"</f>
        <v>764814297</v>
      </c>
      <c r="L5559" t="str">
        <f>"764814297"</f>
        <v>764814297</v>
      </c>
      <c r="M5559" t="s">
        <v>21</v>
      </c>
      <c r="N5559" s="1">
        <v>42872.849305555559</v>
      </c>
      <c r="O5559" t="s">
        <v>19</v>
      </c>
    </row>
    <row r="5560" spans="1:15" x14ac:dyDescent="0.25">
      <c r="A5560" t="s">
        <v>4101</v>
      </c>
      <c r="B5560" t="s">
        <v>15</v>
      </c>
      <c r="C5560" t="s">
        <v>27</v>
      </c>
      <c r="D5560" t="s">
        <v>17</v>
      </c>
      <c r="E5560" t="s">
        <v>18</v>
      </c>
      <c r="F5560" t="s">
        <v>19</v>
      </c>
      <c r="G5560" t="s">
        <v>20</v>
      </c>
      <c r="J5560" t="s">
        <v>17</v>
      </c>
      <c r="K5560" t="str">
        <f>"135114305"</f>
        <v>135114305</v>
      </c>
      <c r="L5560" t="str">
        <f>"135114305"</f>
        <v>135114305</v>
      </c>
      <c r="M5560" t="s">
        <v>21</v>
      </c>
      <c r="N5560" s="1">
        <v>44348.839583333334</v>
      </c>
      <c r="O5560" t="s">
        <v>19</v>
      </c>
    </row>
    <row r="5561" spans="1:15" x14ac:dyDescent="0.25">
      <c r="A5561" t="s">
        <v>4102</v>
      </c>
      <c r="B5561" t="s">
        <v>15</v>
      </c>
      <c r="C5561" t="s">
        <v>27</v>
      </c>
      <c r="D5561" t="s">
        <v>17</v>
      </c>
      <c r="E5561" t="s">
        <v>18</v>
      </c>
      <c r="F5561" t="s">
        <v>19</v>
      </c>
      <c r="G5561" t="s">
        <v>20</v>
      </c>
      <c r="J5561" t="s">
        <v>17</v>
      </c>
      <c r="K5561" t="str">
        <f>"17487609"</f>
        <v>17487609</v>
      </c>
      <c r="L5561" t="str">
        <f>"17487609"</f>
        <v>17487609</v>
      </c>
      <c r="M5561" t="s">
        <v>75</v>
      </c>
      <c r="N5561" s="1">
        <v>42872.847222222219</v>
      </c>
      <c r="O5561" t="s">
        <v>19</v>
      </c>
    </row>
    <row r="5562" spans="1:15" x14ac:dyDescent="0.25">
      <c r="A5562" t="s">
        <v>4103</v>
      </c>
      <c r="B5562" t="s">
        <v>15</v>
      </c>
      <c r="C5562" t="s">
        <v>27</v>
      </c>
      <c r="D5562" t="s">
        <v>17</v>
      </c>
      <c r="E5562" t="s">
        <v>18</v>
      </c>
      <c r="F5562" t="s">
        <v>19</v>
      </c>
      <c r="G5562" t="s">
        <v>20</v>
      </c>
      <c r="J5562" t="s">
        <v>17</v>
      </c>
      <c r="K5562" t="str">
        <f>"17481051"</f>
        <v>17481051</v>
      </c>
      <c r="L5562" t="str">
        <f>"17481051"</f>
        <v>17481051</v>
      </c>
      <c r="M5562" t="s">
        <v>75</v>
      </c>
      <c r="N5562" s="1">
        <v>42872.847222222219</v>
      </c>
      <c r="O5562" t="s">
        <v>19</v>
      </c>
    </row>
    <row r="5563" spans="1:15" x14ac:dyDescent="0.25">
      <c r="A5563" t="s">
        <v>4104</v>
      </c>
      <c r="B5563" t="s">
        <v>15</v>
      </c>
      <c r="C5563" t="s">
        <v>27</v>
      </c>
      <c r="D5563" t="s">
        <v>17</v>
      </c>
      <c r="E5563" t="s">
        <v>18</v>
      </c>
      <c r="F5563" t="s">
        <v>19</v>
      </c>
      <c r="G5563" t="s">
        <v>20</v>
      </c>
      <c r="J5563" t="s">
        <v>17</v>
      </c>
      <c r="K5563" t="str">
        <f>"345914138"</f>
        <v>345914138</v>
      </c>
      <c r="L5563" t="str">
        <f>"345914138"</f>
        <v>345914138</v>
      </c>
      <c r="M5563" t="s">
        <v>75</v>
      </c>
      <c r="N5563" s="1">
        <v>43131.694444444445</v>
      </c>
      <c r="O5563" t="s">
        <v>19</v>
      </c>
    </row>
    <row r="5564" spans="1:15" x14ac:dyDescent="0.25">
      <c r="A5564" t="s">
        <v>4104</v>
      </c>
      <c r="B5564" t="s">
        <v>15</v>
      </c>
      <c r="C5564" t="s">
        <v>27</v>
      </c>
      <c r="D5564" t="s">
        <v>17</v>
      </c>
      <c r="E5564" t="s">
        <v>18</v>
      </c>
      <c r="F5564" t="s">
        <v>19</v>
      </c>
      <c r="G5564" t="s">
        <v>20</v>
      </c>
      <c r="J5564" t="s">
        <v>17</v>
      </c>
      <c r="K5564" t="str">
        <f>"765114138"</f>
        <v>765114138</v>
      </c>
      <c r="L5564" t="str">
        <f>"765114138"</f>
        <v>765114138</v>
      </c>
      <c r="M5564" t="s">
        <v>75</v>
      </c>
      <c r="N5564" s="1">
        <v>43196.71597222222</v>
      </c>
      <c r="O5564" t="s">
        <v>19</v>
      </c>
    </row>
    <row r="5565" spans="1:15" x14ac:dyDescent="0.25">
      <c r="A5565" t="s">
        <v>4104</v>
      </c>
      <c r="B5565" t="s">
        <v>15</v>
      </c>
      <c r="C5565" t="s">
        <v>27</v>
      </c>
      <c r="D5565" t="s">
        <v>17</v>
      </c>
      <c r="E5565" t="s">
        <v>18</v>
      </c>
      <c r="F5565" t="s">
        <v>19</v>
      </c>
      <c r="G5565" t="s">
        <v>20</v>
      </c>
      <c r="J5565" t="s">
        <v>17</v>
      </c>
      <c r="K5565" t="str">
        <f>"764814138"</f>
        <v>764814138</v>
      </c>
      <c r="L5565" t="str">
        <f>"764814138"</f>
        <v>764814138</v>
      </c>
      <c r="M5565" t="s">
        <v>75</v>
      </c>
      <c r="N5565" s="1">
        <v>43236.896527777775</v>
      </c>
      <c r="O5565" t="s">
        <v>19</v>
      </c>
    </row>
    <row r="5566" spans="1:15" x14ac:dyDescent="0.25">
      <c r="A5566" t="s">
        <v>4105</v>
      </c>
      <c r="B5566" t="s">
        <v>15</v>
      </c>
      <c r="C5566" t="s">
        <v>27</v>
      </c>
      <c r="D5566" t="s">
        <v>17</v>
      </c>
      <c r="E5566" t="s">
        <v>18</v>
      </c>
      <c r="F5566" t="s">
        <v>19</v>
      </c>
      <c r="G5566" t="s">
        <v>20</v>
      </c>
      <c r="J5566" t="s">
        <v>17</v>
      </c>
      <c r="K5566" t="str">
        <f>"765114260"</f>
        <v>765114260</v>
      </c>
      <c r="L5566" t="str">
        <f>"765114260"</f>
        <v>765114260</v>
      </c>
      <c r="M5566" t="s">
        <v>84</v>
      </c>
      <c r="N5566" s="1">
        <v>43370.634027777778</v>
      </c>
      <c r="O5566" t="s">
        <v>19</v>
      </c>
    </row>
    <row r="5567" spans="1:15" x14ac:dyDescent="0.25">
      <c r="A5567" t="s">
        <v>4106</v>
      </c>
      <c r="B5567" t="s">
        <v>15</v>
      </c>
      <c r="C5567" t="s">
        <v>27</v>
      </c>
      <c r="D5567" t="s">
        <v>17</v>
      </c>
      <c r="E5567" t="s">
        <v>18</v>
      </c>
      <c r="F5567" t="s">
        <v>19</v>
      </c>
      <c r="G5567" t="s">
        <v>20</v>
      </c>
      <c r="J5567" t="s">
        <v>17</v>
      </c>
      <c r="K5567" t="str">
        <f>"1000001021270"</f>
        <v>1000001021270</v>
      </c>
      <c r="L5567" t="str">
        <f>"764814268"</f>
        <v>764814268</v>
      </c>
      <c r="M5567" t="s">
        <v>21</v>
      </c>
      <c r="N5567" s="1">
        <v>43567.956944444442</v>
      </c>
      <c r="O5567" t="s">
        <v>19</v>
      </c>
    </row>
    <row r="5568" spans="1:15" x14ac:dyDescent="0.25">
      <c r="A5568" t="s">
        <v>4106</v>
      </c>
      <c r="B5568" t="s">
        <v>15</v>
      </c>
      <c r="C5568" t="s">
        <v>27</v>
      </c>
      <c r="D5568" t="s">
        <v>17</v>
      </c>
      <c r="E5568" t="s">
        <v>18</v>
      </c>
      <c r="F5568" t="s">
        <v>19</v>
      </c>
      <c r="G5568" t="s">
        <v>20</v>
      </c>
      <c r="J5568" t="s">
        <v>17</v>
      </c>
      <c r="K5568" t="str">
        <f>"2019030102187"</f>
        <v>2019030102187</v>
      </c>
      <c r="L5568" t="str">
        <f>"186414269"</f>
        <v>186414269</v>
      </c>
      <c r="M5568" t="s">
        <v>21</v>
      </c>
      <c r="N5568" s="1">
        <v>43603.677777777775</v>
      </c>
      <c r="O5568" t="s">
        <v>19</v>
      </c>
    </row>
    <row r="5569" spans="1:15" x14ac:dyDescent="0.25">
      <c r="A5569" t="s">
        <v>4107</v>
      </c>
      <c r="B5569" t="s">
        <v>15</v>
      </c>
      <c r="C5569" t="s">
        <v>27</v>
      </c>
      <c r="D5569" t="s">
        <v>17</v>
      </c>
      <c r="E5569" t="s">
        <v>18</v>
      </c>
      <c r="F5569" t="s">
        <v>19</v>
      </c>
      <c r="G5569" t="s">
        <v>20</v>
      </c>
      <c r="J5569" t="s">
        <v>17</v>
      </c>
      <c r="K5569" t="str">
        <f>"764814272"</f>
        <v>764814272</v>
      </c>
      <c r="L5569" t="str">
        <f>"764814272"</f>
        <v>764814272</v>
      </c>
      <c r="M5569" t="s">
        <v>84</v>
      </c>
      <c r="N5569" s="1">
        <v>43567.955555555556</v>
      </c>
      <c r="O5569" t="s">
        <v>19</v>
      </c>
    </row>
    <row r="5570" spans="1:15" x14ac:dyDescent="0.25">
      <c r="A5570" t="s">
        <v>4107</v>
      </c>
      <c r="B5570" t="s">
        <v>15</v>
      </c>
      <c r="C5570" t="s">
        <v>27</v>
      </c>
      <c r="D5570" t="s">
        <v>17</v>
      </c>
      <c r="E5570" t="s">
        <v>18</v>
      </c>
      <c r="F5570" t="s">
        <v>19</v>
      </c>
      <c r="G5570" t="s">
        <v>20</v>
      </c>
      <c r="J5570" t="s">
        <v>17</v>
      </c>
      <c r="K5570" t="str">
        <f>"2019030400108"</f>
        <v>2019030400108</v>
      </c>
      <c r="L5570" t="str">
        <f>"187514272"</f>
        <v>187514272</v>
      </c>
      <c r="M5570" t="s">
        <v>21</v>
      </c>
      <c r="N5570" s="1">
        <v>43603.666666666664</v>
      </c>
      <c r="O5570" t="s">
        <v>19</v>
      </c>
    </row>
    <row r="5571" spans="1:15" x14ac:dyDescent="0.25">
      <c r="A5571" t="s">
        <v>4107</v>
      </c>
      <c r="B5571" t="s">
        <v>15</v>
      </c>
      <c r="C5571" t="s">
        <v>27</v>
      </c>
      <c r="D5571" t="s">
        <v>17</v>
      </c>
      <c r="E5571" t="s">
        <v>18</v>
      </c>
      <c r="F5571" t="s">
        <v>19</v>
      </c>
      <c r="G5571" t="s">
        <v>20</v>
      </c>
      <c r="J5571" t="s">
        <v>17</v>
      </c>
      <c r="K5571" t="str">
        <f>"2019030102194"</f>
        <v>2019030102194</v>
      </c>
      <c r="L5571" t="str">
        <f>"186414272"</f>
        <v>186414272</v>
      </c>
      <c r="M5571" t="s">
        <v>21</v>
      </c>
      <c r="N5571" s="1">
        <v>43603.678472222222</v>
      </c>
      <c r="O5571" t="s">
        <v>19</v>
      </c>
    </row>
    <row r="5572" spans="1:15" x14ac:dyDescent="0.25">
      <c r="A5572" t="s">
        <v>4107</v>
      </c>
      <c r="B5572" t="s">
        <v>15</v>
      </c>
      <c r="C5572" t="s">
        <v>27</v>
      </c>
      <c r="D5572" t="s">
        <v>17</v>
      </c>
      <c r="E5572" t="s">
        <v>18</v>
      </c>
      <c r="F5572" t="s">
        <v>19</v>
      </c>
      <c r="G5572" t="s">
        <v>20</v>
      </c>
      <c r="J5572" t="s">
        <v>17</v>
      </c>
      <c r="K5572" t="str">
        <f>"685114272"</f>
        <v>685114272</v>
      </c>
      <c r="L5572" t="str">
        <f>"685114272"</f>
        <v>685114272</v>
      </c>
      <c r="M5572" t="s">
        <v>21</v>
      </c>
      <c r="N5572" s="1">
        <v>43798.824305555558</v>
      </c>
      <c r="O5572" t="s">
        <v>19</v>
      </c>
    </row>
    <row r="5573" spans="1:15" x14ac:dyDescent="0.25">
      <c r="A5573" t="s">
        <v>4108</v>
      </c>
      <c r="B5573" t="s">
        <v>15</v>
      </c>
      <c r="C5573" t="s">
        <v>27</v>
      </c>
      <c r="D5573" t="s">
        <v>17</v>
      </c>
      <c r="E5573" t="s">
        <v>18</v>
      </c>
      <c r="F5573" t="s">
        <v>19</v>
      </c>
      <c r="G5573" t="s">
        <v>20</v>
      </c>
      <c r="J5573" t="s">
        <v>17</v>
      </c>
      <c r="K5573" t="str">
        <f>"764814273"</f>
        <v>764814273</v>
      </c>
      <c r="L5573" t="str">
        <f>"764814273"</f>
        <v>764814273</v>
      </c>
      <c r="M5573" t="s">
        <v>84</v>
      </c>
      <c r="N5573" s="1">
        <v>43567.956944444442</v>
      </c>
      <c r="O5573" t="s">
        <v>19</v>
      </c>
    </row>
    <row r="5574" spans="1:15" x14ac:dyDescent="0.25">
      <c r="A5574" t="s">
        <v>4108</v>
      </c>
      <c r="B5574" t="s">
        <v>15</v>
      </c>
      <c r="C5574" t="s">
        <v>27</v>
      </c>
      <c r="D5574" t="s">
        <v>17</v>
      </c>
      <c r="E5574" t="s">
        <v>18</v>
      </c>
      <c r="F5574" t="s">
        <v>19</v>
      </c>
      <c r="G5574" t="s">
        <v>20</v>
      </c>
      <c r="J5574" t="s">
        <v>17</v>
      </c>
      <c r="K5574" t="str">
        <f>"797914273"</f>
        <v>797914273</v>
      </c>
      <c r="L5574" t="str">
        <f>"797914273"</f>
        <v>797914273</v>
      </c>
      <c r="M5574" t="s">
        <v>21</v>
      </c>
      <c r="N5574" s="1">
        <v>43609.954861111109</v>
      </c>
      <c r="O5574" t="s">
        <v>19</v>
      </c>
    </row>
    <row r="5575" spans="1:15" x14ac:dyDescent="0.25">
      <c r="A5575" t="s">
        <v>4109</v>
      </c>
      <c r="B5575" t="s">
        <v>15</v>
      </c>
      <c r="C5575" t="s">
        <v>27</v>
      </c>
      <c r="D5575" t="s">
        <v>17</v>
      </c>
      <c r="E5575" t="s">
        <v>18</v>
      </c>
      <c r="F5575" t="s">
        <v>19</v>
      </c>
      <c r="G5575" t="s">
        <v>20</v>
      </c>
      <c r="J5575" t="s">
        <v>17</v>
      </c>
      <c r="K5575" t="str">
        <f>"766214291"</f>
        <v>766214291</v>
      </c>
      <c r="L5575" t="str">
        <f>"766214291"</f>
        <v>766214291</v>
      </c>
      <c r="M5575" t="s">
        <v>21</v>
      </c>
      <c r="N5575" s="1">
        <v>43350.652777777781</v>
      </c>
      <c r="O5575" t="s">
        <v>19</v>
      </c>
    </row>
    <row r="5576" spans="1:15" x14ac:dyDescent="0.25">
      <c r="A5576" t="s">
        <v>4110</v>
      </c>
      <c r="B5576" t="s">
        <v>15</v>
      </c>
      <c r="C5576" t="s">
        <v>27</v>
      </c>
      <c r="D5576" t="s">
        <v>17</v>
      </c>
      <c r="E5576" t="s">
        <v>18</v>
      </c>
      <c r="F5576" t="s">
        <v>19</v>
      </c>
      <c r="G5576" t="s">
        <v>20</v>
      </c>
      <c r="J5576" t="s">
        <v>17</v>
      </c>
      <c r="K5576" t="str">
        <f>"765114292"</f>
        <v>765114292</v>
      </c>
      <c r="L5576" t="str">
        <f>"765114292"</f>
        <v>765114292</v>
      </c>
      <c r="M5576" t="s">
        <v>21</v>
      </c>
      <c r="N5576" s="1">
        <v>42872.849305555559</v>
      </c>
      <c r="O5576" t="s">
        <v>19</v>
      </c>
    </row>
    <row r="5577" spans="1:15" x14ac:dyDescent="0.25">
      <c r="A5577" t="s">
        <v>4111</v>
      </c>
      <c r="B5577" t="s">
        <v>15</v>
      </c>
      <c r="C5577" t="s">
        <v>27</v>
      </c>
      <c r="D5577" t="s">
        <v>17</v>
      </c>
      <c r="E5577" t="s">
        <v>18</v>
      </c>
      <c r="F5577" t="s">
        <v>19</v>
      </c>
      <c r="G5577" t="s">
        <v>20</v>
      </c>
      <c r="J5577" t="s">
        <v>17</v>
      </c>
      <c r="K5577" t="str">
        <f>"765114296"</f>
        <v>765114296</v>
      </c>
      <c r="L5577" t="str">
        <f>"765114296"</f>
        <v>765114296</v>
      </c>
      <c r="M5577" t="s">
        <v>21</v>
      </c>
      <c r="N5577" s="1">
        <v>42872.849305555559</v>
      </c>
      <c r="O5577" t="s">
        <v>19</v>
      </c>
    </row>
    <row r="5578" spans="1:15" x14ac:dyDescent="0.25">
      <c r="A5578" t="s">
        <v>4112</v>
      </c>
      <c r="B5578" t="s">
        <v>15</v>
      </c>
      <c r="C5578" t="s">
        <v>27</v>
      </c>
      <c r="D5578" t="s">
        <v>17</v>
      </c>
      <c r="E5578" t="s">
        <v>18</v>
      </c>
      <c r="F5578" t="s">
        <v>19</v>
      </c>
      <c r="G5578" t="s">
        <v>20</v>
      </c>
      <c r="J5578" t="s">
        <v>17</v>
      </c>
      <c r="K5578" t="str">
        <f>"765114299"</f>
        <v>765114299</v>
      </c>
      <c r="L5578" t="str">
        <f>"765114299"</f>
        <v>765114299</v>
      </c>
      <c r="M5578" t="s">
        <v>21</v>
      </c>
      <c r="N5578" s="1">
        <v>44210.926388888889</v>
      </c>
      <c r="O5578" t="s">
        <v>19</v>
      </c>
    </row>
    <row r="5579" spans="1:15" x14ac:dyDescent="0.25">
      <c r="A5579" t="s">
        <v>4112</v>
      </c>
      <c r="B5579" t="s">
        <v>15</v>
      </c>
      <c r="C5579" t="s">
        <v>27</v>
      </c>
      <c r="D5579" t="s">
        <v>17</v>
      </c>
      <c r="E5579" t="s">
        <v>18</v>
      </c>
      <c r="F5579" t="s">
        <v>19</v>
      </c>
      <c r="G5579" t="s">
        <v>20</v>
      </c>
      <c r="J5579" t="s">
        <v>17</v>
      </c>
      <c r="K5579" t="str">
        <f>"134814299"</f>
        <v>134814299</v>
      </c>
      <c r="L5579" t="str">
        <f>"134814299"</f>
        <v>134814299</v>
      </c>
      <c r="M5579" t="s">
        <v>21</v>
      </c>
      <c r="N5579" s="1">
        <v>44348.910416666666</v>
      </c>
      <c r="O5579" t="s">
        <v>19</v>
      </c>
    </row>
    <row r="5580" spans="1:15" x14ac:dyDescent="0.25">
      <c r="A5580" t="s">
        <v>4113</v>
      </c>
      <c r="B5580" t="s">
        <v>15</v>
      </c>
      <c r="C5580" t="s">
        <v>27</v>
      </c>
      <c r="D5580" t="s">
        <v>17</v>
      </c>
      <c r="E5580" t="s">
        <v>18</v>
      </c>
      <c r="F5580" t="s">
        <v>19</v>
      </c>
      <c r="G5580" t="s">
        <v>20</v>
      </c>
      <c r="J5580" t="s">
        <v>17</v>
      </c>
      <c r="K5580" t="str">
        <f>"765114302"</f>
        <v>765114302</v>
      </c>
      <c r="L5580" t="str">
        <f>"765114302"</f>
        <v>765114302</v>
      </c>
      <c r="M5580" t="s">
        <v>21</v>
      </c>
      <c r="N5580" s="1">
        <v>44285.633333333331</v>
      </c>
      <c r="O5580" t="s">
        <v>19</v>
      </c>
    </row>
    <row r="5581" spans="1:15" x14ac:dyDescent="0.25">
      <c r="A5581" t="s">
        <v>4114</v>
      </c>
      <c r="B5581" t="s">
        <v>15</v>
      </c>
      <c r="C5581" t="s">
        <v>27</v>
      </c>
      <c r="D5581" t="s">
        <v>17</v>
      </c>
      <c r="E5581" t="s">
        <v>18</v>
      </c>
      <c r="F5581" t="s">
        <v>19</v>
      </c>
      <c r="G5581" t="s">
        <v>20</v>
      </c>
      <c r="J5581" t="s">
        <v>17</v>
      </c>
      <c r="K5581" t="str">
        <f>"17481487"</f>
        <v>17481487</v>
      </c>
      <c r="L5581" t="str">
        <f>"17481487"</f>
        <v>17481487</v>
      </c>
      <c r="M5581" t="s">
        <v>75</v>
      </c>
      <c r="N5581" s="1">
        <v>42872.839583333334</v>
      </c>
      <c r="O5581" t="s">
        <v>19</v>
      </c>
    </row>
    <row r="5582" spans="1:15" x14ac:dyDescent="0.25">
      <c r="A5582" t="s">
        <v>4115</v>
      </c>
      <c r="B5582" t="s">
        <v>15</v>
      </c>
      <c r="C5582" t="s">
        <v>27</v>
      </c>
      <c r="D5582" t="s">
        <v>17</v>
      </c>
      <c r="E5582" t="s">
        <v>18</v>
      </c>
      <c r="F5582" t="s">
        <v>19</v>
      </c>
      <c r="G5582" t="s">
        <v>20</v>
      </c>
      <c r="J5582" t="s">
        <v>17</v>
      </c>
      <c r="K5582" t="str">
        <f>"174814172"</f>
        <v>174814172</v>
      </c>
      <c r="L5582" t="str">
        <f>"174814172"</f>
        <v>174814172</v>
      </c>
      <c r="M5582" t="s">
        <v>75</v>
      </c>
      <c r="N5582" s="1">
        <v>42872.849305555559</v>
      </c>
      <c r="O5582" t="s">
        <v>19</v>
      </c>
    </row>
    <row r="5583" spans="1:15" x14ac:dyDescent="0.25">
      <c r="A5583" t="s">
        <v>4116</v>
      </c>
      <c r="B5583" t="s">
        <v>15</v>
      </c>
      <c r="C5583" t="s">
        <v>27</v>
      </c>
      <c r="D5583" t="s">
        <v>17</v>
      </c>
      <c r="E5583" t="s">
        <v>18</v>
      </c>
      <c r="F5583" t="s">
        <v>19</v>
      </c>
      <c r="G5583" t="s">
        <v>20</v>
      </c>
      <c r="J5583" t="s">
        <v>17</v>
      </c>
      <c r="K5583" t="str">
        <f>"17481484"</f>
        <v>17481484</v>
      </c>
      <c r="L5583" t="str">
        <f>"17481484"</f>
        <v>17481484</v>
      </c>
      <c r="M5583" t="s">
        <v>75</v>
      </c>
      <c r="N5583" s="1">
        <v>42872.839583333334</v>
      </c>
      <c r="O5583" t="s">
        <v>19</v>
      </c>
    </row>
    <row r="5584" spans="1:15" x14ac:dyDescent="0.25">
      <c r="A5584" t="s">
        <v>4117</v>
      </c>
      <c r="B5584" t="s">
        <v>15</v>
      </c>
      <c r="C5584" t="s">
        <v>27</v>
      </c>
      <c r="D5584" t="s">
        <v>17</v>
      </c>
      <c r="E5584" t="s">
        <v>18</v>
      </c>
      <c r="F5584" t="s">
        <v>19</v>
      </c>
      <c r="G5584" t="s">
        <v>20</v>
      </c>
      <c r="J5584" t="s">
        <v>17</v>
      </c>
      <c r="K5584" t="str">
        <f>"17201486"</f>
        <v>17201486</v>
      </c>
      <c r="L5584" t="str">
        <f>"17201486"</f>
        <v>17201486</v>
      </c>
      <c r="M5584" t="s">
        <v>75</v>
      </c>
      <c r="N5584" s="1">
        <v>42872.839583333334</v>
      </c>
      <c r="O5584" t="s">
        <v>19</v>
      </c>
    </row>
    <row r="5585" spans="1:15" x14ac:dyDescent="0.25">
      <c r="A5585" t="s">
        <v>4117</v>
      </c>
      <c r="B5585" t="s">
        <v>15</v>
      </c>
      <c r="C5585" t="s">
        <v>27</v>
      </c>
      <c r="D5585" t="s">
        <v>17</v>
      </c>
      <c r="E5585" t="s">
        <v>18</v>
      </c>
      <c r="F5585" t="s">
        <v>19</v>
      </c>
      <c r="G5585" t="s">
        <v>20</v>
      </c>
      <c r="J5585" t="s">
        <v>17</v>
      </c>
      <c r="K5585" t="str">
        <f>"17481456"</f>
        <v>17481456</v>
      </c>
      <c r="L5585" t="str">
        <f>"17481456"</f>
        <v>17481456</v>
      </c>
      <c r="M5585" t="s">
        <v>75</v>
      </c>
      <c r="N5585" s="1">
        <v>42872.839583333334</v>
      </c>
      <c r="O5585" t="s">
        <v>19</v>
      </c>
    </row>
    <row r="5586" spans="1:15" x14ac:dyDescent="0.25">
      <c r="A5586" t="s">
        <v>4117</v>
      </c>
      <c r="B5586" t="s">
        <v>15</v>
      </c>
      <c r="C5586" t="s">
        <v>27</v>
      </c>
      <c r="D5586" t="s">
        <v>17</v>
      </c>
      <c r="E5586" t="s">
        <v>18</v>
      </c>
      <c r="F5586" t="s">
        <v>19</v>
      </c>
      <c r="G5586" t="s">
        <v>20</v>
      </c>
      <c r="J5586" t="s">
        <v>17</v>
      </c>
      <c r="K5586" t="str">
        <f>"17481486"</f>
        <v>17481486</v>
      </c>
      <c r="L5586" t="str">
        <f>"17481486"</f>
        <v>17481486</v>
      </c>
      <c r="M5586" t="s">
        <v>75</v>
      </c>
      <c r="N5586" s="1">
        <v>42872.839583333334</v>
      </c>
      <c r="O5586" t="s">
        <v>19</v>
      </c>
    </row>
    <row r="5587" spans="1:15" x14ac:dyDescent="0.25">
      <c r="A5587" t="s">
        <v>4117</v>
      </c>
      <c r="B5587" t="s">
        <v>15</v>
      </c>
      <c r="C5587" t="s">
        <v>27</v>
      </c>
      <c r="D5587" t="s">
        <v>17</v>
      </c>
      <c r="E5587" t="s">
        <v>18</v>
      </c>
      <c r="F5587" t="s">
        <v>19</v>
      </c>
      <c r="G5587" t="s">
        <v>20</v>
      </c>
      <c r="J5587" t="s">
        <v>17</v>
      </c>
      <c r="K5587" t="str">
        <f>"76261486"</f>
        <v>76261486</v>
      </c>
      <c r="L5587" t="str">
        <f>"76261486"</f>
        <v>76261486</v>
      </c>
      <c r="M5587" t="s">
        <v>75</v>
      </c>
      <c r="N5587" s="1">
        <v>42872.847222222219</v>
      </c>
      <c r="O5587" t="s">
        <v>19</v>
      </c>
    </row>
    <row r="5588" spans="1:15" x14ac:dyDescent="0.25">
      <c r="A5588" t="s">
        <v>4117</v>
      </c>
      <c r="B5588" t="s">
        <v>15</v>
      </c>
      <c r="C5588" t="s">
        <v>27</v>
      </c>
      <c r="D5588" t="s">
        <v>17</v>
      </c>
      <c r="E5588" t="s">
        <v>18</v>
      </c>
      <c r="F5588" t="s">
        <v>19</v>
      </c>
      <c r="G5588" t="s">
        <v>20</v>
      </c>
      <c r="J5588" t="s">
        <v>17</v>
      </c>
      <c r="K5588" t="str">
        <f>"76261586"</f>
        <v>76261586</v>
      </c>
      <c r="L5588" t="str">
        <f>"76261586"</f>
        <v>76261586</v>
      </c>
      <c r="M5588" t="s">
        <v>75</v>
      </c>
      <c r="N5588" s="1">
        <v>42872.847222222219</v>
      </c>
      <c r="O5588" t="s">
        <v>19</v>
      </c>
    </row>
    <row r="5589" spans="1:15" x14ac:dyDescent="0.25">
      <c r="A5589" t="s">
        <v>4117</v>
      </c>
      <c r="B5589" t="s">
        <v>15</v>
      </c>
      <c r="C5589" t="s">
        <v>27</v>
      </c>
      <c r="D5589" t="s">
        <v>17</v>
      </c>
      <c r="E5589" t="s">
        <v>18</v>
      </c>
      <c r="F5589" t="s">
        <v>19</v>
      </c>
      <c r="G5589" t="s">
        <v>20</v>
      </c>
      <c r="J5589" t="s">
        <v>17</v>
      </c>
      <c r="K5589" t="str">
        <f>"76471486"</f>
        <v>76471486</v>
      </c>
      <c r="L5589" t="str">
        <f>"76471486"</f>
        <v>76471486</v>
      </c>
      <c r="M5589" t="s">
        <v>75</v>
      </c>
      <c r="N5589" s="1">
        <v>42872.847222222219</v>
      </c>
      <c r="O5589" t="s">
        <v>19</v>
      </c>
    </row>
    <row r="5590" spans="1:15" x14ac:dyDescent="0.25">
      <c r="A5590" t="s">
        <v>4118</v>
      </c>
      <c r="B5590" t="s">
        <v>15</v>
      </c>
      <c r="C5590" t="s">
        <v>27</v>
      </c>
      <c r="D5590" t="s">
        <v>17</v>
      </c>
      <c r="E5590" t="s">
        <v>18</v>
      </c>
      <c r="F5590" t="s">
        <v>19</v>
      </c>
      <c r="G5590" t="s">
        <v>20</v>
      </c>
      <c r="J5590" t="s">
        <v>17</v>
      </c>
      <c r="K5590" t="str">
        <f>"17481454"</f>
        <v>17481454</v>
      </c>
      <c r="L5590" t="str">
        <f>"17481454"</f>
        <v>17481454</v>
      </c>
      <c r="M5590" t="s">
        <v>75</v>
      </c>
      <c r="N5590" s="1">
        <v>42872.839583333334</v>
      </c>
      <c r="O5590" t="s">
        <v>19</v>
      </c>
    </row>
    <row r="5591" spans="1:15" x14ac:dyDescent="0.25">
      <c r="A5591" t="s">
        <v>4118</v>
      </c>
      <c r="B5591" t="s">
        <v>15</v>
      </c>
      <c r="C5591" t="s">
        <v>27</v>
      </c>
      <c r="D5591" t="s">
        <v>17</v>
      </c>
      <c r="E5591" t="s">
        <v>18</v>
      </c>
      <c r="F5591" t="s">
        <v>19</v>
      </c>
      <c r="G5591" t="s">
        <v>20</v>
      </c>
      <c r="J5591" t="s">
        <v>17</v>
      </c>
      <c r="K5591" t="str">
        <f>"76481454"</f>
        <v>76481454</v>
      </c>
      <c r="L5591" t="str">
        <f>"76481454"</f>
        <v>76481454</v>
      </c>
      <c r="M5591" t="s">
        <v>75</v>
      </c>
      <c r="N5591" s="1">
        <v>42872.847222222219</v>
      </c>
      <c r="O5591" t="s">
        <v>19</v>
      </c>
    </row>
    <row r="5592" spans="1:15" x14ac:dyDescent="0.25">
      <c r="A5592" t="s">
        <v>4118</v>
      </c>
      <c r="B5592" t="s">
        <v>15</v>
      </c>
      <c r="C5592" t="s">
        <v>27</v>
      </c>
      <c r="D5592" t="s">
        <v>17</v>
      </c>
      <c r="E5592" t="s">
        <v>18</v>
      </c>
      <c r="F5592" t="s">
        <v>19</v>
      </c>
      <c r="G5592" t="s">
        <v>20</v>
      </c>
      <c r="J5592" t="s">
        <v>17</v>
      </c>
      <c r="K5592" t="str">
        <f>"76581454"</f>
        <v>76581454</v>
      </c>
      <c r="L5592" t="str">
        <f>"76581454"</f>
        <v>76581454</v>
      </c>
      <c r="M5592" t="s">
        <v>75</v>
      </c>
      <c r="N5592" s="1">
        <v>42872.847222222219</v>
      </c>
      <c r="O5592" t="s">
        <v>19</v>
      </c>
    </row>
    <row r="5593" spans="1:15" x14ac:dyDescent="0.25">
      <c r="A5593" t="s">
        <v>4118</v>
      </c>
      <c r="B5593" t="s">
        <v>15</v>
      </c>
      <c r="C5593" t="s">
        <v>27</v>
      </c>
      <c r="D5593" t="s">
        <v>17</v>
      </c>
      <c r="E5593" t="s">
        <v>18</v>
      </c>
      <c r="F5593" t="s">
        <v>19</v>
      </c>
      <c r="G5593" t="s">
        <v>20</v>
      </c>
      <c r="J5593" t="s">
        <v>17</v>
      </c>
      <c r="K5593" t="str">
        <f>"76701454"</f>
        <v>76701454</v>
      </c>
      <c r="L5593" t="str">
        <f>"76701454"</f>
        <v>76701454</v>
      </c>
      <c r="M5593" t="s">
        <v>75</v>
      </c>
      <c r="N5593" s="1">
        <v>42872.847222222219</v>
      </c>
      <c r="O5593" t="s">
        <v>19</v>
      </c>
    </row>
    <row r="5594" spans="1:15" x14ac:dyDescent="0.25">
      <c r="A5594" t="s">
        <v>4118</v>
      </c>
      <c r="B5594" t="s">
        <v>15</v>
      </c>
      <c r="C5594" t="s">
        <v>27</v>
      </c>
      <c r="D5594" t="s">
        <v>17</v>
      </c>
      <c r="E5594" t="s">
        <v>18</v>
      </c>
      <c r="F5594" t="s">
        <v>19</v>
      </c>
      <c r="G5594" t="s">
        <v>20</v>
      </c>
      <c r="J5594" t="s">
        <v>17</v>
      </c>
      <c r="K5594" t="str">
        <f>"76511454"</f>
        <v>76511454</v>
      </c>
      <c r="L5594" t="str">
        <f>"76511454"</f>
        <v>76511454</v>
      </c>
      <c r="M5594" t="s">
        <v>75</v>
      </c>
      <c r="N5594" s="1">
        <v>43174.843055555553</v>
      </c>
      <c r="O5594" t="s">
        <v>19</v>
      </c>
    </row>
    <row r="5595" spans="1:15" x14ac:dyDescent="0.25">
      <c r="A5595" t="s">
        <v>4119</v>
      </c>
      <c r="B5595" t="s">
        <v>15</v>
      </c>
      <c r="C5595" t="s">
        <v>27</v>
      </c>
      <c r="D5595" t="s">
        <v>17</v>
      </c>
      <c r="E5595" t="s">
        <v>18</v>
      </c>
      <c r="F5595" t="s">
        <v>19</v>
      </c>
      <c r="G5595" t="s">
        <v>20</v>
      </c>
      <c r="J5595" t="s">
        <v>17</v>
      </c>
      <c r="K5595" t="str">
        <f>"174814175"</f>
        <v>174814175</v>
      </c>
      <c r="L5595" t="str">
        <f>"174814175"</f>
        <v>174814175</v>
      </c>
      <c r="M5595" t="s">
        <v>75</v>
      </c>
      <c r="N5595" s="1">
        <v>42872.849305555559</v>
      </c>
      <c r="O5595" t="s">
        <v>19</v>
      </c>
    </row>
    <row r="5596" spans="1:15" x14ac:dyDescent="0.25">
      <c r="A5596" t="s">
        <v>4120</v>
      </c>
      <c r="B5596" t="s">
        <v>15</v>
      </c>
      <c r="C5596" t="s">
        <v>27</v>
      </c>
      <c r="D5596" t="s">
        <v>17</v>
      </c>
      <c r="E5596" t="s">
        <v>18</v>
      </c>
      <c r="F5596" t="s">
        <v>19</v>
      </c>
      <c r="G5596" t="s">
        <v>20</v>
      </c>
      <c r="J5596" t="s">
        <v>17</v>
      </c>
      <c r="K5596" t="str">
        <f>"174814174"</f>
        <v>174814174</v>
      </c>
      <c r="L5596" t="str">
        <f>"174814174"</f>
        <v>174814174</v>
      </c>
      <c r="M5596" t="s">
        <v>75</v>
      </c>
      <c r="N5596" s="1">
        <v>42872.849305555559</v>
      </c>
      <c r="O5596" t="s">
        <v>19</v>
      </c>
    </row>
    <row r="5597" spans="1:15" x14ac:dyDescent="0.25">
      <c r="A5597" t="s">
        <v>4121</v>
      </c>
      <c r="B5597" t="s">
        <v>15</v>
      </c>
      <c r="C5597" t="s">
        <v>27</v>
      </c>
      <c r="D5597" t="s">
        <v>17</v>
      </c>
      <c r="E5597" t="s">
        <v>18</v>
      </c>
      <c r="F5597" t="s">
        <v>19</v>
      </c>
      <c r="G5597" t="s">
        <v>20</v>
      </c>
      <c r="J5597" t="s">
        <v>17</v>
      </c>
      <c r="K5597" t="str">
        <f>"174814178"</f>
        <v>174814178</v>
      </c>
      <c r="L5597" t="str">
        <f>"174814178"</f>
        <v>174814178</v>
      </c>
      <c r="M5597" t="s">
        <v>75</v>
      </c>
      <c r="N5597" s="1">
        <v>42872.849305555559</v>
      </c>
      <c r="O5597" t="s">
        <v>19</v>
      </c>
    </row>
    <row r="5598" spans="1:15" x14ac:dyDescent="0.25">
      <c r="A5598" t="s">
        <v>4121</v>
      </c>
      <c r="B5598" t="s">
        <v>15</v>
      </c>
      <c r="C5598" t="s">
        <v>27</v>
      </c>
      <c r="D5598" t="s">
        <v>17</v>
      </c>
      <c r="E5598" t="s">
        <v>18</v>
      </c>
      <c r="F5598" t="s">
        <v>19</v>
      </c>
      <c r="G5598" t="s">
        <v>20</v>
      </c>
      <c r="J5598" t="s">
        <v>17</v>
      </c>
      <c r="K5598" t="str">
        <f>"764714184"</f>
        <v>764714184</v>
      </c>
      <c r="L5598" t="str">
        <f>"764714184"</f>
        <v>764714184</v>
      </c>
      <c r="M5598" t="s">
        <v>75</v>
      </c>
      <c r="N5598" s="1">
        <v>42872.849305555559</v>
      </c>
      <c r="O5598" t="s">
        <v>19</v>
      </c>
    </row>
    <row r="5599" spans="1:15" x14ac:dyDescent="0.25">
      <c r="A5599" t="s">
        <v>4121</v>
      </c>
      <c r="B5599" t="s">
        <v>15</v>
      </c>
      <c r="C5599" t="s">
        <v>27</v>
      </c>
      <c r="D5599" t="s">
        <v>17</v>
      </c>
      <c r="E5599" t="s">
        <v>18</v>
      </c>
      <c r="F5599" t="s">
        <v>19</v>
      </c>
      <c r="G5599" t="s">
        <v>20</v>
      </c>
      <c r="J5599" t="s">
        <v>17</v>
      </c>
      <c r="K5599" t="str">
        <f>"764814178"</f>
        <v>764814178</v>
      </c>
      <c r="L5599" t="str">
        <f>"764814178"</f>
        <v>764814178</v>
      </c>
      <c r="M5599" t="s">
        <v>75</v>
      </c>
      <c r="N5599" s="1">
        <v>42872.849305555559</v>
      </c>
      <c r="O5599" t="s">
        <v>19</v>
      </c>
    </row>
    <row r="5600" spans="1:15" x14ac:dyDescent="0.25">
      <c r="A5600" t="s">
        <v>4121</v>
      </c>
      <c r="B5600" t="s">
        <v>15</v>
      </c>
      <c r="C5600" t="s">
        <v>27</v>
      </c>
      <c r="D5600" t="s">
        <v>17</v>
      </c>
      <c r="E5600" t="s">
        <v>18</v>
      </c>
      <c r="F5600" t="s">
        <v>19</v>
      </c>
      <c r="G5600" t="s">
        <v>20</v>
      </c>
      <c r="J5600" t="s">
        <v>17</v>
      </c>
      <c r="K5600" t="str">
        <f>"765814178"</f>
        <v>765814178</v>
      </c>
      <c r="L5600" t="str">
        <f>"765814178"</f>
        <v>765814178</v>
      </c>
      <c r="M5600" t="s">
        <v>75</v>
      </c>
      <c r="N5600" s="1">
        <v>42872.849305555559</v>
      </c>
      <c r="O5600" t="s">
        <v>19</v>
      </c>
    </row>
    <row r="5601" spans="1:15" x14ac:dyDescent="0.25">
      <c r="A5601" t="s">
        <v>4121</v>
      </c>
      <c r="B5601" t="s">
        <v>15</v>
      </c>
      <c r="C5601" t="s">
        <v>27</v>
      </c>
      <c r="D5601" t="s">
        <v>17</v>
      </c>
      <c r="E5601" t="s">
        <v>18</v>
      </c>
      <c r="F5601" t="s">
        <v>19</v>
      </c>
      <c r="G5601" t="s">
        <v>20</v>
      </c>
      <c r="J5601" t="s">
        <v>17</v>
      </c>
      <c r="K5601" t="str">
        <f>"767514178"</f>
        <v>767514178</v>
      </c>
      <c r="L5601" t="str">
        <f>"767514178"</f>
        <v>767514178</v>
      </c>
      <c r="M5601" t="s">
        <v>75</v>
      </c>
      <c r="N5601" s="1">
        <v>42872.849305555559</v>
      </c>
      <c r="O5601" t="s">
        <v>19</v>
      </c>
    </row>
    <row r="5602" spans="1:15" x14ac:dyDescent="0.25">
      <c r="A5602" t="s">
        <v>4121</v>
      </c>
      <c r="B5602" t="s">
        <v>15</v>
      </c>
      <c r="C5602" t="s">
        <v>27</v>
      </c>
      <c r="D5602" t="s">
        <v>17</v>
      </c>
      <c r="E5602" t="s">
        <v>18</v>
      </c>
      <c r="F5602" t="s">
        <v>19</v>
      </c>
      <c r="G5602" t="s">
        <v>20</v>
      </c>
      <c r="J5602" t="s">
        <v>17</v>
      </c>
      <c r="K5602" t="str">
        <f>"767614178"</f>
        <v>767614178</v>
      </c>
      <c r="L5602" t="str">
        <f>"767614178"</f>
        <v>767614178</v>
      </c>
      <c r="M5602" t="s">
        <v>75</v>
      </c>
      <c r="N5602" s="1">
        <v>42872.849305555559</v>
      </c>
      <c r="O5602" t="s">
        <v>19</v>
      </c>
    </row>
    <row r="5603" spans="1:15" x14ac:dyDescent="0.25">
      <c r="A5603" t="s">
        <v>4121</v>
      </c>
      <c r="B5603" t="s">
        <v>15</v>
      </c>
      <c r="C5603" t="s">
        <v>27</v>
      </c>
      <c r="D5603" t="s">
        <v>17</v>
      </c>
      <c r="E5603" t="s">
        <v>18</v>
      </c>
      <c r="F5603" t="s">
        <v>19</v>
      </c>
      <c r="G5603" t="s">
        <v>20</v>
      </c>
      <c r="J5603" t="s">
        <v>17</v>
      </c>
      <c r="K5603" t="str">
        <f>"765114178"</f>
        <v>765114178</v>
      </c>
      <c r="L5603" t="str">
        <f>"765114178"</f>
        <v>765114178</v>
      </c>
      <c r="M5603" t="s">
        <v>84</v>
      </c>
      <c r="N5603" s="1">
        <v>43266.722916666666</v>
      </c>
      <c r="O5603" t="s">
        <v>19</v>
      </c>
    </row>
    <row r="5604" spans="1:15" x14ac:dyDescent="0.25">
      <c r="A5604" t="s">
        <v>4122</v>
      </c>
      <c r="B5604" t="s">
        <v>15</v>
      </c>
      <c r="C5604" t="s">
        <v>27</v>
      </c>
      <c r="D5604" t="s">
        <v>17</v>
      </c>
      <c r="E5604" t="s">
        <v>18</v>
      </c>
      <c r="F5604" t="s">
        <v>19</v>
      </c>
      <c r="G5604" t="s">
        <v>20</v>
      </c>
      <c r="J5604" t="s">
        <v>17</v>
      </c>
      <c r="K5604" t="str">
        <f>"174814191"</f>
        <v>174814191</v>
      </c>
      <c r="L5604" t="str">
        <f>"174814191"</f>
        <v>174814191</v>
      </c>
      <c r="M5604" t="s">
        <v>75</v>
      </c>
      <c r="N5604" s="1">
        <v>42872.849305555559</v>
      </c>
      <c r="O5604" t="s">
        <v>19</v>
      </c>
    </row>
    <row r="5605" spans="1:15" x14ac:dyDescent="0.25">
      <c r="A5605" t="s">
        <v>4122</v>
      </c>
      <c r="B5605" t="s">
        <v>15</v>
      </c>
      <c r="C5605" t="s">
        <v>27</v>
      </c>
      <c r="D5605" t="s">
        <v>17</v>
      </c>
      <c r="E5605" t="s">
        <v>18</v>
      </c>
      <c r="F5605" t="s">
        <v>19</v>
      </c>
      <c r="G5605" t="s">
        <v>20</v>
      </c>
      <c r="J5605" t="s">
        <v>17</v>
      </c>
      <c r="K5605" t="str">
        <f>"175814191"</f>
        <v>175814191</v>
      </c>
      <c r="L5605" t="str">
        <f>"175814191"</f>
        <v>175814191</v>
      </c>
      <c r="M5605" t="s">
        <v>75</v>
      </c>
      <c r="N5605" s="1">
        <v>42872.849305555559</v>
      </c>
      <c r="O5605" t="s">
        <v>19</v>
      </c>
    </row>
    <row r="5606" spans="1:15" x14ac:dyDescent="0.25">
      <c r="A5606" t="s">
        <v>4122</v>
      </c>
      <c r="B5606" t="s">
        <v>15</v>
      </c>
      <c r="C5606" t="s">
        <v>27</v>
      </c>
      <c r="D5606" t="s">
        <v>17</v>
      </c>
      <c r="E5606" t="s">
        <v>18</v>
      </c>
      <c r="F5606" t="s">
        <v>19</v>
      </c>
      <c r="G5606" t="s">
        <v>20</v>
      </c>
      <c r="J5606" t="s">
        <v>17</v>
      </c>
      <c r="K5606" t="str">
        <f>"347714191"</f>
        <v>347714191</v>
      </c>
      <c r="L5606" t="str">
        <f>"347714191"</f>
        <v>347714191</v>
      </c>
      <c r="M5606" t="s">
        <v>75</v>
      </c>
      <c r="N5606" s="1">
        <v>42872.849305555559</v>
      </c>
      <c r="O5606" t="s">
        <v>19</v>
      </c>
    </row>
    <row r="5607" spans="1:15" x14ac:dyDescent="0.25">
      <c r="A5607" t="s">
        <v>4122</v>
      </c>
      <c r="B5607" t="s">
        <v>15</v>
      </c>
      <c r="C5607" t="s">
        <v>27</v>
      </c>
      <c r="D5607" t="s">
        <v>17</v>
      </c>
      <c r="E5607" t="s">
        <v>18</v>
      </c>
      <c r="F5607" t="s">
        <v>19</v>
      </c>
      <c r="G5607" t="s">
        <v>20</v>
      </c>
      <c r="J5607" t="s">
        <v>17</v>
      </c>
      <c r="K5607" t="str">
        <f>"764814191"</f>
        <v>764814191</v>
      </c>
      <c r="L5607" t="str">
        <f>"764814191"</f>
        <v>764814191</v>
      </c>
      <c r="M5607" t="s">
        <v>75</v>
      </c>
      <c r="N5607" s="1">
        <v>42896.800694444442</v>
      </c>
      <c r="O5607" t="s">
        <v>19</v>
      </c>
    </row>
    <row r="5608" spans="1:15" x14ac:dyDescent="0.25">
      <c r="A5608" t="s">
        <v>4122</v>
      </c>
      <c r="B5608" t="s">
        <v>15</v>
      </c>
      <c r="C5608" t="s">
        <v>27</v>
      </c>
      <c r="D5608" t="s">
        <v>17</v>
      </c>
      <c r="E5608" t="s">
        <v>18</v>
      </c>
      <c r="F5608" t="s">
        <v>19</v>
      </c>
      <c r="G5608" t="s">
        <v>20</v>
      </c>
      <c r="J5608" t="s">
        <v>17</v>
      </c>
      <c r="K5608" t="str">
        <f>"765114191"</f>
        <v>765114191</v>
      </c>
      <c r="L5608" t="str">
        <f>"765114191"</f>
        <v>765114191</v>
      </c>
      <c r="M5608" t="s">
        <v>84</v>
      </c>
      <c r="N5608" s="1">
        <v>43266.719444444447</v>
      </c>
      <c r="O5608" t="s">
        <v>19</v>
      </c>
    </row>
    <row r="5609" spans="1:15" x14ac:dyDescent="0.25">
      <c r="A5609" t="s">
        <v>4123</v>
      </c>
      <c r="B5609" t="s">
        <v>15</v>
      </c>
      <c r="C5609" t="s">
        <v>27</v>
      </c>
      <c r="D5609" t="s">
        <v>17</v>
      </c>
      <c r="E5609" t="s">
        <v>18</v>
      </c>
      <c r="F5609" t="s">
        <v>19</v>
      </c>
      <c r="G5609" t="s">
        <v>20</v>
      </c>
      <c r="J5609" t="s">
        <v>17</v>
      </c>
      <c r="K5609" t="str">
        <f>"174814200"</f>
        <v>174814200</v>
      </c>
      <c r="L5609" t="str">
        <f>"174814200"</f>
        <v>174814200</v>
      </c>
      <c r="M5609" t="s">
        <v>75</v>
      </c>
      <c r="N5609" s="1">
        <v>42956.863888888889</v>
      </c>
      <c r="O5609" t="s">
        <v>19</v>
      </c>
    </row>
    <row r="5610" spans="1:15" x14ac:dyDescent="0.25">
      <c r="A5610" t="s">
        <v>4124</v>
      </c>
      <c r="B5610" t="s">
        <v>15</v>
      </c>
      <c r="C5610" t="s">
        <v>27</v>
      </c>
      <c r="D5610" t="s">
        <v>17</v>
      </c>
      <c r="E5610" t="s">
        <v>18</v>
      </c>
      <c r="F5610" t="s">
        <v>19</v>
      </c>
      <c r="G5610" t="s">
        <v>20</v>
      </c>
      <c r="J5610" t="s">
        <v>17</v>
      </c>
      <c r="K5610" t="str">
        <f>"765114200"</f>
        <v>765114200</v>
      </c>
      <c r="L5610" t="str">
        <f>"765114200"</f>
        <v>765114200</v>
      </c>
      <c r="M5610" t="s">
        <v>75</v>
      </c>
      <c r="N5610" s="1">
        <v>43174.845833333333</v>
      </c>
      <c r="O5610" t="s">
        <v>19</v>
      </c>
    </row>
    <row r="5611" spans="1:15" x14ac:dyDescent="0.25">
      <c r="A5611" t="s">
        <v>4123</v>
      </c>
      <c r="B5611" t="s">
        <v>15</v>
      </c>
      <c r="C5611" t="s">
        <v>27</v>
      </c>
      <c r="D5611" t="s">
        <v>17</v>
      </c>
      <c r="E5611" t="s">
        <v>18</v>
      </c>
      <c r="F5611" t="s">
        <v>19</v>
      </c>
      <c r="G5611" t="s">
        <v>20</v>
      </c>
      <c r="J5611" t="s">
        <v>17</v>
      </c>
      <c r="K5611" t="str">
        <f>"345114200"</f>
        <v>345114200</v>
      </c>
      <c r="L5611" t="str">
        <f>"345114200"</f>
        <v>345114200</v>
      </c>
      <c r="M5611" t="s">
        <v>84</v>
      </c>
      <c r="N5611" s="1">
        <v>43257.870833333334</v>
      </c>
      <c r="O5611" t="s">
        <v>19</v>
      </c>
    </row>
    <row r="5612" spans="1:15" x14ac:dyDescent="0.25">
      <c r="A5612" t="s">
        <v>4123</v>
      </c>
      <c r="B5612" t="s">
        <v>15</v>
      </c>
      <c r="C5612" t="s">
        <v>27</v>
      </c>
      <c r="D5612" t="s">
        <v>17</v>
      </c>
      <c r="E5612" t="s">
        <v>18</v>
      </c>
      <c r="F5612" t="s">
        <v>19</v>
      </c>
      <c r="G5612" t="s">
        <v>20</v>
      </c>
      <c r="J5612" t="s">
        <v>17</v>
      </c>
      <c r="K5612" t="str">
        <f>"764814200"</f>
        <v>764814200</v>
      </c>
      <c r="L5612" t="str">
        <f>"764814200"</f>
        <v>764814200</v>
      </c>
      <c r="M5612" t="s">
        <v>84</v>
      </c>
      <c r="N5612" s="1">
        <v>43266.720138888886</v>
      </c>
      <c r="O5612" t="s">
        <v>19</v>
      </c>
    </row>
    <row r="5613" spans="1:15" x14ac:dyDescent="0.25">
      <c r="A5613" t="s">
        <v>4123</v>
      </c>
      <c r="B5613" t="s">
        <v>15</v>
      </c>
      <c r="C5613" t="s">
        <v>27</v>
      </c>
      <c r="D5613" t="s">
        <v>17</v>
      </c>
      <c r="E5613" t="s">
        <v>18</v>
      </c>
      <c r="F5613" t="s">
        <v>19</v>
      </c>
      <c r="G5613" t="s">
        <v>20</v>
      </c>
      <c r="J5613" t="s">
        <v>17</v>
      </c>
      <c r="K5613" t="str">
        <f>"175114200"</f>
        <v>175114200</v>
      </c>
      <c r="L5613" t="str">
        <f>"175114200"</f>
        <v>175114200</v>
      </c>
      <c r="M5613" t="s">
        <v>84</v>
      </c>
      <c r="N5613" s="1">
        <v>43267.843055555553</v>
      </c>
      <c r="O5613" t="s">
        <v>19</v>
      </c>
    </row>
    <row r="5614" spans="1:15" x14ac:dyDescent="0.25">
      <c r="A5614" t="s">
        <v>4124</v>
      </c>
      <c r="B5614" t="s">
        <v>15</v>
      </c>
      <c r="C5614" t="s">
        <v>27</v>
      </c>
      <c r="D5614" t="s">
        <v>17</v>
      </c>
      <c r="E5614" t="s">
        <v>18</v>
      </c>
      <c r="F5614" t="s">
        <v>19</v>
      </c>
      <c r="G5614" t="s">
        <v>20</v>
      </c>
      <c r="J5614" t="s">
        <v>17</v>
      </c>
      <c r="K5614" t="str">
        <f>"415114200"</f>
        <v>415114200</v>
      </c>
      <c r="L5614" t="str">
        <f>"415114200"</f>
        <v>415114200</v>
      </c>
      <c r="M5614" t="s">
        <v>84</v>
      </c>
      <c r="N5614" s="1">
        <v>43328.586111111108</v>
      </c>
      <c r="O5614" t="s">
        <v>19</v>
      </c>
    </row>
    <row r="5615" spans="1:15" x14ac:dyDescent="0.25">
      <c r="A5615" t="s">
        <v>4123</v>
      </c>
      <c r="B5615" t="s">
        <v>15</v>
      </c>
      <c r="C5615" t="s">
        <v>27</v>
      </c>
      <c r="D5615" t="s">
        <v>17</v>
      </c>
      <c r="E5615" t="s">
        <v>18</v>
      </c>
      <c r="F5615" t="s">
        <v>19</v>
      </c>
      <c r="G5615" t="s">
        <v>20</v>
      </c>
      <c r="J5615" t="s">
        <v>17</v>
      </c>
      <c r="K5615" t="str">
        <f>"866414200"</f>
        <v>866414200</v>
      </c>
      <c r="L5615" t="str">
        <f>"866414200"</f>
        <v>866414200</v>
      </c>
      <c r="M5615" t="s">
        <v>84</v>
      </c>
      <c r="N5615" s="1">
        <v>43364.934027777781</v>
      </c>
      <c r="O5615" t="s">
        <v>19</v>
      </c>
    </row>
    <row r="5616" spans="1:15" x14ac:dyDescent="0.25">
      <c r="A5616" t="s">
        <v>4123</v>
      </c>
      <c r="B5616" t="s">
        <v>15</v>
      </c>
      <c r="C5616" t="s">
        <v>27</v>
      </c>
      <c r="D5616" t="s">
        <v>17</v>
      </c>
      <c r="E5616" t="s">
        <v>18</v>
      </c>
      <c r="F5616" t="s">
        <v>19</v>
      </c>
      <c r="G5616" t="s">
        <v>20</v>
      </c>
      <c r="J5616" t="s">
        <v>17</v>
      </c>
      <c r="K5616" t="str">
        <f>"867814200"</f>
        <v>867814200</v>
      </c>
      <c r="L5616" t="str">
        <f>"867814200"</f>
        <v>867814200</v>
      </c>
      <c r="M5616" t="s">
        <v>84</v>
      </c>
      <c r="N5616" s="1">
        <v>43367.57708333333</v>
      </c>
      <c r="O5616" t="s">
        <v>19</v>
      </c>
    </row>
    <row r="5617" spans="1:15" x14ac:dyDescent="0.25">
      <c r="A5617" t="s">
        <v>4125</v>
      </c>
      <c r="B5617" t="s">
        <v>15</v>
      </c>
      <c r="C5617" t="s">
        <v>27</v>
      </c>
      <c r="D5617" t="s">
        <v>17</v>
      </c>
      <c r="E5617" t="s">
        <v>18</v>
      </c>
      <c r="F5617" t="s">
        <v>19</v>
      </c>
      <c r="G5617" t="s">
        <v>20</v>
      </c>
      <c r="J5617" t="s">
        <v>17</v>
      </c>
      <c r="K5617" t="str">
        <f>"761614201"</f>
        <v>761614201</v>
      </c>
      <c r="L5617" t="str">
        <f>"761614201"</f>
        <v>761614201</v>
      </c>
      <c r="M5617" t="s">
        <v>75</v>
      </c>
      <c r="N5617" s="1">
        <v>42898.984027777777</v>
      </c>
      <c r="O5617" t="s">
        <v>19</v>
      </c>
    </row>
    <row r="5618" spans="1:15" x14ac:dyDescent="0.25">
      <c r="A5618" t="s">
        <v>4125</v>
      </c>
      <c r="B5618" t="s">
        <v>15</v>
      </c>
      <c r="C5618" t="s">
        <v>27</v>
      </c>
      <c r="D5618" t="s">
        <v>17</v>
      </c>
      <c r="E5618" t="s">
        <v>18</v>
      </c>
      <c r="F5618" t="s">
        <v>19</v>
      </c>
      <c r="G5618" t="s">
        <v>20</v>
      </c>
      <c r="J5618" t="s">
        <v>17</v>
      </c>
      <c r="K5618" t="str">
        <f>"174814201"</f>
        <v>174814201</v>
      </c>
      <c r="L5618" t="str">
        <f>"174814201"</f>
        <v>174814201</v>
      </c>
      <c r="M5618" t="s">
        <v>75</v>
      </c>
      <c r="N5618" s="1">
        <v>42956.863194444442</v>
      </c>
      <c r="O5618" t="s">
        <v>19</v>
      </c>
    </row>
    <row r="5619" spans="1:15" x14ac:dyDescent="0.25">
      <c r="A5619" t="s">
        <v>4125</v>
      </c>
      <c r="B5619" t="s">
        <v>15</v>
      </c>
      <c r="C5619" t="s">
        <v>27</v>
      </c>
      <c r="D5619" t="s">
        <v>17</v>
      </c>
      <c r="E5619" t="s">
        <v>18</v>
      </c>
      <c r="F5619" t="s">
        <v>19</v>
      </c>
      <c r="G5619" t="s">
        <v>20</v>
      </c>
      <c r="J5619" t="s">
        <v>17</v>
      </c>
      <c r="K5619" t="str">
        <f>"765114201"</f>
        <v>765114201</v>
      </c>
      <c r="L5619" t="str">
        <f>"765114201"</f>
        <v>765114201</v>
      </c>
      <c r="M5619" t="s">
        <v>84</v>
      </c>
      <c r="N5619" s="1">
        <v>43266.71875</v>
      </c>
      <c r="O5619" t="s">
        <v>19</v>
      </c>
    </row>
    <row r="5620" spans="1:15" x14ac:dyDescent="0.25">
      <c r="A5620" t="s">
        <v>4125</v>
      </c>
      <c r="B5620" t="s">
        <v>15</v>
      </c>
      <c r="C5620" t="s">
        <v>27</v>
      </c>
      <c r="D5620" t="s">
        <v>17</v>
      </c>
      <c r="E5620" t="s">
        <v>18</v>
      </c>
      <c r="F5620" t="s">
        <v>19</v>
      </c>
      <c r="G5620" t="s">
        <v>20</v>
      </c>
      <c r="J5620" t="s">
        <v>17</v>
      </c>
      <c r="K5620" t="str">
        <f>"175114201"</f>
        <v>175114201</v>
      </c>
      <c r="L5620" t="str">
        <f>"175114201"</f>
        <v>175114201</v>
      </c>
      <c r="M5620" t="s">
        <v>84</v>
      </c>
      <c r="N5620" s="1">
        <v>43267.837500000001</v>
      </c>
      <c r="O5620" t="s">
        <v>19</v>
      </c>
    </row>
    <row r="5621" spans="1:15" x14ac:dyDescent="0.25">
      <c r="A5621" t="s">
        <v>4126</v>
      </c>
      <c r="B5621" t="s">
        <v>15</v>
      </c>
      <c r="C5621" t="s">
        <v>27</v>
      </c>
      <c r="D5621" t="s">
        <v>17</v>
      </c>
      <c r="E5621" t="s">
        <v>18</v>
      </c>
      <c r="F5621" t="s">
        <v>19</v>
      </c>
      <c r="G5621" t="s">
        <v>20</v>
      </c>
      <c r="J5621" t="s">
        <v>17</v>
      </c>
      <c r="K5621" t="str">
        <f>"765114203"</f>
        <v>765114203</v>
      </c>
      <c r="L5621" t="str">
        <f>"765114203"</f>
        <v>765114203</v>
      </c>
      <c r="M5621" t="s">
        <v>75</v>
      </c>
      <c r="N5621" s="1">
        <v>43196.719444444447</v>
      </c>
      <c r="O5621" t="s">
        <v>19</v>
      </c>
    </row>
    <row r="5622" spans="1:15" x14ac:dyDescent="0.25">
      <c r="A5622" t="s">
        <v>4126</v>
      </c>
      <c r="B5622" t="s">
        <v>15</v>
      </c>
      <c r="C5622" t="s">
        <v>27</v>
      </c>
      <c r="D5622" t="s">
        <v>17</v>
      </c>
      <c r="E5622" t="s">
        <v>18</v>
      </c>
      <c r="F5622" t="s">
        <v>19</v>
      </c>
      <c r="G5622" t="s">
        <v>20</v>
      </c>
      <c r="J5622" t="s">
        <v>17</v>
      </c>
      <c r="K5622" t="str">
        <f>"1000001090726"</f>
        <v>1000001090726</v>
      </c>
      <c r="L5622" t="str">
        <f>"766414203"</f>
        <v>766414203</v>
      </c>
      <c r="M5622" t="s">
        <v>84</v>
      </c>
      <c r="N5622" s="1">
        <v>43236.915277777778</v>
      </c>
      <c r="O5622" t="s">
        <v>19</v>
      </c>
    </row>
    <row r="5623" spans="1:15" x14ac:dyDescent="0.25">
      <c r="A5623" t="s">
        <v>4126</v>
      </c>
      <c r="B5623" t="s">
        <v>15</v>
      </c>
      <c r="C5623" t="s">
        <v>27</v>
      </c>
      <c r="D5623" t="s">
        <v>17</v>
      </c>
      <c r="E5623" t="s">
        <v>18</v>
      </c>
      <c r="F5623" t="s">
        <v>19</v>
      </c>
      <c r="G5623" t="s">
        <v>20</v>
      </c>
      <c r="J5623" t="s">
        <v>17</v>
      </c>
      <c r="K5623" t="str">
        <f>"864814203"</f>
        <v>864814203</v>
      </c>
      <c r="L5623" t="str">
        <f>"864814203"</f>
        <v>864814203</v>
      </c>
      <c r="M5623" t="s">
        <v>84</v>
      </c>
      <c r="N5623" s="1">
        <v>43316.775694444441</v>
      </c>
      <c r="O5623" t="s">
        <v>19</v>
      </c>
    </row>
    <row r="5624" spans="1:15" x14ac:dyDescent="0.25">
      <c r="A5624" t="s">
        <v>4126</v>
      </c>
      <c r="B5624" t="s">
        <v>15</v>
      </c>
      <c r="C5624" t="s">
        <v>27</v>
      </c>
      <c r="D5624" t="s">
        <v>17</v>
      </c>
      <c r="E5624" t="s">
        <v>18</v>
      </c>
      <c r="F5624" t="s">
        <v>19</v>
      </c>
      <c r="G5624" t="s">
        <v>20</v>
      </c>
      <c r="J5624" t="s">
        <v>17</v>
      </c>
      <c r="K5624" t="str">
        <f>"866414203"</f>
        <v>866414203</v>
      </c>
      <c r="L5624" t="str">
        <f>"866414203"</f>
        <v>866414203</v>
      </c>
      <c r="M5624" t="s">
        <v>84</v>
      </c>
      <c r="N5624" s="1">
        <v>43364.934027777781</v>
      </c>
      <c r="O5624" t="s">
        <v>19</v>
      </c>
    </row>
    <row r="5625" spans="1:15" x14ac:dyDescent="0.25">
      <c r="A5625" t="s">
        <v>4126</v>
      </c>
      <c r="B5625" t="s">
        <v>15</v>
      </c>
      <c r="C5625" t="s">
        <v>27</v>
      </c>
      <c r="D5625" t="s">
        <v>17</v>
      </c>
      <c r="E5625" t="s">
        <v>18</v>
      </c>
      <c r="F5625" t="s">
        <v>19</v>
      </c>
      <c r="G5625" t="s">
        <v>20</v>
      </c>
      <c r="J5625" t="s">
        <v>17</v>
      </c>
      <c r="K5625" t="str">
        <f>"867814203"</f>
        <v>867814203</v>
      </c>
      <c r="L5625" t="str">
        <f>"867814203"</f>
        <v>867814203</v>
      </c>
      <c r="M5625" t="s">
        <v>84</v>
      </c>
      <c r="N5625" s="1">
        <v>43367.576388888891</v>
      </c>
      <c r="O5625" t="s">
        <v>19</v>
      </c>
    </row>
    <row r="5626" spans="1:15" x14ac:dyDescent="0.25">
      <c r="A5626" t="s">
        <v>4126</v>
      </c>
      <c r="B5626" t="s">
        <v>15</v>
      </c>
      <c r="C5626" t="s">
        <v>27</v>
      </c>
      <c r="D5626" t="s">
        <v>17</v>
      </c>
      <c r="E5626" t="s">
        <v>18</v>
      </c>
      <c r="F5626" t="s">
        <v>19</v>
      </c>
      <c r="G5626" t="s">
        <v>20</v>
      </c>
      <c r="J5626" t="s">
        <v>17</v>
      </c>
      <c r="K5626" t="str">
        <f>"349914203"</f>
        <v>349914203</v>
      </c>
      <c r="L5626" t="str">
        <f>"349914203"</f>
        <v>349914203</v>
      </c>
      <c r="M5626" t="s">
        <v>84</v>
      </c>
      <c r="N5626" s="1">
        <v>43370.877083333333</v>
      </c>
      <c r="O5626" t="s">
        <v>19</v>
      </c>
    </row>
    <row r="5627" spans="1:15" x14ac:dyDescent="0.25">
      <c r="A5627" t="s">
        <v>4127</v>
      </c>
      <c r="B5627" t="s">
        <v>15</v>
      </c>
      <c r="C5627" t="s">
        <v>27</v>
      </c>
      <c r="D5627" t="s">
        <v>17</v>
      </c>
      <c r="E5627" t="s">
        <v>18</v>
      </c>
      <c r="F5627" t="s">
        <v>19</v>
      </c>
      <c r="G5627" t="s">
        <v>20</v>
      </c>
      <c r="J5627" t="s">
        <v>17</v>
      </c>
      <c r="K5627" t="str">
        <f>"765114204"</f>
        <v>765114204</v>
      </c>
      <c r="L5627" t="str">
        <f>"765114204"</f>
        <v>765114204</v>
      </c>
      <c r="M5627" t="s">
        <v>75</v>
      </c>
      <c r="N5627" s="1">
        <v>43222.615277777775</v>
      </c>
      <c r="O5627" t="s">
        <v>19</v>
      </c>
    </row>
    <row r="5628" spans="1:15" x14ac:dyDescent="0.25">
      <c r="A5628" t="s">
        <v>4127</v>
      </c>
      <c r="B5628" t="s">
        <v>15</v>
      </c>
      <c r="C5628" t="s">
        <v>27</v>
      </c>
      <c r="D5628" t="s">
        <v>17</v>
      </c>
      <c r="E5628" t="s">
        <v>18</v>
      </c>
      <c r="F5628" t="s">
        <v>19</v>
      </c>
      <c r="G5628" t="s">
        <v>20</v>
      </c>
      <c r="J5628" t="s">
        <v>17</v>
      </c>
      <c r="K5628" t="str">
        <f>"766414204"</f>
        <v>766414204</v>
      </c>
      <c r="L5628" t="str">
        <f>"766414204"</f>
        <v>766414204</v>
      </c>
      <c r="M5628" t="s">
        <v>75</v>
      </c>
      <c r="N5628" s="1">
        <v>43236.915972222225</v>
      </c>
      <c r="O5628" t="s">
        <v>19</v>
      </c>
    </row>
    <row r="5629" spans="1:15" x14ac:dyDescent="0.25">
      <c r="A5629" t="s">
        <v>4127</v>
      </c>
      <c r="B5629" t="s">
        <v>15</v>
      </c>
      <c r="C5629" t="s">
        <v>27</v>
      </c>
      <c r="D5629" t="s">
        <v>17</v>
      </c>
      <c r="E5629" t="s">
        <v>18</v>
      </c>
      <c r="F5629" t="s">
        <v>19</v>
      </c>
      <c r="G5629" t="s">
        <v>20</v>
      </c>
      <c r="J5629" t="s">
        <v>17</v>
      </c>
      <c r="K5629" t="str">
        <f>"864814204"</f>
        <v>864814204</v>
      </c>
      <c r="L5629" t="str">
        <f>"864814204"</f>
        <v>864814204</v>
      </c>
      <c r="M5629" t="s">
        <v>84</v>
      </c>
      <c r="N5629" s="1">
        <v>43316.775694444441</v>
      </c>
      <c r="O5629" t="s">
        <v>19</v>
      </c>
    </row>
    <row r="5630" spans="1:15" x14ac:dyDescent="0.25">
      <c r="A5630" t="s">
        <v>4127</v>
      </c>
      <c r="B5630" t="s">
        <v>15</v>
      </c>
      <c r="C5630" t="s">
        <v>27</v>
      </c>
      <c r="D5630" t="s">
        <v>17</v>
      </c>
      <c r="E5630" t="s">
        <v>18</v>
      </c>
      <c r="F5630" t="s">
        <v>19</v>
      </c>
      <c r="G5630" t="s">
        <v>20</v>
      </c>
      <c r="J5630" t="s">
        <v>17</v>
      </c>
      <c r="K5630" t="str">
        <f>"764814204"</f>
        <v>764814204</v>
      </c>
      <c r="L5630" t="str">
        <f>"764814204"</f>
        <v>764814204</v>
      </c>
      <c r="M5630" t="s">
        <v>84</v>
      </c>
      <c r="N5630" s="1">
        <v>43332.583333333336</v>
      </c>
      <c r="O5630" t="s">
        <v>19</v>
      </c>
    </row>
    <row r="5631" spans="1:15" x14ac:dyDescent="0.25">
      <c r="A5631" t="s">
        <v>4127</v>
      </c>
      <c r="B5631" t="s">
        <v>15</v>
      </c>
      <c r="C5631" t="s">
        <v>27</v>
      </c>
      <c r="D5631" t="s">
        <v>17</v>
      </c>
      <c r="E5631" t="s">
        <v>18</v>
      </c>
      <c r="F5631" t="s">
        <v>19</v>
      </c>
      <c r="G5631" t="s">
        <v>20</v>
      </c>
      <c r="J5631" t="s">
        <v>17</v>
      </c>
      <c r="K5631" t="str">
        <f>"866414204"</f>
        <v>866414204</v>
      </c>
      <c r="L5631" t="str">
        <f>"866414204"</f>
        <v>866414204</v>
      </c>
      <c r="M5631" t="s">
        <v>84</v>
      </c>
      <c r="N5631" s="1">
        <v>43364.9375</v>
      </c>
      <c r="O5631" t="s">
        <v>19</v>
      </c>
    </row>
    <row r="5632" spans="1:15" x14ac:dyDescent="0.25">
      <c r="A5632" t="s">
        <v>4127</v>
      </c>
      <c r="B5632" t="s">
        <v>15</v>
      </c>
      <c r="C5632" t="s">
        <v>27</v>
      </c>
      <c r="D5632" t="s">
        <v>17</v>
      </c>
      <c r="E5632" t="s">
        <v>18</v>
      </c>
      <c r="F5632" t="s">
        <v>19</v>
      </c>
      <c r="G5632" t="s">
        <v>20</v>
      </c>
      <c r="J5632" t="s">
        <v>17</v>
      </c>
      <c r="K5632" t="str">
        <f>"867814204"</f>
        <v>867814204</v>
      </c>
      <c r="L5632" t="str">
        <f>"867814204"</f>
        <v>867814204</v>
      </c>
      <c r="M5632" t="s">
        <v>84</v>
      </c>
      <c r="N5632" s="1">
        <v>43367.57708333333</v>
      </c>
      <c r="O5632" t="s">
        <v>19</v>
      </c>
    </row>
    <row r="5633" spans="1:15" x14ac:dyDescent="0.25">
      <c r="A5633" t="s">
        <v>4127</v>
      </c>
      <c r="B5633" t="s">
        <v>15</v>
      </c>
      <c r="C5633" t="s">
        <v>27</v>
      </c>
      <c r="D5633" t="s">
        <v>17</v>
      </c>
      <c r="E5633" t="s">
        <v>18</v>
      </c>
      <c r="F5633" t="s">
        <v>19</v>
      </c>
      <c r="G5633" t="s">
        <v>20</v>
      </c>
      <c r="J5633" t="s">
        <v>17</v>
      </c>
      <c r="K5633" t="str">
        <f>"349914204"</f>
        <v>349914204</v>
      </c>
      <c r="L5633" t="str">
        <f>"349914204"</f>
        <v>349914204</v>
      </c>
      <c r="M5633" t="s">
        <v>84</v>
      </c>
      <c r="N5633" s="1">
        <v>43370.875</v>
      </c>
      <c r="O5633" t="s">
        <v>19</v>
      </c>
    </row>
    <row r="5634" spans="1:15" x14ac:dyDescent="0.25">
      <c r="A5634" t="s">
        <v>4127</v>
      </c>
      <c r="B5634" t="s">
        <v>15</v>
      </c>
      <c r="C5634" t="s">
        <v>27</v>
      </c>
      <c r="D5634" t="s">
        <v>17</v>
      </c>
      <c r="E5634" t="s">
        <v>18</v>
      </c>
      <c r="F5634" t="s">
        <v>19</v>
      </c>
      <c r="G5634" t="s">
        <v>20</v>
      </c>
      <c r="J5634" t="s">
        <v>17</v>
      </c>
      <c r="K5634" t="str">
        <f>"345114204"</f>
        <v>345114204</v>
      </c>
      <c r="L5634" t="str">
        <f>"345114204"</f>
        <v>345114204</v>
      </c>
      <c r="M5634" t="s">
        <v>84</v>
      </c>
      <c r="N5634" s="1">
        <v>43420.747916666667</v>
      </c>
      <c r="O5634" t="s">
        <v>19</v>
      </c>
    </row>
    <row r="5635" spans="1:15" x14ac:dyDescent="0.25">
      <c r="A5635" t="s">
        <v>4128</v>
      </c>
      <c r="B5635" t="s">
        <v>15</v>
      </c>
      <c r="C5635" t="s">
        <v>27</v>
      </c>
      <c r="D5635" t="s">
        <v>17</v>
      </c>
      <c r="E5635" t="s">
        <v>18</v>
      </c>
      <c r="F5635" t="s">
        <v>19</v>
      </c>
      <c r="G5635" t="s">
        <v>20</v>
      </c>
      <c r="J5635" t="s">
        <v>17</v>
      </c>
      <c r="K5635" t="str">
        <f>"110341031"</f>
        <v>110341031</v>
      </c>
      <c r="L5635" t="str">
        <f>"110341031"</f>
        <v>110341031</v>
      </c>
      <c r="M5635" t="s">
        <v>75</v>
      </c>
      <c r="N5635" s="1">
        <v>42872.847222222219</v>
      </c>
      <c r="O5635" t="s">
        <v>19</v>
      </c>
    </row>
    <row r="5636" spans="1:15" x14ac:dyDescent="0.25">
      <c r="A5636" t="s">
        <v>4129</v>
      </c>
      <c r="B5636" t="s">
        <v>15</v>
      </c>
      <c r="C5636" t="s">
        <v>27</v>
      </c>
      <c r="D5636" t="s">
        <v>17</v>
      </c>
      <c r="E5636" t="s">
        <v>18</v>
      </c>
      <c r="F5636" t="s">
        <v>19</v>
      </c>
      <c r="G5636" t="s">
        <v>20</v>
      </c>
      <c r="J5636" t="s">
        <v>17</v>
      </c>
      <c r="K5636" t="str">
        <f>"110341032"</f>
        <v>110341032</v>
      </c>
      <c r="L5636" t="str">
        <f>"110341032"</f>
        <v>110341032</v>
      </c>
      <c r="M5636" t="s">
        <v>75</v>
      </c>
      <c r="N5636" s="1">
        <v>42872.847222222219</v>
      </c>
      <c r="O5636" t="s">
        <v>19</v>
      </c>
    </row>
    <row r="5637" spans="1:15" x14ac:dyDescent="0.25">
      <c r="A5637" t="s">
        <v>4130</v>
      </c>
      <c r="B5637" t="s">
        <v>15</v>
      </c>
      <c r="C5637" t="s">
        <v>27</v>
      </c>
      <c r="D5637" t="s">
        <v>17</v>
      </c>
      <c r="E5637" t="s">
        <v>18</v>
      </c>
      <c r="F5637" t="s">
        <v>19</v>
      </c>
      <c r="G5637" t="s">
        <v>20</v>
      </c>
      <c r="J5637" t="s">
        <v>17</v>
      </c>
      <c r="K5637" t="str">
        <f>"684814136"</f>
        <v>684814136</v>
      </c>
      <c r="L5637" t="str">
        <f>"684814136"</f>
        <v>684814136</v>
      </c>
      <c r="M5637" t="s">
        <v>75</v>
      </c>
      <c r="N5637" s="1">
        <v>42872.849305555559</v>
      </c>
      <c r="O5637" t="s">
        <v>19</v>
      </c>
    </row>
    <row r="5638" spans="1:15" x14ac:dyDescent="0.25">
      <c r="A5638" t="s">
        <v>4131</v>
      </c>
      <c r="B5638" t="s">
        <v>15</v>
      </c>
      <c r="C5638" t="s">
        <v>27</v>
      </c>
      <c r="D5638" t="s">
        <v>17</v>
      </c>
      <c r="E5638" t="s">
        <v>18</v>
      </c>
      <c r="F5638" t="s">
        <v>19</v>
      </c>
      <c r="G5638" t="s">
        <v>20</v>
      </c>
      <c r="J5638" t="s">
        <v>17</v>
      </c>
      <c r="K5638" t="str">
        <f>"68481447"</f>
        <v>68481447</v>
      </c>
      <c r="L5638" t="str">
        <f>"68481447"</f>
        <v>68481447</v>
      </c>
      <c r="M5638" t="s">
        <v>75</v>
      </c>
      <c r="N5638" s="1">
        <v>42872.847222222219</v>
      </c>
      <c r="O5638" t="s">
        <v>19</v>
      </c>
    </row>
    <row r="5639" spans="1:15" x14ac:dyDescent="0.25">
      <c r="A5639" t="s">
        <v>4132</v>
      </c>
      <c r="B5639" t="s">
        <v>15</v>
      </c>
      <c r="C5639" t="s">
        <v>27</v>
      </c>
      <c r="D5639" t="s">
        <v>17</v>
      </c>
      <c r="E5639" t="s">
        <v>18</v>
      </c>
      <c r="F5639" t="s">
        <v>19</v>
      </c>
      <c r="G5639" t="s">
        <v>20</v>
      </c>
      <c r="J5639" t="s">
        <v>17</v>
      </c>
      <c r="K5639" t="str">
        <f>"76481503"</f>
        <v>76481503</v>
      </c>
      <c r="L5639" t="str">
        <f>"76481503"</f>
        <v>76481503</v>
      </c>
      <c r="M5639" t="s">
        <v>75</v>
      </c>
      <c r="N5639" s="1">
        <v>42872.847222222219</v>
      </c>
      <c r="O5639" t="s">
        <v>19</v>
      </c>
    </row>
    <row r="5640" spans="1:15" x14ac:dyDescent="0.25">
      <c r="A5640" t="s">
        <v>4133</v>
      </c>
      <c r="B5640" t="s">
        <v>15</v>
      </c>
      <c r="C5640" t="s">
        <v>27</v>
      </c>
      <c r="D5640" t="s">
        <v>17</v>
      </c>
      <c r="E5640" t="s">
        <v>18</v>
      </c>
      <c r="F5640" t="s">
        <v>19</v>
      </c>
      <c r="G5640" t="s">
        <v>20</v>
      </c>
      <c r="J5640" t="s">
        <v>17</v>
      </c>
      <c r="K5640" t="str">
        <f>"17481505"</f>
        <v>17481505</v>
      </c>
      <c r="L5640" t="str">
        <f>"17481505"</f>
        <v>17481505</v>
      </c>
      <c r="M5640" t="s">
        <v>75</v>
      </c>
      <c r="N5640" s="1">
        <v>42872.839583333334</v>
      </c>
      <c r="O5640" t="s">
        <v>19</v>
      </c>
    </row>
    <row r="5641" spans="1:15" x14ac:dyDescent="0.25">
      <c r="A5641" t="s">
        <v>4134</v>
      </c>
      <c r="B5641" t="s">
        <v>15</v>
      </c>
      <c r="C5641" t="s">
        <v>27</v>
      </c>
      <c r="D5641" t="s">
        <v>17</v>
      </c>
      <c r="E5641" t="s">
        <v>18</v>
      </c>
      <c r="F5641" t="s">
        <v>19</v>
      </c>
      <c r="G5641" t="s">
        <v>20</v>
      </c>
      <c r="J5641" t="s">
        <v>17</v>
      </c>
      <c r="K5641" t="str">
        <f>"93481503"</f>
        <v>93481503</v>
      </c>
      <c r="L5641" t="str">
        <f>"93481503"</f>
        <v>93481503</v>
      </c>
      <c r="M5641" t="s">
        <v>75</v>
      </c>
      <c r="N5641" s="1">
        <v>42872.847222222219</v>
      </c>
      <c r="O5641" t="s">
        <v>19</v>
      </c>
    </row>
    <row r="5642" spans="1:15" x14ac:dyDescent="0.25">
      <c r="A5642" t="s">
        <v>4135</v>
      </c>
      <c r="B5642" t="s">
        <v>15</v>
      </c>
      <c r="C5642" t="s">
        <v>27</v>
      </c>
      <c r="D5642" t="s">
        <v>17</v>
      </c>
      <c r="E5642" t="s">
        <v>18</v>
      </c>
      <c r="F5642" t="s">
        <v>19</v>
      </c>
      <c r="G5642" t="s">
        <v>20</v>
      </c>
      <c r="J5642" t="s">
        <v>17</v>
      </c>
      <c r="K5642" t="str">
        <f>"17481503"</f>
        <v>17481503</v>
      </c>
      <c r="L5642" t="str">
        <f>"17481503"</f>
        <v>17481503</v>
      </c>
      <c r="M5642" t="s">
        <v>75</v>
      </c>
      <c r="N5642" s="1">
        <v>42872.839583333334</v>
      </c>
      <c r="O5642" t="s">
        <v>19</v>
      </c>
    </row>
    <row r="5643" spans="1:15" x14ac:dyDescent="0.25">
      <c r="A5643" t="s">
        <v>4135</v>
      </c>
      <c r="B5643" t="s">
        <v>15</v>
      </c>
      <c r="C5643" t="s">
        <v>16</v>
      </c>
      <c r="D5643" t="s">
        <v>17</v>
      </c>
      <c r="E5643" t="s">
        <v>18</v>
      </c>
      <c r="F5643" t="s">
        <v>19</v>
      </c>
      <c r="G5643" t="s">
        <v>20</v>
      </c>
      <c r="J5643" t="s">
        <v>17</v>
      </c>
      <c r="K5643" t="str">
        <f>"17581503"</f>
        <v>17581503</v>
      </c>
      <c r="L5643" t="str">
        <f>"17581503"</f>
        <v>17581503</v>
      </c>
      <c r="M5643" t="s">
        <v>75</v>
      </c>
      <c r="N5643" s="1">
        <v>42872.839583333334</v>
      </c>
      <c r="O5643" t="s">
        <v>19</v>
      </c>
    </row>
    <row r="5644" spans="1:15" x14ac:dyDescent="0.25">
      <c r="A5644" t="s">
        <v>4135</v>
      </c>
      <c r="B5644" t="s">
        <v>15</v>
      </c>
      <c r="C5644" t="s">
        <v>27</v>
      </c>
      <c r="D5644" t="s">
        <v>17</v>
      </c>
      <c r="E5644" t="s">
        <v>18</v>
      </c>
      <c r="F5644" t="s">
        <v>19</v>
      </c>
      <c r="G5644" t="s">
        <v>20</v>
      </c>
      <c r="J5644" t="s">
        <v>17</v>
      </c>
      <c r="K5644" t="str">
        <f>"76581503"</f>
        <v>76581503</v>
      </c>
      <c r="L5644" t="str">
        <f>"76581503"</f>
        <v>76581503</v>
      </c>
      <c r="M5644" t="s">
        <v>75</v>
      </c>
      <c r="N5644" s="1">
        <v>42872.847222222219</v>
      </c>
      <c r="O5644" t="s">
        <v>19</v>
      </c>
    </row>
    <row r="5645" spans="1:15" x14ac:dyDescent="0.25">
      <c r="A5645" t="s">
        <v>4136</v>
      </c>
      <c r="B5645" t="s">
        <v>15</v>
      </c>
      <c r="C5645" t="s">
        <v>27</v>
      </c>
      <c r="D5645" t="s">
        <v>17</v>
      </c>
      <c r="E5645" t="s">
        <v>18</v>
      </c>
      <c r="F5645" t="s">
        <v>19</v>
      </c>
      <c r="G5645" t="s">
        <v>20</v>
      </c>
      <c r="J5645" t="s">
        <v>17</v>
      </c>
      <c r="K5645" t="str">
        <f>"17481537"</f>
        <v>17481537</v>
      </c>
      <c r="L5645" t="str">
        <f>"17481537"</f>
        <v>17481537</v>
      </c>
      <c r="M5645" t="s">
        <v>75</v>
      </c>
      <c r="N5645" s="1">
        <v>42872.839583333334</v>
      </c>
      <c r="O5645" t="s">
        <v>19</v>
      </c>
    </row>
    <row r="5646" spans="1:15" x14ac:dyDescent="0.25">
      <c r="A5646" t="s">
        <v>4136</v>
      </c>
      <c r="B5646" t="s">
        <v>15</v>
      </c>
      <c r="C5646" t="s">
        <v>27</v>
      </c>
      <c r="D5646" t="s">
        <v>17</v>
      </c>
      <c r="E5646" t="s">
        <v>18</v>
      </c>
      <c r="F5646" t="s">
        <v>19</v>
      </c>
      <c r="G5646" t="s">
        <v>20</v>
      </c>
      <c r="J5646" t="s">
        <v>17</v>
      </c>
      <c r="K5646" t="str">
        <f>"34481537"</f>
        <v>34481537</v>
      </c>
      <c r="L5646" t="str">
        <f>"34481537"</f>
        <v>34481537</v>
      </c>
      <c r="M5646" t="s">
        <v>75</v>
      </c>
      <c r="N5646" s="1">
        <v>42872.839583333334</v>
      </c>
      <c r="O5646" t="s">
        <v>19</v>
      </c>
    </row>
    <row r="5647" spans="1:15" x14ac:dyDescent="0.25">
      <c r="A5647" t="s">
        <v>4137</v>
      </c>
      <c r="B5647" t="s">
        <v>15</v>
      </c>
      <c r="C5647" t="s">
        <v>27</v>
      </c>
      <c r="D5647" t="s">
        <v>17</v>
      </c>
      <c r="E5647" t="s">
        <v>18</v>
      </c>
      <c r="F5647" t="s">
        <v>19</v>
      </c>
      <c r="G5647" t="s">
        <v>20</v>
      </c>
      <c r="J5647" t="s">
        <v>17</v>
      </c>
      <c r="K5647" t="str">
        <f>"17481533"</f>
        <v>17481533</v>
      </c>
      <c r="L5647" t="str">
        <f>"17481533"</f>
        <v>17481533</v>
      </c>
      <c r="M5647" t="s">
        <v>75</v>
      </c>
      <c r="N5647" s="1">
        <v>42872.839583333334</v>
      </c>
      <c r="O5647" t="s">
        <v>19</v>
      </c>
    </row>
    <row r="5648" spans="1:15" x14ac:dyDescent="0.25">
      <c r="A5648" t="s">
        <v>4137</v>
      </c>
      <c r="B5648" t="s">
        <v>15</v>
      </c>
      <c r="C5648" t="s">
        <v>27</v>
      </c>
      <c r="D5648" t="s">
        <v>17</v>
      </c>
      <c r="E5648" t="s">
        <v>18</v>
      </c>
      <c r="F5648" t="s">
        <v>19</v>
      </c>
      <c r="G5648" t="s">
        <v>20</v>
      </c>
      <c r="J5648" t="s">
        <v>17</v>
      </c>
      <c r="K5648" t="str">
        <f>"76481533"</f>
        <v>76481533</v>
      </c>
      <c r="L5648" t="str">
        <f>"76481533"</f>
        <v>76481533</v>
      </c>
      <c r="M5648" t="s">
        <v>75</v>
      </c>
      <c r="N5648" s="1">
        <v>42872.847222222219</v>
      </c>
      <c r="O5648" t="s">
        <v>19</v>
      </c>
    </row>
    <row r="5649" spans="1:15" x14ac:dyDescent="0.25">
      <c r="A5649" t="s">
        <v>4138</v>
      </c>
      <c r="B5649" t="s">
        <v>15</v>
      </c>
      <c r="C5649" t="s">
        <v>27</v>
      </c>
      <c r="D5649" t="s">
        <v>17</v>
      </c>
      <c r="E5649" t="s">
        <v>18</v>
      </c>
      <c r="F5649" t="s">
        <v>19</v>
      </c>
      <c r="G5649" t="s">
        <v>20</v>
      </c>
      <c r="J5649" t="s">
        <v>17</v>
      </c>
      <c r="K5649" t="str">
        <f>"17481504"</f>
        <v>17481504</v>
      </c>
      <c r="L5649" t="str">
        <f>"17481504"</f>
        <v>17481504</v>
      </c>
      <c r="M5649" t="s">
        <v>75</v>
      </c>
      <c r="N5649" s="1">
        <v>42872.839583333334</v>
      </c>
      <c r="O5649" t="s">
        <v>19</v>
      </c>
    </row>
    <row r="5650" spans="1:15" x14ac:dyDescent="0.25">
      <c r="A5650" t="s">
        <v>4138</v>
      </c>
      <c r="B5650" t="s">
        <v>15</v>
      </c>
      <c r="C5650" t="s">
        <v>27</v>
      </c>
      <c r="D5650" t="s">
        <v>17</v>
      </c>
      <c r="E5650" t="s">
        <v>18</v>
      </c>
      <c r="F5650" t="s">
        <v>19</v>
      </c>
      <c r="G5650" t="s">
        <v>20</v>
      </c>
      <c r="J5650" t="s">
        <v>17</v>
      </c>
      <c r="K5650" t="str">
        <f>"17551504"</f>
        <v>17551504</v>
      </c>
      <c r="L5650" t="str">
        <f>"17551504"</f>
        <v>17551504</v>
      </c>
      <c r="M5650" t="s">
        <v>75</v>
      </c>
      <c r="N5650" s="1">
        <v>42872.839583333334</v>
      </c>
      <c r="O5650" t="s">
        <v>19</v>
      </c>
    </row>
    <row r="5651" spans="1:15" x14ac:dyDescent="0.25">
      <c r="A5651" t="s">
        <v>4138</v>
      </c>
      <c r="B5651" t="s">
        <v>15</v>
      </c>
      <c r="C5651" t="s">
        <v>27</v>
      </c>
      <c r="D5651" t="s">
        <v>17</v>
      </c>
      <c r="E5651" t="s">
        <v>18</v>
      </c>
      <c r="F5651" t="s">
        <v>19</v>
      </c>
      <c r="G5651" t="s">
        <v>20</v>
      </c>
      <c r="J5651" t="s">
        <v>17</v>
      </c>
      <c r="K5651" t="str">
        <f>"76481504"</f>
        <v>76481504</v>
      </c>
      <c r="L5651" t="str">
        <f>"76481504"</f>
        <v>76481504</v>
      </c>
      <c r="M5651" t="s">
        <v>75</v>
      </c>
      <c r="N5651" s="1">
        <v>42872.847222222219</v>
      </c>
      <c r="O5651" t="s">
        <v>19</v>
      </c>
    </row>
    <row r="5652" spans="1:15" x14ac:dyDescent="0.25">
      <c r="A5652" t="s">
        <v>4138</v>
      </c>
      <c r="B5652" t="s">
        <v>15</v>
      </c>
      <c r="C5652" t="s">
        <v>27</v>
      </c>
      <c r="D5652" t="s">
        <v>17</v>
      </c>
      <c r="E5652" t="s">
        <v>18</v>
      </c>
      <c r="F5652" t="s">
        <v>19</v>
      </c>
      <c r="G5652" t="s">
        <v>20</v>
      </c>
      <c r="J5652" t="s">
        <v>17</v>
      </c>
      <c r="K5652" t="str">
        <f>"76581504"</f>
        <v>76581504</v>
      </c>
      <c r="L5652" t="str">
        <f>"76581504"</f>
        <v>76581504</v>
      </c>
      <c r="M5652" t="s">
        <v>75</v>
      </c>
      <c r="N5652" s="1">
        <v>42872.847222222219</v>
      </c>
      <c r="O5652" t="s">
        <v>19</v>
      </c>
    </row>
    <row r="5653" spans="1:15" x14ac:dyDescent="0.25">
      <c r="A5653" t="s">
        <v>4139</v>
      </c>
      <c r="B5653" t="s">
        <v>15</v>
      </c>
      <c r="C5653" t="s">
        <v>27</v>
      </c>
      <c r="D5653" t="s">
        <v>17</v>
      </c>
      <c r="E5653" t="s">
        <v>18</v>
      </c>
      <c r="F5653" t="s">
        <v>19</v>
      </c>
      <c r="G5653" t="s">
        <v>20</v>
      </c>
      <c r="J5653" t="s">
        <v>17</v>
      </c>
      <c r="K5653" t="str">
        <f>"174815131"</f>
        <v>174815131</v>
      </c>
      <c r="L5653" t="str">
        <f>"174815131"</f>
        <v>174815131</v>
      </c>
      <c r="M5653" t="s">
        <v>75</v>
      </c>
      <c r="N5653" s="1">
        <v>42872.849305555559</v>
      </c>
      <c r="O5653" t="s">
        <v>19</v>
      </c>
    </row>
    <row r="5654" spans="1:15" x14ac:dyDescent="0.25">
      <c r="A5654" t="s">
        <v>4140</v>
      </c>
      <c r="B5654" t="s">
        <v>15</v>
      </c>
      <c r="C5654" t="s">
        <v>27</v>
      </c>
      <c r="D5654" t="s">
        <v>17</v>
      </c>
      <c r="E5654" t="s">
        <v>18</v>
      </c>
      <c r="F5654" t="s">
        <v>19</v>
      </c>
      <c r="G5654" t="s">
        <v>20</v>
      </c>
      <c r="J5654" t="s">
        <v>17</v>
      </c>
      <c r="K5654" t="str">
        <f>"68481527"</f>
        <v>68481527</v>
      </c>
      <c r="L5654" t="str">
        <f>"68481527"</f>
        <v>68481527</v>
      </c>
      <c r="M5654" t="s">
        <v>75</v>
      </c>
      <c r="N5654" s="1">
        <v>42872.847222222219</v>
      </c>
      <c r="O5654" t="s">
        <v>19</v>
      </c>
    </row>
    <row r="5655" spans="1:15" x14ac:dyDescent="0.25">
      <c r="A5655" t="s">
        <v>4140</v>
      </c>
      <c r="B5655" t="s">
        <v>15</v>
      </c>
      <c r="C5655" t="s">
        <v>27</v>
      </c>
      <c r="D5655" t="s">
        <v>17</v>
      </c>
      <c r="E5655" t="s">
        <v>18</v>
      </c>
      <c r="F5655" t="s">
        <v>19</v>
      </c>
      <c r="G5655" t="s">
        <v>20</v>
      </c>
      <c r="J5655" t="s">
        <v>17</v>
      </c>
      <c r="K5655" t="str">
        <f>"684815227"</f>
        <v>684815227</v>
      </c>
      <c r="L5655" t="str">
        <f>"684815227"</f>
        <v>684815227</v>
      </c>
      <c r="M5655" t="s">
        <v>75</v>
      </c>
      <c r="N5655" s="1">
        <v>42872.849305555559</v>
      </c>
      <c r="O5655" t="s">
        <v>19</v>
      </c>
    </row>
    <row r="5656" spans="1:15" x14ac:dyDescent="0.25">
      <c r="A5656" t="s">
        <v>4141</v>
      </c>
      <c r="B5656" t="s">
        <v>15</v>
      </c>
      <c r="C5656" t="s">
        <v>27</v>
      </c>
      <c r="D5656" t="s">
        <v>17</v>
      </c>
      <c r="E5656" t="s">
        <v>18</v>
      </c>
      <c r="F5656" t="s">
        <v>19</v>
      </c>
      <c r="G5656" t="s">
        <v>20</v>
      </c>
      <c r="J5656" t="s">
        <v>17</v>
      </c>
      <c r="K5656" t="str">
        <f>"76481507"</f>
        <v>76481507</v>
      </c>
      <c r="L5656" t="str">
        <f>"76481507"</f>
        <v>76481507</v>
      </c>
      <c r="M5656" t="s">
        <v>75</v>
      </c>
      <c r="N5656" s="1">
        <v>42872.847222222219</v>
      </c>
      <c r="O5656" t="s">
        <v>19</v>
      </c>
    </row>
    <row r="5657" spans="1:15" x14ac:dyDescent="0.25">
      <c r="A5657" t="s">
        <v>4142</v>
      </c>
      <c r="B5657" t="s">
        <v>15</v>
      </c>
      <c r="C5657" t="s">
        <v>27</v>
      </c>
      <c r="D5657" t="s">
        <v>17</v>
      </c>
      <c r="E5657" t="s">
        <v>18</v>
      </c>
      <c r="F5657" t="s">
        <v>19</v>
      </c>
      <c r="G5657" t="s">
        <v>20</v>
      </c>
      <c r="J5657" t="s">
        <v>17</v>
      </c>
      <c r="K5657" t="str">
        <f>"174815301"</f>
        <v>174815301</v>
      </c>
      <c r="L5657" t="str">
        <f>"174815301"</f>
        <v>174815301</v>
      </c>
      <c r="M5657" t="s">
        <v>75</v>
      </c>
      <c r="N5657" s="1">
        <v>43113.711111111108</v>
      </c>
      <c r="O5657" t="s">
        <v>19</v>
      </c>
    </row>
    <row r="5658" spans="1:15" x14ac:dyDescent="0.25">
      <c r="A5658" t="s">
        <v>4142</v>
      </c>
      <c r="B5658" t="s">
        <v>15</v>
      </c>
      <c r="C5658" t="s">
        <v>27</v>
      </c>
      <c r="D5658" t="s">
        <v>17</v>
      </c>
      <c r="E5658" t="s">
        <v>18</v>
      </c>
      <c r="F5658" t="s">
        <v>19</v>
      </c>
      <c r="G5658" t="s">
        <v>20</v>
      </c>
      <c r="J5658" t="s">
        <v>17</v>
      </c>
      <c r="K5658" t="str">
        <f>"765115301"</f>
        <v>765115301</v>
      </c>
      <c r="L5658" t="str">
        <f>"765115301"</f>
        <v>765115301</v>
      </c>
      <c r="M5658" t="s">
        <v>75</v>
      </c>
      <c r="N5658" s="1">
        <v>43179.665277777778</v>
      </c>
      <c r="O5658" t="s">
        <v>19</v>
      </c>
    </row>
    <row r="5659" spans="1:15" x14ac:dyDescent="0.25">
      <c r="A5659" t="s">
        <v>4143</v>
      </c>
      <c r="B5659" t="s">
        <v>15</v>
      </c>
      <c r="C5659" t="s">
        <v>27</v>
      </c>
      <c r="D5659" t="s">
        <v>17</v>
      </c>
      <c r="E5659" t="s">
        <v>18</v>
      </c>
      <c r="F5659" t="s">
        <v>19</v>
      </c>
      <c r="G5659" t="s">
        <v>20</v>
      </c>
      <c r="J5659" t="s">
        <v>17</v>
      </c>
      <c r="K5659" t="str">
        <f>"766115269"</f>
        <v>766115269</v>
      </c>
      <c r="L5659" t="str">
        <f>"766115269"</f>
        <v>766115269</v>
      </c>
      <c r="M5659" t="s">
        <v>84</v>
      </c>
      <c r="N5659" s="1">
        <v>43272.800694444442</v>
      </c>
      <c r="O5659" t="s">
        <v>19</v>
      </c>
    </row>
    <row r="5660" spans="1:15" x14ac:dyDescent="0.25">
      <c r="A5660" t="s">
        <v>4144</v>
      </c>
      <c r="B5660" t="s">
        <v>15</v>
      </c>
      <c r="C5660" t="s">
        <v>27</v>
      </c>
      <c r="D5660" t="s">
        <v>17</v>
      </c>
      <c r="E5660" t="s">
        <v>18</v>
      </c>
      <c r="F5660" t="s">
        <v>19</v>
      </c>
      <c r="G5660" t="s">
        <v>20</v>
      </c>
      <c r="J5660" t="s">
        <v>17</v>
      </c>
      <c r="K5660" t="str">
        <f>"174815132"</f>
        <v>174815132</v>
      </c>
      <c r="L5660" t="str">
        <f>"174815132"</f>
        <v>174815132</v>
      </c>
      <c r="M5660" t="s">
        <v>75</v>
      </c>
      <c r="N5660" s="1">
        <v>42872.849305555559</v>
      </c>
      <c r="O5660" t="s">
        <v>19</v>
      </c>
    </row>
    <row r="5661" spans="1:15" x14ac:dyDescent="0.25">
      <c r="A5661" t="s">
        <v>4144</v>
      </c>
      <c r="B5661" t="s">
        <v>15</v>
      </c>
      <c r="C5661" t="s">
        <v>27</v>
      </c>
      <c r="D5661" t="s">
        <v>17</v>
      </c>
      <c r="E5661" t="s">
        <v>18</v>
      </c>
      <c r="F5661" t="s">
        <v>19</v>
      </c>
      <c r="G5661" t="s">
        <v>20</v>
      </c>
      <c r="J5661" t="s">
        <v>17</v>
      </c>
      <c r="K5661" t="str">
        <f>"110341010"</f>
        <v>110341010</v>
      </c>
      <c r="L5661" t="str">
        <f>"110341010"</f>
        <v>110341010</v>
      </c>
      <c r="M5661" t="s">
        <v>21</v>
      </c>
      <c r="N5661" s="1">
        <v>42872.847222222219</v>
      </c>
      <c r="O5661" t="s">
        <v>33</v>
      </c>
    </row>
    <row r="5662" spans="1:15" x14ac:dyDescent="0.25">
      <c r="A5662" t="s">
        <v>4145</v>
      </c>
      <c r="B5662" t="s">
        <v>15</v>
      </c>
      <c r="C5662" t="s">
        <v>27</v>
      </c>
      <c r="D5662" t="s">
        <v>17</v>
      </c>
      <c r="E5662" t="s">
        <v>18</v>
      </c>
      <c r="F5662" t="s">
        <v>19</v>
      </c>
      <c r="G5662" t="s">
        <v>20</v>
      </c>
      <c r="J5662" t="s">
        <v>17</v>
      </c>
      <c r="K5662" t="str">
        <f>"76261509"</f>
        <v>76261509</v>
      </c>
      <c r="L5662" t="str">
        <f>"76261509"</f>
        <v>76261509</v>
      </c>
      <c r="M5662" t="s">
        <v>75</v>
      </c>
      <c r="N5662" s="1">
        <v>42872.847222222219</v>
      </c>
      <c r="O5662" t="s">
        <v>19</v>
      </c>
    </row>
    <row r="5663" spans="1:15" x14ac:dyDescent="0.25">
      <c r="A5663" t="s">
        <v>4145</v>
      </c>
      <c r="B5663" t="s">
        <v>15</v>
      </c>
      <c r="C5663" t="s">
        <v>27</v>
      </c>
      <c r="D5663" t="s">
        <v>17</v>
      </c>
      <c r="E5663" t="s">
        <v>18</v>
      </c>
      <c r="F5663" t="s">
        <v>19</v>
      </c>
      <c r="G5663" t="s">
        <v>20</v>
      </c>
      <c r="J5663" t="s">
        <v>17</v>
      </c>
      <c r="K5663" t="str">
        <f>"76691509"</f>
        <v>76691509</v>
      </c>
      <c r="L5663" t="str">
        <f>"76691509"</f>
        <v>76691509</v>
      </c>
      <c r="M5663" t="s">
        <v>75</v>
      </c>
      <c r="N5663" s="1">
        <v>42872.847222222219</v>
      </c>
      <c r="O5663" t="s">
        <v>19</v>
      </c>
    </row>
    <row r="5664" spans="1:15" x14ac:dyDescent="0.25">
      <c r="A5664" t="s">
        <v>4146</v>
      </c>
      <c r="B5664" t="s">
        <v>15</v>
      </c>
      <c r="C5664" t="s">
        <v>27</v>
      </c>
      <c r="D5664" t="s">
        <v>17</v>
      </c>
      <c r="E5664" t="s">
        <v>18</v>
      </c>
      <c r="F5664" t="s">
        <v>19</v>
      </c>
      <c r="G5664" t="s">
        <v>20</v>
      </c>
      <c r="J5664" t="s">
        <v>17</v>
      </c>
      <c r="K5664" t="str">
        <f>"76481509"</f>
        <v>76481509</v>
      </c>
      <c r="L5664" t="str">
        <f>"76481509"</f>
        <v>76481509</v>
      </c>
      <c r="M5664" t="s">
        <v>75</v>
      </c>
      <c r="N5664" s="1">
        <v>42872.847222222219</v>
      </c>
      <c r="O5664" t="s">
        <v>19</v>
      </c>
    </row>
    <row r="5665" spans="1:15" x14ac:dyDescent="0.25">
      <c r="A5665" t="s">
        <v>4146</v>
      </c>
      <c r="B5665" t="s">
        <v>15</v>
      </c>
      <c r="C5665" t="s">
        <v>27</v>
      </c>
      <c r="D5665" t="s">
        <v>17</v>
      </c>
      <c r="E5665" t="s">
        <v>18</v>
      </c>
      <c r="F5665" t="s">
        <v>19</v>
      </c>
      <c r="G5665" t="s">
        <v>20</v>
      </c>
      <c r="J5665" t="s">
        <v>17</v>
      </c>
      <c r="K5665" t="str">
        <f>"174815111"</f>
        <v>174815111</v>
      </c>
      <c r="L5665" t="str">
        <f>"174815111"</f>
        <v>174815111</v>
      </c>
      <c r="M5665" t="s">
        <v>75</v>
      </c>
      <c r="N5665" s="1">
        <v>42872.849305555559</v>
      </c>
      <c r="O5665" t="s">
        <v>19</v>
      </c>
    </row>
    <row r="5666" spans="1:15" x14ac:dyDescent="0.25">
      <c r="A5666" t="s">
        <v>4146</v>
      </c>
      <c r="B5666" t="s">
        <v>15</v>
      </c>
      <c r="C5666" t="s">
        <v>27</v>
      </c>
      <c r="D5666" t="s">
        <v>17</v>
      </c>
      <c r="E5666" t="s">
        <v>18</v>
      </c>
      <c r="F5666" t="s">
        <v>19</v>
      </c>
      <c r="G5666" t="s">
        <v>20</v>
      </c>
      <c r="J5666" t="s">
        <v>17</v>
      </c>
      <c r="K5666" t="str">
        <f>"764815111"</f>
        <v>764815111</v>
      </c>
      <c r="L5666" t="str">
        <f>"764815111"</f>
        <v>764815111</v>
      </c>
      <c r="M5666" t="s">
        <v>75</v>
      </c>
      <c r="N5666" s="1">
        <v>42872.849305555559</v>
      </c>
      <c r="O5666" t="s">
        <v>19</v>
      </c>
    </row>
    <row r="5667" spans="1:15" x14ac:dyDescent="0.25">
      <c r="A5667" t="s">
        <v>4147</v>
      </c>
      <c r="B5667" t="s">
        <v>15</v>
      </c>
      <c r="C5667" t="s">
        <v>27</v>
      </c>
      <c r="D5667" t="s">
        <v>17</v>
      </c>
      <c r="E5667" t="s">
        <v>18</v>
      </c>
      <c r="F5667" t="s">
        <v>19</v>
      </c>
      <c r="G5667" t="s">
        <v>20</v>
      </c>
      <c r="J5667" t="s">
        <v>17</v>
      </c>
      <c r="K5667" t="str">
        <f>"17481573"</f>
        <v>17481573</v>
      </c>
      <c r="L5667" t="str">
        <f>"17481573"</f>
        <v>17481573</v>
      </c>
      <c r="M5667" t="s">
        <v>75</v>
      </c>
      <c r="N5667" s="1">
        <v>42872.839583333334</v>
      </c>
      <c r="O5667" t="s">
        <v>19</v>
      </c>
    </row>
    <row r="5668" spans="1:15" x14ac:dyDescent="0.25">
      <c r="A5668" t="s">
        <v>4148</v>
      </c>
      <c r="B5668" t="s">
        <v>15</v>
      </c>
      <c r="C5668" t="s">
        <v>27</v>
      </c>
      <c r="D5668" t="s">
        <v>17</v>
      </c>
      <c r="E5668" t="s">
        <v>18</v>
      </c>
      <c r="F5668" t="s">
        <v>19</v>
      </c>
      <c r="G5668" t="s">
        <v>20</v>
      </c>
      <c r="J5668" t="s">
        <v>17</v>
      </c>
      <c r="K5668" t="str">
        <f>"174715266"</f>
        <v>174715266</v>
      </c>
      <c r="L5668" t="str">
        <f>"174715266"</f>
        <v>174715266</v>
      </c>
      <c r="M5668" t="s">
        <v>75</v>
      </c>
      <c r="N5668" s="1">
        <v>42872.849305555559</v>
      </c>
      <c r="O5668" t="s">
        <v>19</v>
      </c>
    </row>
    <row r="5669" spans="1:15" x14ac:dyDescent="0.25">
      <c r="A5669" t="s">
        <v>4148</v>
      </c>
      <c r="B5669" t="s">
        <v>15</v>
      </c>
      <c r="C5669" t="s">
        <v>27</v>
      </c>
      <c r="D5669" t="s">
        <v>17</v>
      </c>
      <c r="E5669" t="s">
        <v>18</v>
      </c>
      <c r="F5669" t="s">
        <v>19</v>
      </c>
      <c r="G5669" t="s">
        <v>20</v>
      </c>
      <c r="J5669" t="s">
        <v>17</v>
      </c>
      <c r="K5669" t="str">
        <f>"174815266"</f>
        <v>174815266</v>
      </c>
      <c r="L5669" t="str">
        <f>"174815266"</f>
        <v>174815266</v>
      </c>
      <c r="M5669" t="s">
        <v>75</v>
      </c>
      <c r="N5669" s="1">
        <v>42872.849305555559</v>
      </c>
      <c r="O5669" t="s">
        <v>19</v>
      </c>
    </row>
    <row r="5670" spans="1:15" x14ac:dyDescent="0.25">
      <c r="A5670" t="s">
        <v>4148</v>
      </c>
      <c r="B5670" t="s">
        <v>15</v>
      </c>
      <c r="C5670" t="s">
        <v>27</v>
      </c>
      <c r="D5670" t="s">
        <v>17</v>
      </c>
      <c r="E5670" t="s">
        <v>18</v>
      </c>
      <c r="F5670" t="s">
        <v>19</v>
      </c>
      <c r="G5670" t="s">
        <v>20</v>
      </c>
      <c r="J5670" t="s">
        <v>17</v>
      </c>
      <c r="K5670" t="str">
        <f>"334815266"</f>
        <v>334815266</v>
      </c>
      <c r="L5670" t="str">
        <f>"334815266"</f>
        <v>334815266</v>
      </c>
      <c r="M5670" t="s">
        <v>75</v>
      </c>
      <c r="N5670" s="1">
        <v>43046.665277777778</v>
      </c>
      <c r="O5670" t="s">
        <v>19</v>
      </c>
    </row>
    <row r="5671" spans="1:15" x14ac:dyDescent="0.25">
      <c r="A5671" t="s">
        <v>4149</v>
      </c>
      <c r="B5671" t="s">
        <v>15</v>
      </c>
      <c r="C5671" t="s">
        <v>27</v>
      </c>
      <c r="D5671" t="s">
        <v>17</v>
      </c>
      <c r="E5671" t="s">
        <v>18</v>
      </c>
      <c r="F5671" t="s">
        <v>19</v>
      </c>
      <c r="G5671" t="s">
        <v>20</v>
      </c>
      <c r="J5671" t="s">
        <v>17</v>
      </c>
      <c r="K5671" t="str">
        <f>"174715286"</f>
        <v>174715286</v>
      </c>
      <c r="L5671" t="str">
        <f>"174715286"</f>
        <v>174715286</v>
      </c>
      <c r="M5671" t="s">
        <v>75</v>
      </c>
      <c r="N5671" s="1">
        <v>42872.849305555559</v>
      </c>
      <c r="O5671" t="s">
        <v>19</v>
      </c>
    </row>
    <row r="5672" spans="1:15" x14ac:dyDescent="0.25">
      <c r="A5672" t="s">
        <v>4149</v>
      </c>
      <c r="B5672" t="s">
        <v>15</v>
      </c>
      <c r="C5672" t="s">
        <v>27</v>
      </c>
      <c r="D5672" t="s">
        <v>17</v>
      </c>
      <c r="E5672" t="s">
        <v>18</v>
      </c>
      <c r="F5672" t="s">
        <v>19</v>
      </c>
      <c r="G5672" t="s">
        <v>20</v>
      </c>
      <c r="J5672" t="s">
        <v>17</v>
      </c>
      <c r="K5672" t="str">
        <f>"174815286"</f>
        <v>174815286</v>
      </c>
      <c r="L5672" t="str">
        <f>"174815286"</f>
        <v>174815286</v>
      </c>
      <c r="M5672" t="s">
        <v>75</v>
      </c>
      <c r="N5672" s="1">
        <v>42872.849305555559</v>
      </c>
      <c r="O5672" t="s">
        <v>19</v>
      </c>
    </row>
    <row r="5673" spans="1:15" x14ac:dyDescent="0.25">
      <c r="A5673" t="s">
        <v>4149</v>
      </c>
      <c r="B5673" t="s">
        <v>15</v>
      </c>
      <c r="C5673" t="s">
        <v>27</v>
      </c>
      <c r="D5673" t="s">
        <v>17</v>
      </c>
      <c r="E5673" t="s">
        <v>18</v>
      </c>
      <c r="F5673" t="s">
        <v>19</v>
      </c>
      <c r="G5673" t="s">
        <v>20</v>
      </c>
      <c r="J5673" t="s">
        <v>17</v>
      </c>
      <c r="K5673" t="str">
        <f>"175815286"</f>
        <v>175815286</v>
      </c>
      <c r="L5673" t="str">
        <f>"175815286"</f>
        <v>175815286</v>
      </c>
      <c r="M5673" t="s">
        <v>75</v>
      </c>
      <c r="N5673" s="1">
        <v>42872.849305555559</v>
      </c>
      <c r="O5673" t="s">
        <v>19</v>
      </c>
    </row>
    <row r="5674" spans="1:15" x14ac:dyDescent="0.25">
      <c r="A5674" t="s">
        <v>4149</v>
      </c>
      <c r="B5674" t="s">
        <v>15</v>
      </c>
      <c r="C5674" t="s">
        <v>27</v>
      </c>
      <c r="D5674" t="s">
        <v>17</v>
      </c>
      <c r="E5674" t="s">
        <v>18</v>
      </c>
      <c r="F5674" t="s">
        <v>19</v>
      </c>
      <c r="G5674" t="s">
        <v>20</v>
      </c>
      <c r="J5674" t="s">
        <v>17</v>
      </c>
      <c r="K5674" t="str">
        <f>"764815286"</f>
        <v>764815286</v>
      </c>
      <c r="L5674" t="str">
        <f>"764815286"</f>
        <v>764815286</v>
      </c>
      <c r="M5674" t="s">
        <v>75</v>
      </c>
      <c r="N5674" s="1">
        <v>42933.697916666664</v>
      </c>
      <c r="O5674" t="s">
        <v>19</v>
      </c>
    </row>
    <row r="5675" spans="1:15" x14ac:dyDescent="0.25">
      <c r="A5675" t="s">
        <v>4149</v>
      </c>
      <c r="B5675" t="s">
        <v>15</v>
      </c>
      <c r="C5675" t="s">
        <v>27</v>
      </c>
      <c r="D5675" t="s">
        <v>17</v>
      </c>
      <c r="E5675" t="s">
        <v>18</v>
      </c>
      <c r="F5675" t="s">
        <v>19</v>
      </c>
      <c r="G5675" t="s">
        <v>20</v>
      </c>
      <c r="J5675" t="s">
        <v>17</v>
      </c>
      <c r="K5675" t="str">
        <f>"765115286"</f>
        <v>765115286</v>
      </c>
      <c r="L5675" t="str">
        <f>"765115286"</f>
        <v>765115286</v>
      </c>
      <c r="M5675" t="s">
        <v>75</v>
      </c>
      <c r="N5675" s="1">
        <v>43218.893055555556</v>
      </c>
      <c r="O5675" t="s">
        <v>19</v>
      </c>
    </row>
    <row r="5676" spans="1:15" x14ac:dyDescent="0.25">
      <c r="A5676" t="s">
        <v>4150</v>
      </c>
      <c r="B5676" t="s">
        <v>15</v>
      </c>
      <c r="C5676" t="s">
        <v>27</v>
      </c>
      <c r="D5676" t="s">
        <v>17</v>
      </c>
      <c r="E5676" t="s">
        <v>18</v>
      </c>
      <c r="F5676" t="s">
        <v>19</v>
      </c>
      <c r="G5676" t="s">
        <v>20</v>
      </c>
      <c r="J5676" t="s">
        <v>17</v>
      </c>
      <c r="K5676" t="str">
        <f>"684815267"</f>
        <v>684815267</v>
      </c>
      <c r="L5676" t="str">
        <f>"684815267"</f>
        <v>684815267</v>
      </c>
      <c r="M5676" t="s">
        <v>75</v>
      </c>
      <c r="N5676" s="1">
        <v>43083.884027777778</v>
      </c>
      <c r="O5676" t="s">
        <v>19</v>
      </c>
    </row>
    <row r="5677" spans="1:15" x14ac:dyDescent="0.25">
      <c r="A5677" t="s">
        <v>4150</v>
      </c>
      <c r="B5677" t="s">
        <v>15</v>
      </c>
      <c r="C5677" t="s">
        <v>27</v>
      </c>
      <c r="D5677" t="s">
        <v>17</v>
      </c>
      <c r="E5677" t="s">
        <v>18</v>
      </c>
      <c r="F5677" t="s">
        <v>19</v>
      </c>
      <c r="G5677" t="s">
        <v>20</v>
      </c>
      <c r="J5677" t="s">
        <v>17</v>
      </c>
      <c r="K5677" t="str">
        <f>"174815267"</f>
        <v>174815267</v>
      </c>
      <c r="L5677" t="str">
        <f>"174815267"</f>
        <v>174815267</v>
      </c>
      <c r="M5677" t="s">
        <v>75</v>
      </c>
      <c r="N5677" s="1">
        <v>43113.711805555555</v>
      </c>
      <c r="O5677" t="s">
        <v>19</v>
      </c>
    </row>
    <row r="5678" spans="1:15" x14ac:dyDescent="0.25">
      <c r="A5678" t="s">
        <v>4150</v>
      </c>
      <c r="B5678" t="s">
        <v>15</v>
      </c>
      <c r="C5678" t="s">
        <v>27</v>
      </c>
      <c r="D5678" t="s">
        <v>17</v>
      </c>
      <c r="E5678" t="s">
        <v>18</v>
      </c>
      <c r="F5678" t="s">
        <v>19</v>
      </c>
      <c r="G5678" t="s">
        <v>20</v>
      </c>
      <c r="J5678" t="s">
        <v>17</v>
      </c>
      <c r="K5678" t="str">
        <f>"764815267"</f>
        <v>764815267</v>
      </c>
      <c r="L5678" t="str">
        <f>"764815267"</f>
        <v>764815267</v>
      </c>
      <c r="M5678" t="s">
        <v>84</v>
      </c>
      <c r="N5678" s="1">
        <v>43258.943749999999</v>
      </c>
      <c r="O5678" t="s">
        <v>19</v>
      </c>
    </row>
    <row r="5679" spans="1:15" x14ac:dyDescent="0.25">
      <c r="A5679" t="s">
        <v>4151</v>
      </c>
      <c r="B5679" t="s">
        <v>15</v>
      </c>
      <c r="C5679" t="s">
        <v>27</v>
      </c>
      <c r="D5679" t="s">
        <v>17</v>
      </c>
      <c r="E5679" t="s">
        <v>18</v>
      </c>
      <c r="F5679" t="s">
        <v>19</v>
      </c>
      <c r="G5679" t="s">
        <v>20</v>
      </c>
      <c r="J5679" t="s">
        <v>17</v>
      </c>
      <c r="K5679" t="str">
        <f>"174815287"</f>
        <v>174815287</v>
      </c>
      <c r="L5679" t="str">
        <f>"174815287"</f>
        <v>174815287</v>
      </c>
      <c r="M5679" t="s">
        <v>75</v>
      </c>
      <c r="N5679" s="1">
        <v>43096.690972222219</v>
      </c>
      <c r="O5679" t="s">
        <v>19</v>
      </c>
    </row>
    <row r="5680" spans="1:15" x14ac:dyDescent="0.25">
      <c r="A5680" t="s">
        <v>4151</v>
      </c>
      <c r="B5680" t="s">
        <v>15</v>
      </c>
      <c r="C5680" t="s">
        <v>27</v>
      </c>
      <c r="D5680" t="s">
        <v>17</v>
      </c>
      <c r="E5680" t="s">
        <v>18</v>
      </c>
      <c r="F5680" t="s">
        <v>19</v>
      </c>
      <c r="G5680" t="s">
        <v>20</v>
      </c>
      <c r="J5680" t="s">
        <v>17</v>
      </c>
      <c r="K5680" t="str">
        <f>"765115287"</f>
        <v>765115287</v>
      </c>
      <c r="L5680" t="str">
        <f>"765115287"</f>
        <v>765115287</v>
      </c>
      <c r="M5680" t="s">
        <v>75</v>
      </c>
      <c r="N5680" s="1">
        <v>43175.644444444442</v>
      </c>
      <c r="O5680" t="s">
        <v>19</v>
      </c>
    </row>
    <row r="5681" spans="1:15" x14ac:dyDescent="0.25">
      <c r="A5681" t="s">
        <v>4151</v>
      </c>
      <c r="B5681" t="s">
        <v>15</v>
      </c>
      <c r="C5681" t="s">
        <v>27</v>
      </c>
      <c r="D5681" t="s">
        <v>17</v>
      </c>
      <c r="E5681" t="s">
        <v>18</v>
      </c>
      <c r="F5681" t="s">
        <v>19</v>
      </c>
      <c r="G5681" t="s">
        <v>20</v>
      </c>
      <c r="J5681" t="s">
        <v>17</v>
      </c>
      <c r="K5681" t="str">
        <f>"764815287"</f>
        <v>764815287</v>
      </c>
      <c r="L5681" t="str">
        <f>"764815287"</f>
        <v>764815287</v>
      </c>
      <c r="M5681" t="s">
        <v>75</v>
      </c>
      <c r="N5681" s="1">
        <v>43244.981249999997</v>
      </c>
      <c r="O5681" t="s">
        <v>19</v>
      </c>
    </row>
    <row r="5682" spans="1:15" x14ac:dyDescent="0.25">
      <c r="A5682" t="s">
        <v>4151</v>
      </c>
      <c r="B5682" t="s">
        <v>15</v>
      </c>
      <c r="C5682" t="s">
        <v>27</v>
      </c>
      <c r="D5682" t="s">
        <v>17</v>
      </c>
      <c r="E5682" t="s">
        <v>18</v>
      </c>
      <c r="F5682" t="s">
        <v>19</v>
      </c>
      <c r="G5682" t="s">
        <v>20</v>
      </c>
      <c r="J5682" t="s">
        <v>17</v>
      </c>
      <c r="K5682" t="str">
        <f>"765915287"</f>
        <v>765915287</v>
      </c>
      <c r="L5682" t="str">
        <f>"765915287"</f>
        <v>765915287</v>
      </c>
      <c r="M5682" t="s">
        <v>84</v>
      </c>
      <c r="N5682" s="1">
        <v>43251.713194444441</v>
      </c>
      <c r="O5682" t="s">
        <v>19</v>
      </c>
    </row>
    <row r="5683" spans="1:15" x14ac:dyDescent="0.25">
      <c r="A5683" t="s">
        <v>4151</v>
      </c>
      <c r="B5683" t="s">
        <v>15</v>
      </c>
      <c r="C5683" t="s">
        <v>27</v>
      </c>
      <c r="D5683" t="s">
        <v>17</v>
      </c>
      <c r="E5683" t="s">
        <v>18</v>
      </c>
      <c r="F5683" t="s">
        <v>19</v>
      </c>
      <c r="G5683" t="s">
        <v>20</v>
      </c>
      <c r="J5683" t="s">
        <v>17</v>
      </c>
      <c r="K5683" t="str">
        <f>"695115287"</f>
        <v>695115287</v>
      </c>
      <c r="L5683" t="str">
        <f>"695115287"</f>
        <v>695115287</v>
      </c>
      <c r="M5683" t="s">
        <v>84</v>
      </c>
      <c r="N5683" s="1">
        <v>43328.839583333334</v>
      </c>
      <c r="O5683" t="s">
        <v>19</v>
      </c>
    </row>
    <row r="5684" spans="1:15" x14ac:dyDescent="0.25">
      <c r="A5684" t="s">
        <v>4151</v>
      </c>
      <c r="B5684" t="s">
        <v>15</v>
      </c>
      <c r="C5684" t="s">
        <v>27</v>
      </c>
      <c r="D5684" t="s">
        <v>17</v>
      </c>
      <c r="E5684" t="s">
        <v>18</v>
      </c>
      <c r="F5684" t="s">
        <v>19</v>
      </c>
      <c r="G5684" t="s">
        <v>20</v>
      </c>
      <c r="J5684" t="s">
        <v>17</v>
      </c>
      <c r="K5684" t="str">
        <f>"694815287"</f>
        <v>694815287</v>
      </c>
      <c r="L5684" t="str">
        <f>"694815287"</f>
        <v>694815287</v>
      </c>
      <c r="M5684" t="s">
        <v>84</v>
      </c>
      <c r="N5684" s="1">
        <v>43336.839583333334</v>
      </c>
      <c r="O5684" t="s">
        <v>19</v>
      </c>
    </row>
    <row r="5685" spans="1:15" x14ac:dyDescent="0.25">
      <c r="A5685" t="s">
        <v>4152</v>
      </c>
      <c r="B5685" t="s">
        <v>15</v>
      </c>
      <c r="C5685" t="s">
        <v>27</v>
      </c>
      <c r="D5685" t="s">
        <v>17</v>
      </c>
      <c r="E5685" t="s">
        <v>18</v>
      </c>
      <c r="F5685" t="s">
        <v>19</v>
      </c>
      <c r="G5685" t="s">
        <v>20</v>
      </c>
      <c r="J5685" t="s">
        <v>17</v>
      </c>
      <c r="K5685" t="str">
        <f>"766115268"</f>
        <v>766115268</v>
      </c>
      <c r="L5685" t="str">
        <f>"766115268"</f>
        <v>766115268</v>
      </c>
      <c r="M5685" t="s">
        <v>84</v>
      </c>
      <c r="N5685" s="1">
        <v>43272.796527777777</v>
      </c>
      <c r="O5685" t="s">
        <v>19</v>
      </c>
    </row>
    <row r="5686" spans="1:15" x14ac:dyDescent="0.25">
      <c r="A5686" t="s">
        <v>4152</v>
      </c>
      <c r="B5686" t="s">
        <v>15</v>
      </c>
      <c r="C5686" t="s">
        <v>27</v>
      </c>
      <c r="D5686" t="s">
        <v>17</v>
      </c>
      <c r="E5686" t="s">
        <v>18</v>
      </c>
      <c r="F5686" t="s">
        <v>19</v>
      </c>
      <c r="G5686" t="s">
        <v>20</v>
      </c>
      <c r="J5686" t="s">
        <v>17</v>
      </c>
      <c r="K5686" t="str">
        <f>"765115268"</f>
        <v>765115268</v>
      </c>
      <c r="L5686" t="str">
        <f>"765115268"</f>
        <v>765115268</v>
      </c>
      <c r="M5686" t="s">
        <v>84</v>
      </c>
      <c r="N5686" s="1">
        <v>43286.972916666666</v>
      </c>
      <c r="O5686" t="s">
        <v>19</v>
      </c>
    </row>
    <row r="5687" spans="1:15" x14ac:dyDescent="0.25">
      <c r="A5687" t="s">
        <v>4152</v>
      </c>
      <c r="B5687" t="s">
        <v>15</v>
      </c>
      <c r="C5687" t="s">
        <v>27</v>
      </c>
      <c r="D5687" t="s">
        <v>17</v>
      </c>
      <c r="E5687" t="s">
        <v>18</v>
      </c>
      <c r="F5687" t="s">
        <v>19</v>
      </c>
      <c r="G5687" t="s">
        <v>20</v>
      </c>
      <c r="J5687" t="s">
        <v>17</v>
      </c>
      <c r="K5687" t="str">
        <f>"685115268"</f>
        <v>685115268</v>
      </c>
      <c r="L5687" t="str">
        <f>"685115268"</f>
        <v>685115268</v>
      </c>
      <c r="M5687" t="s">
        <v>84</v>
      </c>
      <c r="N5687" s="1">
        <v>43420.638888888891</v>
      </c>
      <c r="O5687" t="s">
        <v>19</v>
      </c>
    </row>
    <row r="5688" spans="1:15" x14ac:dyDescent="0.25">
      <c r="A5688" t="s">
        <v>4153</v>
      </c>
      <c r="B5688" t="s">
        <v>15</v>
      </c>
      <c r="C5688" t="s">
        <v>27</v>
      </c>
      <c r="D5688" t="s">
        <v>17</v>
      </c>
      <c r="E5688" t="s">
        <v>18</v>
      </c>
      <c r="F5688" t="s">
        <v>19</v>
      </c>
      <c r="G5688" t="s">
        <v>20</v>
      </c>
      <c r="J5688" t="s">
        <v>17</v>
      </c>
      <c r="K5688" t="str">
        <f>"110172103"</f>
        <v>110172103</v>
      </c>
      <c r="L5688" t="str">
        <f>"110172103"</f>
        <v>110172103</v>
      </c>
      <c r="M5688" t="s">
        <v>75</v>
      </c>
      <c r="N5688" s="1">
        <v>42872.847222222219</v>
      </c>
      <c r="O5688" t="s">
        <v>19</v>
      </c>
    </row>
    <row r="5689" spans="1:15" x14ac:dyDescent="0.25">
      <c r="A5689" t="s">
        <v>4154</v>
      </c>
      <c r="B5689" t="s">
        <v>15</v>
      </c>
      <c r="C5689" t="s">
        <v>27</v>
      </c>
      <c r="D5689" t="s">
        <v>17</v>
      </c>
      <c r="E5689" t="s">
        <v>18</v>
      </c>
      <c r="F5689" t="s">
        <v>19</v>
      </c>
      <c r="G5689" t="s">
        <v>20</v>
      </c>
      <c r="J5689" t="s">
        <v>17</v>
      </c>
      <c r="K5689" t="str">
        <f>"110172102"</f>
        <v>110172102</v>
      </c>
      <c r="L5689" t="str">
        <f>"110172102"</f>
        <v>110172102</v>
      </c>
      <c r="M5689" t="s">
        <v>75</v>
      </c>
      <c r="N5689" s="1">
        <v>42872.847222222219</v>
      </c>
      <c r="O5689" t="s">
        <v>19</v>
      </c>
    </row>
    <row r="5690" spans="1:15" x14ac:dyDescent="0.25">
      <c r="A5690" t="s">
        <v>4155</v>
      </c>
      <c r="B5690" t="s">
        <v>15</v>
      </c>
      <c r="C5690" t="s">
        <v>27</v>
      </c>
      <c r="D5690" t="s">
        <v>17</v>
      </c>
      <c r="E5690" t="s">
        <v>18</v>
      </c>
      <c r="F5690" t="s">
        <v>19</v>
      </c>
      <c r="G5690" t="s">
        <v>20</v>
      </c>
      <c r="J5690" t="s">
        <v>17</v>
      </c>
      <c r="K5690" t="str">
        <f>"767510284"</f>
        <v>767510284</v>
      </c>
      <c r="L5690" t="str">
        <f>"767510284"</f>
        <v>767510284</v>
      </c>
      <c r="M5690" t="s">
        <v>75</v>
      </c>
      <c r="N5690" s="1">
        <v>42872.849305555559</v>
      </c>
      <c r="O5690" t="s">
        <v>19</v>
      </c>
    </row>
    <row r="5691" spans="1:15" x14ac:dyDescent="0.25">
      <c r="A5691" t="s">
        <v>4156</v>
      </c>
      <c r="B5691" t="s">
        <v>15</v>
      </c>
      <c r="C5691" t="s">
        <v>27</v>
      </c>
      <c r="D5691" t="s">
        <v>17</v>
      </c>
      <c r="E5691" t="s">
        <v>18</v>
      </c>
      <c r="F5691" t="s">
        <v>19</v>
      </c>
      <c r="G5691" t="s">
        <v>20</v>
      </c>
      <c r="J5691" t="s">
        <v>17</v>
      </c>
      <c r="K5691" t="str">
        <f>"17481524"</f>
        <v>17481524</v>
      </c>
      <c r="L5691" t="str">
        <f>"17481524"</f>
        <v>17481524</v>
      </c>
      <c r="M5691" t="s">
        <v>75</v>
      </c>
      <c r="N5691" s="1">
        <v>42872.839583333334</v>
      </c>
      <c r="O5691" t="s">
        <v>19</v>
      </c>
    </row>
    <row r="5692" spans="1:15" x14ac:dyDescent="0.25">
      <c r="A5692" t="s">
        <v>4156</v>
      </c>
      <c r="B5692" t="s">
        <v>15</v>
      </c>
      <c r="C5692" t="s">
        <v>27</v>
      </c>
      <c r="D5692" t="s">
        <v>17</v>
      </c>
      <c r="E5692" t="s">
        <v>18</v>
      </c>
      <c r="F5692" t="s">
        <v>19</v>
      </c>
      <c r="G5692" t="s">
        <v>20</v>
      </c>
      <c r="J5692" t="s">
        <v>17</v>
      </c>
      <c r="K5692" t="str">
        <f>"76481524"</f>
        <v>76481524</v>
      </c>
      <c r="L5692" t="str">
        <f>"76481524"</f>
        <v>76481524</v>
      </c>
      <c r="M5692" t="s">
        <v>75</v>
      </c>
      <c r="N5692" s="1">
        <v>42872.847222222219</v>
      </c>
      <c r="O5692" t="s">
        <v>19</v>
      </c>
    </row>
    <row r="5693" spans="1:15" x14ac:dyDescent="0.25">
      <c r="A5693" t="s">
        <v>4157</v>
      </c>
      <c r="B5693" t="s">
        <v>15</v>
      </c>
      <c r="C5693" t="s">
        <v>27</v>
      </c>
      <c r="D5693" t="s">
        <v>17</v>
      </c>
      <c r="E5693" t="s">
        <v>18</v>
      </c>
      <c r="F5693" t="s">
        <v>19</v>
      </c>
      <c r="G5693" t="s">
        <v>20</v>
      </c>
      <c r="J5693" t="s">
        <v>17</v>
      </c>
      <c r="K5693" t="str">
        <f>"765815133"</f>
        <v>765815133</v>
      </c>
      <c r="L5693" t="str">
        <f>"765815133"</f>
        <v>765815133</v>
      </c>
      <c r="M5693" t="s">
        <v>75</v>
      </c>
      <c r="N5693" s="1">
        <v>42872.847222222219</v>
      </c>
      <c r="O5693" t="s">
        <v>19</v>
      </c>
    </row>
    <row r="5694" spans="1:15" x14ac:dyDescent="0.25">
      <c r="A5694" t="s">
        <v>4157</v>
      </c>
      <c r="B5694" t="s">
        <v>15</v>
      </c>
      <c r="C5694" t="s">
        <v>27</v>
      </c>
      <c r="D5694" t="s">
        <v>17</v>
      </c>
      <c r="E5694" t="s">
        <v>18</v>
      </c>
      <c r="F5694" t="s">
        <v>19</v>
      </c>
      <c r="G5694" t="s">
        <v>20</v>
      </c>
      <c r="J5694" t="s">
        <v>17</v>
      </c>
      <c r="K5694" t="str">
        <f>"174815133"</f>
        <v>174815133</v>
      </c>
      <c r="L5694" t="str">
        <f>"174815133"</f>
        <v>174815133</v>
      </c>
      <c r="M5694" t="s">
        <v>75</v>
      </c>
      <c r="N5694" s="1">
        <v>42872.849305555559</v>
      </c>
      <c r="O5694" t="s">
        <v>19</v>
      </c>
    </row>
    <row r="5695" spans="1:15" x14ac:dyDescent="0.25">
      <c r="A5695" t="s">
        <v>4157</v>
      </c>
      <c r="B5695" t="s">
        <v>15</v>
      </c>
      <c r="C5695" t="s">
        <v>27</v>
      </c>
      <c r="D5695" t="s">
        <v>17</v>
      </c>
      <c r="E5695" t="s">
        <v>18</v>
      </c>
      <c r="F5695" t="s">
        <v>19</v>
      </c>
      <c r="G5695" t="s">
        <v>20</v>
      </c>
      <c r="J5695" t="s">
        <v>17</v>
      </c>
      <c r="K5695" t="str">
        <f>"344815133"</f>
        <v>344815133</v>
      </c>
      <c r="L5695" t="str">
        <f>"344815133"</f>
        <v>344815133</v>
      </c>
      <c r="M5695" t="s">
        <v>75</v>
      </c>
      <c r="N5695" s="1">
        <v>42872.849305555559</v>
      </c>
      <c r="O5695" t="s">
        <v>19</v>
      </c>
    </row>
    <row r="5696" spans="1:15" x14ac:dyDescent="0.25">
      <c r="A5696" t="s">
        <v>4158</v>
      </c>
      <c r="B5696" t="s">
        <v>15</v>
      </c>
      <c r="C5696" t="s">
        <v>27</v>
      </c>
      <c r="D5696" t="s">
        <v>17</v>
      </c>
      <c r="E5696" t="s">
        <v>18</v>
      </c>
      <c r="F5696" t="s">
        <v>19</v>
      </c>
      <c r="G5696" t="s">
        <v>20</v>
      </c>
      <c r="J5696" t="s">
        <v>17</v>
      </c>
      <c r="K5696" t="str">
        <f>"764815176"</f>
        <v>764815176</v>
      </c>
      <c r="L5696" t="str">
        <f>"764815176"</f>
        <v>764815176</v>
      </c>
      <c r="M5696" t="s">
        <v>75</v>
      </c>
      <c r="N5696" s="1">
        <v>42872.849305555559</v>
      </c>
      <c r="O5696" t="s">
        <v>19</v>
      </c>
    </row>
    <row r="5697" spans="1:15" x14ac:dyDescent="0.25">
      <c r="A5697" t="s">
        <v>4159</v>
      </c>
      <c r="B5697" t="s">
        <v>15</v>
      </c>
      <c r="C5697" t="s">
        <v>27</v>
      </c>
      <c r="D5697" t="s">
        <v>17</v>
      </c>
      <c r="E5697" t="s">
        <v>18</v>
      </c>
      <c r="F5697" t="s">
        <v>19</v>
      </c>
      <c r="G5697" t="s">
        <v>20</v>
      </c>
      <c r="J5697" t="s">
        <v>17</v>
      </c>
      <c r="K5697" t="str">
        <f>"17510213"</f>
        <v>17510213</v>
      </c>
      <c r="L5697" t="str">
        <f>"17510213"</f>
        <v>17510213</v>
      </c>
      <c r="M5697" t="s">
        <v>21</v>
      </c>
      <c r="N5697" s="1">
        <v>43890.578472222223</v>
      </c>
      <c r="O5697" t="s">
        <v>19</v>
      </c>
    </row>
    <row r="5698" spans="1:15" x14ac:dyDescent="0.25">
      <c r="A5698" t="s">
        <v>4160</v>
      </c>
      <c r="B5698" t="s">
        <v>15</v>
      </c>
      <c r="C5698" t="s">
        <v>27</v>
      </c>
      <c r="D5698" t="s">
        <v>17</v>
      </c>
      <c r="E5698" t="s">
        <v>18</v>
      </c>
      <c r="F5698" t="s">
        <v>19</v>
      </c>
      <c r="G5698" t="s">
        <v>20</v>
      </c>
      <c r="J5698" t="s">
        <v>17</v>
      </c>
      <c r="K5698" t="str">
        <f>"61480213"</f>
        <v>61480213</v>
      </c>
      <c r="L5698" t="str">
        <f>"61480213"</f>
        <v>61480213</v>
      </c>
      <c r="M5698" t="s">
        <v>21</v>
      </c>
      <c r="N5698" s="1">
        <v>44252.861805555556</v>
      </c>
      <c r="O5698" t="s">
        <v>19</v>
      </c>
    </row>
    <row r="5699" spans="1:15" x14ac:dyDescent="0.25">
      <c r="A5699" t="s">
        <v>4161</v>
      </c>
      <c r="B5699" t="s">
        <v>15</v>
      </c>
      <c r="C5699" t="s">
        <v>27</v>
      </c>
      <c r="D5699" t="s">
        <v>17</v>
      </c>
      <c r="E5699" t="s">
        <v>18</v>
      </c>
      <c r="F5699" t="s">
        <v>19</v>
      </c>
      <c r="G5699" t="s">
        <v>20</v>
      </c>
      <c r="J5699" t="s">
        <v>17</v>
      </c>
      <c r="K5699" t="str">
        <f>"68510210"</f>
        <v>68510210</v>
      </c>
      <c r="L5699" t="str">
        <f>"68510210"</f>
        <v>68510210</v>
      </c>
      <c r="M5699" t="s">
        <v>84</v>
      </c>
      <c r="N5699" s="1">
        <v>43420.63958333333</v>
      </c>
      <c r="O5699" t="s">
        <v>19</v>
      </c>
    </row>
    <row r="5700" spans="1:15" x14ac:dyDescent="0.25">
      <c r="A5700" t="s">
        <v>4162</v>
      </c>
      <c r="B5700" t="s">
        <v>15</v>
      </c>
      <c r="C5700" t="s">
        <v>27</v>
      </c>
      <c r="D5700" t="s">
        <v>17</v>
      </c>
      <c r="E5700" t="s">
        <v>18</v>
      </c>
      <c r="F5700" t="s">
        <v>19</v>
      </c>
      <c r="G5700" t="s">
        <v>20</v>
      </c>
      <c r="J5700" t="s">
        <v>17</v>
      </c>
      <c r="K5700" t="str">
        <f>"13560213"</f>
        <v>13560213</v>
      </c>
      <c r="L5700" t="str">
        <f>"13560213"</f>
        <v>13560213</v>
      </c>
      <c r="M5700" t="s">
        <v>21</v>
      </c>
      <c r="N5700" s="1">
        <v>44348.852777777778</v>
      </c>
      <c r="O5700" t="s">
        <v>19</v>
      </c>
    </row>
    <row r="5701" spans="1:15" x14ac:dyDescent="0.25">
      <c r="A5701" t="s">
        <v>4162</v>
      </c>
      <c r="B5701" t="s">
        <v>15</v>
      </c>
      <c r="C5701" t="s">
        <v>27</v>
      </c>
      <c r="D5701" t="s">
        <v>17</v>
      </c>
      <c r="E5701" t="s">
        <v>18</v>
      </c>
      <c r="F5701" t="s">
        <v>19</v>
      </c>
      <c r="G5701" t="s">
        <v>20</v>
      </c>
      <c r="J5701" t="s">
        <v>17</v>
      </c>
      <c r="K5701" t="str">
        <f>"13510213"</f>
        <v>13510213</v>
      </c>
      <c r="L5701" t="str">
        <f>"13510213"</f>
        <v>13510213</v>
      </c>
      <c r="M5701" t="s">
        <v>21</v>
      </c>
      <c r="N5701" s="1">
        <v>44348.915972222225</v>
      </c>
      <c r="O5701" t="s">
        <v>19</v>
      </c>
    </row>
    <row r="5702" spans="1:15" x14ac:dyDescent="0.25">
      <c r="A5702" t="s">
        <v>4163</v>
      </c>
      <c r="B5702" t="s">
        <v>15</v>
      </c>
      <c r="C5702" t="s">
        <v>27</v>
      </c>
      <c r="D5702" t="s">
        <v>17</v>
      </c>
      <c r="E5702" t="s">
        <v>18</v>
      </c>
      <c r="F5702" t="s">
        <v>19</v>
      </c>
      <c r="G5702" t="s">
        <v>20</v>
      </c>
      <c r="J5702" t="s">
        <v>17</v>
      </c>
      <c r="K5702" t="str">
        <f>"13510222"</f>
        <v>13510222</v>
      </c>
      <c r="L5702" t="str">
        <f>"13510222"</f>
        <v>13510222</v>
      </c>
      <c r="M5702" t="s">
        <v>21</v>
      </c>
      <c r="N5702" s="1">
        <v>44348.84375</v>
      </c>
      <c r="O5702" t="s">
        <v>19</v>
      </c>
    </row>
    <row r="5703" spans="1:15" x14ac:dyDescent="0.25">
      <c r="A5703" t="s">
        <v>4164</v>
      </c>
      <c r="B5703" t="s">
        <v>15</v>
      </c>
      <c r="C5703" t="s">
        <v>27</v>
      </c>
      <c r="D5703" t="s">
        <v>17</v>
      </c>
      <c r="E5703" t="s">
        <v>18</v>
      </c>
      <c r="F5703" t="s">
        <v>19</v>
      </c>
      <c r="G5703" t="s">
        <v>20</v>
      </c>
      <c r="J5703" t="s">
        <v>17</v>
      </c>
      <c r="K5703" t="str">
        <f>"13510214"</f>
        <v>13510214</v>
      </c>
      <c r="L5703" t="str">
        <f>"13510214"</f>
        <v>13510214</v>
      </c>
      <c r="M5703" t="s">
        <v>21</v>
      </c>
      <c r="N5703" s="1">
        <v>44348.844444444447</v>
      </c>
      <c r="O5703" t="s">
        <v>19</v>
      </c>
    </row>
    <row r="5704" spans="1:15" x14ac:dyDescent="0.25">
      <c r="A5704" t="s">
        <v>4164</v>
      </c>
      <c r="B5704" t="s">
        <v>15</v>
      </c>
      <c r="C5704" t="s">
        <v>27</v>
      </c>
      <c r="D5704" t="s">
        <v>17</v>
      </c>
      <c r="E5704" t="s">
        <v>18</v>
      </c>
      <c r="F5704" t="s">
        <v>19</v>
      </c>
      <c r="G5704" t="s">
        <v>20</v>
      </c>
      <c r="J5704" t="s">
        <v>17</v>
      </c>
      <c r="K5704" t="str">
        <f>"76510214"</f>
        <v>76510214</v>
      </c>
      <c r="L5704" t="str">
        <f>"76510214"</f>
        <v>76510214</v>
      </c>
      <c r="M5704" t="s">
        <v>21</v>
      </c>
      <c r="N5704" s="1">
        <v>44355.828472222223</v>
      </c>
      <c r="O5704" t="s">
        <v>19</v>
      </c>
    </row>
    <row r="5705" spans="1:15" x14ac:dyDescent="0.25">
      <c r="A5705" t="s">
        <v>4165</v>
      </c>
      <c r="B5705" t="s">
        <v>15</v>
      </c>
      <c r="C5705" t="s">
        <v>27</v>
      </c>
      <c r="D5705" t="s">
        <v>17</v>
      </c>
      <c r="E5705" t="s">
        <v>18</v>
      </c>
      <c r="F5705" t="s">
        <v>19</v>
      </c>
      <c r="G5705" t="s">
        <v>20</v>
      </c>
      <c r="J5705" t="s">
        <v>17</v>
      </c>
      <c r="K5705" t="str">
        <f>"68510211"</f>
        <v>68510211</v>
      </c>
      <c r="L5705" t="str">
        <f>"68510211"</f>
        <v>68510211</v>
      </c>
      <c r="M5705" t="s">
        <v>84</v>
      </c>
      <c r="N5705" s="1">
        <v>43420.640972222223</v>
      </c>
      <c r="O5705" t="s">
        <v>19</v>
      </c>
    </row>
    <row r="5706" spans="1:15" x14ac:dyDescent="0.25">
      <c r="A5706" t="s">
        <v>4166</v>
      </c>
      <c r="B5706" t="s">
        <v>15</v>
      </c>
      <c r="C5706" t="s">
        <v>27</v>
      </c>
      <c r="D5706" t="s">
        <v>17</v>
      </c>
      <c r="E5706" t="s">
        <v>18</v>
      </c>
      <c r="F5706" t="s">
        <v>19</v>
      </c>
      <c r="G5706" t="s">
        <v>20</v>
      </c>
      <c r="J5706" t="s">
        <v>17</v>
      </c>
      <c r="K5706" t="str">
        <f>"68510212"</f>
        <v>68510212</v>
      </c>
      <c r="L5706" t="str">
        <f>"68510212"</f>
        <v>68510212</v>
      </c>
      <c r="M5706" t="s">
        <v>84</v>
      </c>
      <c r="N5706" s="1">
        <v>43420.640972222223</v>
      </c>
      <c r="O5706" t="s">
        <v>19</v>
      </c>
    </row>
    <row r="5707" spans="1:15" x14ac:dyDescent="0.25">
      <c r="A5707" t="s">
        <v>4167</v>
      </c>
      <c r="B5707" t="s">
        <v>15</v>
      </c>
      <c r="C5707" t="s">
        <v>27</v>
      </c>
      <c r="D5707" t="s">
        <v>17</v>
      </c>
      <c r="E5707" t="s">
        <v>18</v>
      </c>
      <c r="F5707" t="s">
        <v>19</v>
      </c>
      <c r="G5707" t="s">
        <v>20</v>
      </c>
      <c r="J5707" t="s">
        <v>17</v>
      </c>
      <c r="K5707" t="str">
        <f>"13560219"</f>
        <v>13560219</v>
      </c>
      <c r="L5707" t="str">
        <f>"13560219"</f>
        <v>13560219</v>
      </c>
      <c r="M5707" t="s">
        <v>21</v>
      </c>
      <c r="N5707" s="1">
        <v>44348.852083333331</v>
      </c>
      <c r="O5707" t="s">
        <v>19</v>
      </c>
    </row>
    <row r="5708" spans="1:15" x14ac:dyDescent="0.25">
      <c r="A5708" t="s">
        <v>4168</v>
      </c>
      <c r="B5708" t="s">
        <v>15</v>
      </c>
      <c r="C5708" t="s">
        <v>27</v>
      </c>
      <c r="D5708" t="s">
        <v>17</v>
      </c>
      <c r="E5708" t="s">
        <v>18</v>
      </c>
      <c r="F5708" t="s">
        <v>19</v>
      </c>
      <c r="G5708" t="s">
        <v>20</v>
      </c>
      <c r="J5708" t="s">
        <v>17</v>
      </c>
      <c r="K5708" t="str">
        <f>"13510221"</f>
        <v>13510221</v>
      </c>
      <c r="L5708" t="str">
        <f>"13510221"</f>
        <v>13510221</v>
      </c>
      <c r="M5708" t="s">
        <v>21</v>
      </c>
      <c r="N5708" s="1">
        <v>44348.844444444447</v>
      </c>
      <c r="O5708" t="s">
        <v>19</v>
      </c>
    </row>
    <row r="5709" spans="1:15" x14ac:dyDescent="0.25">
      <c r="A5709" t="s">
        <v>4168</v>
      </c>
      <c r="B5709" t="s">
        <v>15</v>
      </c>
      <c r="C5709" t="s">
        <v>27</v>
      </c>
      <c r="D5709" t="s">
        <v>17</v>
      </c>
      <c r="E5709" t="s">
        <v>18</v>
      </c>
      <c r="F5709" t="s">
        <v>19</v>
      </c>
      <c r="G5709" t="s">
        <v>20</v>
      </c>
      <c r="J5709" t="s">
        <v>17</v>
      </c>
      <c r="K5709" t="str">
        <f>"13560221"</f>
        <v>13560221</v>
      </c>
      <c r="L5709" t="str">
        <f>"13560221"</f>
        <v>13560221</v>
      </c>
      <c r="M5709" t="s">
        <v>21</v>
      </c>
      <c r="N5709" s="1">
        <v>44348.854861111111</v>
      </c>
      <c r="O5709" t="s">
        <v>19</v>
      </c>
    </row>
    <row r="5710" spans="1:15" x14ac:dyDescent="0.25">
      <c r="A5710" t="s">
        <v>4169</v>
      </c>
      <c r="B5710" t="s">
        <v>15</v>
      </c>
      <c r="C5710" t="s">
        <v>27</v>
      </c>
      <c r="D5710" t="s">
        <v>17</v>
      </c>
      <c r="E5710" t="s">
        <v>18</v>
      </c>
      <c r="F5710" t="s">
        <v>19</v>
      </c>
      <c r="G5710" t="s">
        <v>20</v>
      </c>
      <c r="J5710" t="s">
        <v>17</v>
      </c>
      <c r="K5710" t="str">
        <f>"34510202"</f>
        <v>34510202</v>
      </c>
      <c r="L5710" t="str">
        <f>"34510202"</f>
        <v>34510202</v>
      </c>
      <c r="M5710" t="s">
        <v>84</v>
      </c>
      <c r="N5710" s="1">
        <v>43257.870833333334</v>
      </c>
      <c r="O5710" t="s">
        <v>19</v>
      </c>
    </row>
    <row r="5711" spans="1:15" x14ac:dyDescent="0.25">
      <c r="A5711" t="s">
        <v>4170</v>
      </c>
      <c r="B5711" t="s">
        <v>15</v>
      </c>
      <c r="C5711" t="s">
        <v>27</v>
      </c>
      <c r="D5711" t="s">
        <v>17</v>
      </c>
      <c r="E5711" t="s">
        <v>18</v>
      </c>
      <c r="F5711" t="s">
        <v>19</v>
      </c>
      <c r="G5711" t="s">
        <v>20</v>
      </c>
      <c r="J5711" t="s">
        <v>17</v>
      </c>
      <c r="K5711" t="str">
        <f>"174818186"</f>
        <v>174818186</v>
      </c>
      <c r="L5711" t="str">
        <f>"174818186"</f>
        <v>174818186</v>
      </c>
      <c r="M5711" t="s">
        <v>75</v>
      </c>
      <c r="N5711" s="1">
        <v>42872.849305555559</v>
      </c>
      <c r="O5711" t="s">
        <v>19</v>
      </c>
    </row>
    <row r="5712" spans="1:15" x14ac:dyDescent="0.25">
      <c r="A5712" t="s">
        <v>4171</v>
      </c>
      <c r="B5712" t="s">
        <v>15</v>
      </c>
      <c r="C5712" t="s">
        <v>27</v>
      </c>
      <c r="D5712" t="s">
        <v>17</v>
      </c>
      <c r="E5712" t="s">
        <v>18</v>
      </c>
      <c r="F5712" t="s">
        <v>19</v>
      </c>
      <c r="G5712" t="s">
        <v>20</v>
      </c>
      <c r="J5712" t="s">
        <v>17</v>
      </c>
      <c r="K5712" t="str">
        <f>"174818292"</f>
        <v>174818292</v>
      </c>
      <c r="L5712" t="str">
        <f>"174818292"</f>
        <v>174818292</v>
      </c>
      <c r="M5712" t="s">
        <v>75</v>
      </c>
      <c r="N5712" s="1">
        <v>42872.849305555559</v>
      </c>
      <c r="O5712" t="s">
        <v>19</v>
      </c>
    </row>
    <row r="5713" spans="1:15" x14ac:dyDescent="0.25">
      <c r="A5713" t="s">
        <v>4172</v>
      </c>
      <c r="B5713" t="s">
        <v>15</v>
      </c>
      <c r="C5713" t="s">
        <v>27</v>
      </c>
      <c r="D5713" t="s">
        <v>17</v>
      </c>
      <c r="E5713" t="s">
        <v>18</v>
      </c>
      <c r="F5713" t="s">
        <v>19</v>
      </c>
      <c r="G5713" t="s">
        <v>20</v>
      </c>
      <c r="J5713" t="s">
        <v>17</v>
      </c>
      <c r="K5713" t="str">
        <f>"174818273"</f>
        <v>174818273</v>
      </c>
      <c r="L5713" t="str">
        <f>"174818273"</f>
        <v>174818273</v>
      </c>
      <c r="M5713" t="s">
        <v>75</v>
      </c>
      <c r="N5713" s="1">
        <v>42872.849305555559</v>
      </c>
      <c r="O5713" t="s">
        <v>19</v>
      </c>
    </row>
    <row r="5714" spans="1:15" x14ac:dyDescent="0.25">
      <c r="A5714" t="s">
        <v>4173</v>
      </c>
      <c r="B5714" t="s">
        <v>15</v>
      </c>
      <c r="C5714" t="s">
        <v>27</v>
      </c>
      <c r="D5714" t="s">
        <v>17</v>
      </c>
      <c r="E5714" t="s">
        <v>18</v>
      </c>
      <c r="F5714" t="s">
        <v>19</v>
      </c>
      <c r="G5714" t="s">
        <v>20</v>
      </c>
      <c r="J5714" t="s">
        <v>17</v>
      </c>
      <c r="K5714" t="str">
        <f>"764818186"</f>
        <v>764818186</v>
      </c>
      <c r="L5714" t="str">
        <f>"764818186"</f>
        <v>764818186</v>
      </c>
      <c r="M5714" t="s">
        <v>75</v>
      </c>
      <c r="N5714" s="1">
        <v>42872.849305555559</v>
      </c>
      <c r="O5714" t="s">
        <v>19</v>
      </c>
    </row>
    <row r="5715" spans="1:15" x14ac:dyDescent="0.25">
      <c r="A5715" t="s">
        <v>4174</v>
      </c>
      <c r="B5715" t="s">
        <v>15</v>
      </c>
      <c r="C5715" t="s">
        <v>27</v>
      </c>
      <c r="D5715" t="s">
        <v>17</v>
      </c>
      <c r="E5715" t="s">
        <v>18</v>
      </c>
      <c r="F5715" t="s">
        <v>19</v>
      </c>
      <c r="G5715" t="s">
        <v>20</v>
      </c>
      <c r="J5715" t="s">
        <v>17</v>
      </c>
      <c r="K5715" t="str">
        <f>"174818201"</f>
        <v>174818201</v>
      </c>
      <c r="L5715" t="str">
        <f>"174818201"</f>
        <v>174818201</v>
      </c>
      <c r="M5715" t="s">
        <v>75</v>
      </c>
      <c r="N5715" s="1">
        <v>42872.849305555559</v>
      </c>
      <c r="O5715" t="s">
        <v>19</v>
      </c>
    </row>
    <row r="5716" spans="1:15" x14ac:dyDescent="0.25">
      <c r="A5716" t="s">
        <v>4175</v>
      </c>
      <c r="B5716" t="s">
        <v>15</v>
      </c>
      <c r="C5716" t="s">
        <v>27</v>
      </c>
      <c r="D5716" t="s">
        <v>17</v>
      </c>
      <c r="E5716" t="s">
        <v>18</v>
      </c>
      <c r="F5716" t="s">
        <v>19</v>
      </c>
      <c r="G5716" t="s">
        <v>20</v>
      </c>
      <c r="J5716" t="s">
        <v>17</v>
      </c>
      <c r="K5716" t="str">
        <f>"174818226"</f>
        <v>174818226</v>
      </c>
      <c r="L5716" t="str">
        <f>"174818226"</f>
        <v>174818226</v>
      </c>
      <c r="M5716" t="s">
        <v>75</v>
      </c>
      <c r="N5716" s="1">
        <v>42872.849305555559</v>
      </c>
      <c r="O5716" t="s">
        <v>19</v>
      </c>
    </row>
    <row r="5717" spans="1:15" x14ac:dyDescent="0.25">
      <c r="A5717" t="s">
        <v>4176</v>
      </c>
      <c r="B5717" t="s">
        <v>15</v>
      </c>
      <c r="C5717" t="s">
        <v>27</v>
      </c>
      <c r="D5717" t="s">
        <v>17</v>
      </c>
      <c r="E5717" t="s">
        <v>18</v>
      </c>
      <c r="F5717" t="s">
        <v>19</v>
      </c>
      <c r="G5717" t="s">
        <v>20</v>
      </c>
      <c r="J5717" t="s">
        <v>17</v>
      </c>
      <c r="K5717" t="str">
        <f>"174818288"</f>
        <v>174818288</v>
      </c>
      <c r="L5717" t="str">
        <f>"174818288"</f>
        <v>174818288</v>
      </c>
      <c r="M5717" t="s">
        <v>75</v>
      </c>
      <c r="N5717" s="1">
        <v>42994.824305555558</v>
      </c>
      <c r="O5717" t="s">
        <v>19</v>
      </c>
    </row>
    <row r="5718" spans="1:15" x14ac:dyDescent="0.25">
      <c r="A5718" t="s">
        <v>4177</v>
      </c>
      <c r="B5718" t="s">
        <v>15</v>
      </c>
      <c r="C5718" t="s">
        <v>27</v>
      </c>
      <c r="D5718" t="s">
        <v>17</v>
      </c>
      <c r="E5718" t="s">
        <v>18</v>
      </c>
      <c r="F5718" t="s">
        <v>19</v>
      </c>
      <c r="G5718" t="s">
        <v>20</v>
      </c>
      <c r="J5718" t="s">
        <v>17</v>
      </c>
      <c r="K5718" t="str">
        <f>"174823289"</f>
        <v>174823289</v>
      </c>
      <c r="L5718" t="str">
        <f>"174823289"</f>
        <v>174823289</v>
      </c>
      <c r="M5718" t="s">
        <v>75</v>
      </c>
      <c r="N5718" s="1">
        <v>42872.849305555559</v>
      </c>
      <c r="O5718" t="s">
        <v>19</v>
      </c>
    </row>
    <row r="5719" spans="1:15" x14ac:dyDescent="0.25">
      <c r="A5719" t="s">
        <v>4177</v>
      </c>
      <c r="B5719" t="s">
        <v>15</v>
      </c>
      <c r="C5719" t="s">
        <v>27</v>
      </c>
      <c r="D5719" t="s">
        <v>17</v>
      </c>
      <c r="E5719" t="s">
        <v>18</v>
      </c>
      <c r="F5719" t="s">
        <v>19</v>
      </c>
      <c r="G5719" t="s">
        <v>20</v>
      </c>
      <c r="J5719" t="s">
        <v>17</v>
      </c>
      <c r="K5719" t="str">
        <f>"684818289"</f>
        <v>684818289</v>
      </c>
      <c r="L5719" t="str">
        <f>"684818289"</f>
        <v>684818289</v>
      </c>
      <c r="M5719" t="s">
        <v>75</v>
      </c>
      <c r="N5719" s="1">
        <v>42872.849305555559</v>
      </c>
      <c r="O5719" t="s">
        <v>19</v>
      </c>
    </row>
    <row r="5720" spans="1:15" x14ac:dyDescent="0.25">
      <c r="A5720" t="s">
        <v>4178</v>
      </c>
      <c r="B5720" t="s">
        <v>15</v>
      </c>
      <c r="C5720" t="s">
        <v>4179</v>
      </c>
      <c r="D5720" t="s">
        <v>17</v>
      </c>
      <c r="E5720" t="s">
        <v>18</v>
      </c>
      <c r="F5720" t="s">
        <v>19</v>
      </c>
      <c r="G5720" t="s">
        <v>20</v>
      </c>
      <c r="J5720" t="s">
        <v>17</v>
      </c>
      <c r="K5720" t="str">
        <f>"340107254"</f>
        <v>340107254</v>
      </c>
      <c r="L5720" t="str">
        <f>"340107254"</f>
        <v>340107254</v>
      </c>
      <c r="M5720" t="s">
        <v>75</v>
      </c>
      <c r="N5720" s="1">
        <v>42872.849305555559</v>
      </c>
      <c r="O5720" t="s">
        <v>19</v>
      </c>
    </row>
    <row r="5721" spans="1:15" x14ac:dyDescent="0.25">
      <c r="A5721" t="s">
        <v>4180</v>
      </c>
      <c r="B5721" t="s">
        <v>15</v>
      </c>
      <c r="C5721" t="s">
        <v>4179</v>
      </c>
      <c r="D5721" t="s">
        <v>17</v>
      </c>
      <c r="E5721" t="s">
        <v>18</v>
      </c>
      <c r="F5721" t="s">
        <v>19</v>
      </c>
      <c r="G5721" t="s">
        <v>20</v>
      </c>
      <c r="J5721" t="s">
        <v>17</v>
      </c>
      <c r="K5721" t="str">
        <f>"17010715"</f>
        <v>17010715</v>
      </c>
      <c r="L5721" t="str">
        <f>"17010715"</f>
        <v>17010715</v>
      </c>
      <c r="M5721" t="s">
        <v>75</v>
      </c>
      <c r="N5721" s="1">
        <v>42872.839583333334</v>
      </c>
      <c r="O5721" t="s">
        <v>19</v>
      </c>
    </row>
    <row r="5722" spans="1:15" x14ac:dyDescent="0.25">
      <c r="A5722" t="s">
        <v>4181</v>
      </c>
      <c r="B5722" t="s">
        <v>15</v>
      </c>
      <c r="C5722" t="s">
        <v>4179</v>
      </c>
      <c r="D5722" t="s">
        <v>17</v>
      </c>
      <c r="E5722" t="s">
        <v>18</v>
      </c>
      <c r="F5722" t="s">
        <v>19</v>
      </c>
      <c r="G5722" t="s">
        <v>20</v>
      </c>
      <c r="J5722" t="s">
        <v>17</v>
      </c>
      <c r="K5722" t="str">
        <f>"34010717"</f>
        <v>34010717</v>
      </c>
      <c r="L5722" t="str">
        <f>"34010717"</f>
        <v>34010717</v>
      </c>
      <c r="M5722" t="s">
        <v>75</v>
      </c>
      <c r="N5722" s="1">
        <v>42872.839583333334</v>
      </c>
      <c r="O5722" t="s">
        <v>19</v>
      </c>
    </row>
    <row r="5723" spans="1:15" x14ac:dyDescent="0.25">
      <c r="A5723" t="s">
        <v>4182</v>
      </c>
      <c r="B5723" t="s">
        <v>15</v>
      </c>
      <c r="C5723" t="s">
        <v>4179</v>
      </c>
      <c r="D5723" t="s">
        <v>17</v>
      </c>
      <c r="E5723" t="s">
        <v>18</v>
      </c>
      <c r="F5723" t="s">
        <v>19</v>
      </c>
      <c r="G5723" t="s">
        <v>20</v>
      </c>
      <c r="J5723" t="s">
        <v>17</v>
      </c>
      <c r="K5723" t="str">
        <f>"17010716"</f>
        <v>17010716</v>
      </c>
      <c r="L5723" t="str">
        <f>"17010716"</f>
        <v>17010716</v>
      </c>
      <c r="M5723" t="s">
        <v>75</v>
      </c>
      <c r="N5723" s="1">
        <v>42872.839583333334</v>
      </c>
      <c r="O5723" t="s">
        <v>19</v>
      </c>
    </row>
    <row r="5724" spans="1:15" x14ac:dyDescent="0.25">
      <c r="A5724" t="s">
        <v>4182</v>
      </c>
      <c r="B5724" t="s">
        <v>15</v>
      </c>
      <c r="C5724" t="s">
        <v>4179</v>
      </c>
      <c r="D5724" t="s">
        <v>17</v>
      </c>
      <c r="E5724" t="s">
        <v>18</v>
      </c>
      <c r="F5724" t="s">
        <v>19</v>
      </c>
      <c r="G5724" t="s">
        <v>20</v>
      </c>
      <c r="J5724" t="s">
        <v>17</v>
      </c>
      <c r="K5724" t="str">
        <f>"34010716"</f>
        <v>34010716</v>
      </c>
      <c r="L5724" t="str">
        <f>"34010716"</f>
        <v>34010716</v>
      </c>
      <c r="M5724" t="s">
        <v>75</v>
      </c>
      <c r="N5724" s="1">
        <v>42872.839583333334</v>
      </c>
      <c r="O5724" t="s">
        <v>19</v>
      </c>
    </row>
    <row r="5725" spans="1:15" x14ac:dyDescent="0.25">
      <c r="A5725" t="s">
        <v>4183</v>
      </c>
      <c r="B5725" t="s">
        <v>15</v>
      </c>
      <c r="C5725" t="s">
        <v>4179</v>
      </c>
      <c r="D5725" t="s">
        <v>17</v>
      </c>
      <c r="E5725" t="s">
        <v>18</v>
      </c>
      <c r="F5725" t="s">
        <v>19</v>
      </c>
      <c r="G5725" t="s">
        <v>20</v>
      </c>
      <c r="J5725" t="s">
        <v>17</v>
      </c>
      <c r="K5725" t="str">
        <f>"340107253"</f>
        <v>340107253</v>
      </c>
      <c r="L5725" t="str">
        <f>"340107253"</f>
        <v>340107253</v>
      </c>
      <c r="M5725" t="s">
        <v>75</v>
      </c>
      <c r="N5725" s="1">
        <v>42872.849305555559</v>
      </c>
      <c r="O5725" t="s">
        <v>19</v>
      </c>
    </row>
    <row r="5726" spans="1:15" x14ac:dyDescent="0.25">
      <c r="A5726" t="s">
        <v>4184</v>
      </c>
      <c r="B5726" t="s">
        <v>15</v>
      </c>
      <c r="C5726" t="s">
        <v>4179</v>
      </c>
      <c r="D5726" t="s">
        <v>17</v>
      </c>
      <c r="E5726" t="s">
        <v>18</v>
      </c>
      <c r="F5726" t="s">
        <v>19</v>
      </c>
      <c r="G5726" t="s">
        <v>20</v>
      </c>
      <c r="J5726" t="s">
        <v>17</v>
      </c>
      <c r="K5726" t="str">
        <f>"34011447"</f>
        <v>34011447</v>
      </c>
      <c r="L5726" t="str">
        <f>"34011447"</f>
        <v>34011447</v>
      </c>
      <c r="M5726" t="s">
        <v>75</v>
      </c>
      <c r="N5726" s="1">
        <v>42872.839583333334</v>
      </c>
      <c r="O5726" t="s">
        <v>19</v>
      </c>
    </row>
    <row r="5727" spans="1:15" x14ac:dyDescent="0.25">
      <c r="A5727" t="s">
        <v>4185</v>
      </c>
      <c r="B5727" t="s">
        <v>15</v>
      </c>
      <c r="C5727" t="s">
        <v>4179</v>
      </c>
      <c r="D5727" t="s">
        <v>17</v>
      </c>
      <c r="E5727" t="s">
        <v>18</v>
      </c>
      <c r="F5727" t="s">
        <v>19</v>
      </c>
      <c r="G5727" t="s">
        <v>20</v>
      </c>
      <c r="J5727" t="s">
        <v>17</v>
      </c>
      <c r="K5727" t="str">
        <f>"340114178"</f>
        <v>340114178</v>
      </c>
      <c r="L5727" t="str">
        <f>"340114178"</f>
        <v>340114178</v>
      </c>
      <c r="M5727" t="s">
        <v>75</v>
      </c>
      <c r="N5727" s="1">
        <v>42872.849305555559</v>
      </c>
      <c r="O5727" t="s">
        <v>19</v>
      </c>
    </row>
    <row r="5728" spans="1:15" x14ac:dyDescent="0.25">
      <c r="A5728" t="s">
        <v>4186</v>
      </c>
      <c r="B5728" t="s">
        <v>15</v>
      </c>
      <c r="C5728" t="s">
        <v>4179</v>
      </c>
      <c r="D5728" t="s">
        <v>17</v>
      </c>
      <c r="E5728" t="s">
        <v>18</v>
      </c>
      <c r="F5728" t="s">
        <v>19</v>
      </c>
      <c r="G5728" t="s">
        <v>20</v>
      </c>
      <c r="J5728" t="s">
        <v>17</v>
      </c>
      <c r="K5728" t="str">
        <f>"170114191"</f>
        <v>170114191</v>
      </c>
      <c r="L5728" t="str">
        <f>"170114191"</f>
        <v>170114191</v>
      </c>
      <c r="M5728" t="s">
        <v>75</v>
      </c>
      <c r="N5728" s="1">
        <v>42872.847222222219</v>
      </c>
      <c r="O5728" t="s">
        <v>19</v>
      </c>
    </row>
    <row r="5729" spans="1:15" x14ac:dyDescent="0.25">
      <c r="A5729" t="s">
        <v>4187</v>
      </c>
      <c r="B5729" t="s">
        <v>15</v>
      </c>
      <c r="C5729" t="s">
        <v>4179</v>
      </c>
      <c r="D5729" t="s">
        <v>17</v>
      </c>
      <c r="E5729" t="s">
        <v>18</v>
      </c>
      <c r="F5729" t="s">
        <v>19</v>
      </c>
      <c r="G5729" t="s">
        <v>20</v>
      </c>
      <c r="J5729" t="s">
        <v>17</v>
      </c>
      <c r="K5729" t="str">
        <f>"340214125"</f>
        <v>340214125</v>
      </c>
      <c r="L5729" t="str">
        <f>"340214125"</f>
        <v>340214125</v>
      </c>
      <c r="M5729" t="s">
        <v>75</v>
      </c>
      <c r="N5729" s="1">
        <v>42894.852777777778</v>
      </c>
      <c r="O5729" t="s">
        <v>19</v>
      </c>
    </row>
    <row r="5730" spans="1:15" x14ac:dyDescent="0.25">
      <c r="A5730" t="s">
        <v>4188</v>
      </c>
      <c r="B5730" t="s">
        <v>15</v>
      </c>
      <c r="C5730" t="s">
        <v>16</v>
      </c>
      <c r="D5730" t="s">
        <v>17</v>
      </c>
      <c r="E5730" t="s">
        <v>18</v>
      </c>
      <c r="F5730" t="s">
        <v>19</v>
      </c>
      <c r="G5730" t="s">
        <v>20</v>
      </c>
      <c r="J5730" t="s">
        <v>17</v>
      </c>
      <c r="K5730" t="str">
        <f>"860105247"</f>
        <v>860105247</v>
      </c>
      <c r="L5730" t="str">
        <f>"860105247"</f>
        <v>860105247</v>
      </c>
      <c r="M5730" t="s">
        <v>75</v>
      </c>
      <c r="N5730" s="1">
        <v>43025.963888888888</v>
      </c>
      <c r="O5730" t="s">
        <v>19</v>
      </c>
    </row>
    <row r="5731" spans="1:15" x14ac:dyDescent="0.25">
      <c r="A5731" t="s">
        <v>4189</v>
      </c>
      <c r="B5731" t="s">
        <v>15</v>
      </c>
      <c r="C5731" t="s">
        <v>16</v>
      </c>
      <c r="D5731" t="s">
        <v>17</v>
      </c>
      <c r="E5731" t="s">
        <v>18</v>
      </c>
      <c r="F5731" t="s">
        <v>19</v>
      </c>
      <c r="G5731" t="s">
        <v>20</v>
      </c>
      <c r="J5731" t="s">
        <v>17</v>
      </c>
      <c r="K5731" t="str">
        <f>"860105299"</f>
        <v>860105299</v>
      </c>
      <c r="L5731" t="str">
        <f>"860105299"</f>
        <v>860105299</v>
      </c>
      <c r="M5731" t="s">
        <v>75</v>
      </c>
      <c r="N5731" s="1">
        <v>43025.963194444441</v>
      </c>
      <c r="O5731" t="s">
        <v>19</v>
      </c>
    </row>
    <row r="5732" spans="1:15" x14ac:dyDescent="0.25">
      <c r="A5732" t="s">
        <v>4189</v>
      </c>
      <c r="B5732" t="s">
        <v>15</v>
      </c>
      <c r="C5732" t="s">
        <v>4190</v>
      </c>
      <c r="D5732" t="s">
        <v>17</v>
      </c>
      <c r="E5732" t="s">
        <v>18</v>
      </c>
      <c r="F5732" t="s">
        <v>19</v>
      </c>
      <c r="G5732" t="s">
        <v>20</v>
      </c>
      <c r="J5732" t="s">
        <v>17</v>
      </c>
      <c r="K5732" t="str">
        <f>"764405299"</f>
        <v>764405299</v>
      </c>
      <c r="L5732" t="str">
        <f>"764405299"</f>
        <v>764405299</v>
      </c>
      <c r="M5732" t="s">
        <v>75</v>
      </c>
      <c r="N5732" s="1">
        <v>43196.67291666667</v>
      </c>
      <c r="O5732" t="s">
        <v>19</v>
      </c>
    </row>
    <row r="5733" spans="1:15" x14ac:dyDescent="0.25">
      <c r="A5733" t="s">
        <v>4191</v>
      </c>
      <c r="B5733" t="s">
        <v>15</v>
      </c>
      <c r="C5733" t="s">
        <v>4190</v>
      </c>
      <c r="D5733" t="s">
        <v>17</v>
      </c>
      <c r="E5733" t="s">
        <v>18</v>
      </c>
      <c r="F5733" t="s">
        <v>19</v>
      </c>
      <c r="G5733" t="s">
        <v>20</v>
      </c>
      <c r="J5733" t="s">
        <v>17</v>
      </c>
      <c r="K5733" t="str">
        <f>"764405280"</f>
        <v>764405280</v>
      </c>
      <c r="L5733" t="str">
        <f>"764405280"</f>
        <v>764405280</v>
      </c>
      <c r="M5733" t="s">
        <v>75</v>
      </c>
      <c r="N5733" s="1">
        <v>43196.671527777777</v>
      </c>
      <c r="O5733" t="s">
        <v>19</v>
      </c>
    </row>
    <row r="5734" spans="1:15" x14ac:dyDescent="0.25">
      <c r="A5734" t="s">
        <v>4192</v>
      </c>
      <c r="B5734" t="s">
        <v>15</v>
      </c>
      <c r="C5734" t="s">
        <v>4190</v>
      </c>
      <c r="D5734" t="s">
        <v>17</v>
      </c>
      <c r="E5734" t="s">
        <v>18</v>
      </c>
      <c r="F5734" t="s">
        <v>19</v>
      </c>
      <c r="G5734" t="s">
        <v>20</v>
      </c>
      <c r="J5734" t="s">
        <v>17</v>
      </c>
      <c r="K5734" t="str">
        <f>"764405160"</f>
        <v>764405160</v>
      </c>
      <c r="L5734" t="str">
        <f>"764405160"</f>
        <v>764405160</v>
      </c>
      <c r="M5734" t="s">
        <v>75</v>
      </c>
      <c r="N5734" s="1">
        <v>43196.672222222223</v>
      </c>
      <c r="O5734" t="s">
        <v>19</v>
      </c>
    </row>
    <row r="5735" spans="1:15" x14ac:dyDescent="0.25">
      <c r="A5735" t="s">
        <v>4193</v>
      </c>
      <c r="B5735" t="s">
        <v>15</v>
      </c>
      <c r="C5735" t="s">
        <v>4190</v>
      </c>
      <c r="D5735" t="s">
        <v>17</v>
      </c>
      <c r="E5735" t="s">
        <v>18</v>
      </c>
      <c r="F5735" t="s">
        <v>19</v>
      </c>
      <c r="G5735" t="s">
        <v>20</v>
      </c>
      <c r="J5735" t="s">
        <v>17</v>
      </c>
      <c r="K5735" t="str">
        <f>"34020715"</f>
        <v>34020715</v>
      </c>
      <c r="L5735" t="str">
        <f>"34020715"</f>
        <v>34020715</v>
      </c>
      <c r="M5735" t="s">
        <v>75</v>
      </c>
      <c r="N5735" s="1">
        <v>42894.847916666666</v>
      </c>
      <c r="O5735" t="s">
        <v>19</v>
      </c>
    </row>
    <row r="5736" spans="1:15" x14ac:dyDescent="0.25">
      <c r="A5736" t="s">
        <v>4193</v>
      </c>
      <c r="B5736" t="s">
        <v>15</v>
      </c>
      <c r="C5736" t="s">
        <v>16</v>
      </c>
      <c r="D5736" t="s">
        <v>17</v>
      </c>
      <c r="E5736" t="s">
        <v>18</v>
      </c>
      <c r="F5736" t="s">
        <v>19</v>
      </c>
      <c r="G5736" t="s">
        <v>20</v>
      </c>
      <c r="J5736" t="s">
        <v>17</v>
      </c>
      <c r="K5736" t="str">
        <f>"76010715"</f>
        <v>76010715</v>
      </c>
      <c r="L5736" t="str">
        <f>"76010715"</f>
        <v>76010715</v>
      </c>
      <c r="M5736" t="s">
        <v>75</v>
      </c>
      <c r="N5736" s="1">
        <v>42959.750694444447</v>
      </c>
      <c r="O5736" t="s">
        <v>19</v>
      </c>
    </row>
    <row r="5737" spans="1:15" x14ac:dyDescent="0.25">
      <c r="A5737" t="s">
        <v>4193</v>
      </c>
      <c r="B5737" t="s">
        <v>15</v>
      </c>
      <c r="C5737" t="s">
        <v>4190</v>
      </c>
      <c r="D5737" t="s">
        <v>17</v>
      </c>
      <c r="E5737" t="s">
        <v>18</v>
      </c>
      <c r="F5737" t="s">
        <v>19</v>
      </c>
      <c r="G5737" t="s">
        <v>20</v>
      </c>
      <c r="J5737" t="s">
        <v>17</v>
      </c>
      <c r="K5737" t="str">
        <f>"86010715"</f>
        <v>86010715</v>
      </c>
      <c r="L5737" t="str">
        <f>"86010715"</f>
        <v>86010715</v>
      </c>
      <c r="M5737" t="s">
        <v>75</v>
      </c>
      <c r="N5737" s="1">
        <v>43025.959722222222</v>
      </c>
      <c r="O5737" t="s">
        <v>19</v>
      </c>
    </row>
    <row r="5738" spans="1:15" x14ac:dyDescent="0.25">
      <c r="A5738" t="s">
        <v>4193</v>
      </c>
      <c r="B5738" t="s">
        <v>15</v>
      </c>
      <c r="C5738" t="s">
        <v>4190</v>
      </c>
      <c r="D5738" t="s">
        <v>17</v>
      </c>
      <c r="E5738" t="s">
        <v>18</v>
      </c>
      <c r="F5738" t="s">
        <v>19</v>
      </c>
      <c r="G5738" t="s">
        <v>20</v>
      </c>
      <c r="J5738" t="s">
        <v>17</v>
      </c>
      <c r="K5738" t="str">
        <f>"41010715"</f>
        <v>41010715</v>
      </c>
      <c r="L5738" t="str">
        <f>"41010715"</f>
        <v>41010715</v>
      </c>
      <c r="M5738" t="s">
        <v>75</v>
      </c>
      <c r="N5738" s="1">
        <v>43113.8125</v>
      </c>
      <c r="O5738" t="s">
        <v>19</v>
      </c>
    </row>
    <row r="5739" spans="1:15" x14ac:dyDescent="0.25">
      <c r="A5739" t="s">
        <v>4194</v>
      </c>
      <c r="B5739" t="s">
        <v>15</v>
      </c>
      <c r="C5739" t="s">
        <v>4190</v>
      </c>
      <c r="D5739" t="s">
        <v>17</v>
      </c>
      <c r="E5739" t="s">
        <v>18</v>
      </c>
      <c r="F5739" t="s">
        <v>19</v>
      </c>
      <c r="G5739" t="s">
        <v>20</v>
      </c>
      <c r="J5739" t="s">
        <v>17</v>
      </c>
      <c r="K5739" t="str">
        <f>"34020716"</f>
        <v>34020716</v>
      </c>
      <c r="L5739" t="str">
        <f>"34020716"</f>
        <v>34020716</v>
      </c>
      <c r="M5739" t="s">
        <v>75</v>
      </c>
      <c r="N5739" s="1">
        <v>42894.851388888892</v>
      </c>
      <c r="O5739" t="s">
        <v>19</v>
      </c>
    </row>
    <row r="5740" spans="1:15" x14ac:dyDescent="0.25">
      <c r="A5740" t="s">
        <v>4194</v>
      </c>
      <c r="B5740" t="s">
        <v>15</v>
      </c>
      <c r="C5740" t="s">
        <v>4190</v>
      </c>
      <c r="D5740" t="s">
        <v>17</v>
      </c>
      <c r="E5740" t="s">
        <v>18</v>
      </c>
      <c r="F5740" t="s">
        <v>19</v>
      </c>
      <c r="G5740" t="s">
        <v>20</v>
      </c>
      <c r="J5740" t="s">
        <v>17</v>
      </c>
      <c r="K5740" t="str">
        <f>"68830716"</f>
        <v>68830716</v>
      </c>
      <c r="L5740" t="str">
        <f>"68830716"</f>
        <v>68830716</v>
      </c>
      <c r="M5740" t="s">
        <v>75</v>
      </c>
      <c r="N5740" s="1">
        <v>42957.890972222223</v>
      </c>
      <c r="O5740" t="s">
        <v>19</v>
      </c>
    </row>
    <row r="5741" spans="1:15" x14ac:dyDescent="0.25">
      <c r="A5741" t="s">
        <v>4194</v>
      </c>
      <c r="B5741" t="s">
        <v>15</v>
      </c>
      <c r="C5741" t="s">
        <v>4190</v>
      </c>
      <c r="D5741" t="s">
        <v>17</v>
      </c>
      <c r="E5741" t="s">
        <v>18</v>
      </c>
      <c r="F5741" t="s">
        <v>19</v>
      </c>
      <c r="G5741" t="s">
        <v>20</v>
      </c>
      <c r="J5741" t="s">
        <v>17</v>
      </c>
      <c r="K5741" t="str">
        <f>"68830717"</f>
        <v>68830717</v>
      </c>
      <c r="L5741" t="str">
        <f>"68830717"</f>
        <v>68830717</v>
      </c>
      <c r="M5741" t="s">
        <v>75</v>
      </c>
      <c r="N5741" s="1">
        <v>42957.894444444442</v>
      </c>
      <c r="O5741" t="s">
        <v>19</v>
      </c>
    </row>
    <row r="5742" spans="1:15" x14ac:dyDescent="0.25">
      <c r="A5742" t="s">
        <v>4194</v>
      </c>
      <c r="B5742" t="s">
        <v>15</v>
      </c>
      <c r="C5742" t="s">
        <v>4190</v>
      </c>
      <c r="D5742" t="s">
        <v>17</v>
      </c>
      <c r="E5742" t="s">
        <v>18</v>
      </c>
      <c r="F5742" t="s">
        <v>19</v>
      </c>
      <c r="G5742" t="s">
        <v>20</v>
      </c>
      <c r="J5742" t="s">
        <v>17</v>
      </c>
      <c r="K5742" t="str">
        <f>"34030716"</f>
        <v>34030716</v>
      </c>
      <c r="L5742" t="str">
        <f>"34030716"</f>
        <v>34030716</v>
      </c>
      <c r="M5742" t="s">
        <v>75</v>
      </c>
      <c r="N5742" s="1">
        <v>43006.843055555553</v>
      </c>
      <c r="O5742" t="s">
        <v>19</v>
      </c>
    </row>
    <row r="5743" spans="1:15" x14ac:dyDescent="0.25">
      <c r="A5743" t="s">
        <v>4194</v>
      </c>
      <c r="B5743" t="s">
        <v>15</v>
      </c>
      <c r="C5743" t="s">
        <v>4190</v>
      </c>
      <c r="D5743" t="s">
        <v>17</v>
      </c>
      <c r="E5743" t="s">
        <v>18</v>
      </c>
      <c r="F5743" t="s">
        <v>19</v>
      </c>
      <c r="G5743" t="s">
        <v>20</v>
      </c>
      <c r="J5743" t="s">
        <v>17</v>
      </c>
      <c r="K5743" t="str">
        <f>"41010716"</f>
        <v>41010716</v>
      </c>
      <c r="L5743" t="str">
        <f>"41010716"</f>
        <v>41010716</v>
      </c>
      <c r="M5743" t="s">
        <v>75</v>
      </c>
      <c r="N5743" s="1">
        <v>43113.811111111114</v>
      </c>
      <c r="O5743" t="s">
        <v>19</v>
      </c>
    </row>
    <row r="5744" spans="1:15" x14ac:dyDescent="0.25">
      <c r="A5744" t="s">
        <v>4195</v>
      </c>
      <c r="B5744" t="s">
        <v>15</v>
      </c>
      <c r="C5744" t="s">
        <v>4190</v>
      </c>
      <c r="D5744" t="s">
        <v>17</v>
      </c>
      <c r="E5744" t="s">
        <v>18</v>
      </c>
      <c r="F5744" t="s">
        <v>19</v>
      </c>
      <c r="G5744" t="s">
        <v>20</v>
      </c>
      <c r="J5744" t="s">
        <v>17</v>
      </c>
      <c r="K5744" t="str">
        <f>"34030717"</f>
        <v>34030717</v>
      </c>
      <c r="L5744" t="str">
        <f>"34030717"</f>
        <v>34030717</v>
      </c>
      <c r="M5744" t="s">
        <v>75</v>
      </c>
      <c r="N5744" s="1">
        <v>43006.84375</v>
      </c>
      <c r="O5744" t="s">
        <v>19</v>
      </c>
    </row>
    <row r="5745" spans="1:15" x14ac:dyDescent="0.25">
      <c r="A5745" t="s">
        <v>4196</v>
      </c>
      <c r="B5745" t="s">
        <v>15</v>
      </c>
      <c r="C5745" t="s">
        <v>4190</v>
      </c>
      <c r="D5745" t="s">
        <v>17</v>
      </c>
      <c r="E5745" t="s">
        <v>18</v>
      </c>
      <c r="F5745" t="s">
        <v>19</v>
      </c>
      <c r="G5745" t="s">
        <v>20</v>
      </c>
      <c r="J5745" t="s">
        <v>17</v>
      </c>
      <c r="K5745" t="str">
        <f>"340207253"</f>
        <v>340207253</v>
      </c>
      <c r="L5745" t="str">
        <f>"340207253"</f>
        <v>340207253</v>
      </c>
      <c r="M5745" t="s">
        <v>75</v>
      </c>
      <c r="N5745" s="1">
        <v>42894.852083333331</v>
      </c>
      <c r="O5745" t="s">
        <v>19</v>
      </c>
    </row>
    <row r="5746" spans="1:15" x14ac:dyDescent="0.25">
      <c r="A5746" t="s">
        <v>4197</v>
      </c>
      <c r="B5746" t="s">
        <v>15</v>
      </c>
      <c r="C5746" t="s">
        <v>4179</v>
      </c>
      <c r="D5746" t="s">
        <v>17</v>
      </c>
      <c r="E5746" t="s">
        <v>18</v>
      </c>
      <c r="F5746" t="s">
        <v>19</v>
      </c>
      <c r="G5746" t="s">
        <v>20</v>
      </c>
      <c r="J5746" t="s">
        <v>17</v>
      </c>
      <c r="K5746" t="str">
        <f>"410107253"</f>
        <v>410107253</v>
      </c>
      <c r="L5746" t="str">
        <f>"410107253"</f>
        <v>410107253</v>
      </c>
      <c r="M5746" t="s">
        <v>75</v>
      </c>
      <c r="N5746" s="1">
        <v>43179.696527777778</v>
      </c>
      <c r="O5746" t="s">
        <v>19</v>
      </c>
    </row>
    <row r="5747" spans="1:15" x14ac:dyDescent="0.25">
      <c r="A5747" t="s">
        <v>4198</v>
      </c>
      <c r="B5747" t="s">
        <v>15</v>
      </c>
      <c r="C5747" t="s">
        <v>16</v>
      </c>
      <c r="D5747" t="s">
        <v>17</v>
      </c>
      <c r="E5747" t="s">
        <v>18</v>
      </c>
      <c r="F5747" t="s">
        <v>19</v>
      </c>
      <c r="G5747" t="s">
        <v>20</v>
      </c>
      <c r="J5747" t="s">
        <v>17</v>
      </c>
      <c r="K5747" t="str">
        <f>"860109293"</f>
        <v>860109293</v>
      </c>
      <c r="L5747" t="str">
        <f>"860109293"</f>
        <v>860109293</v>
      </c>
      <c r="M5747" t="s">
        <v>75</v>
      </c>
      <c r="N5747" s="1">
        <v>43025.961111111108</v>
      </c>
      <c r="O5747" t="s">
        <v>19</v>
      </c>
    </row>
    <row r="5748" spans="1:15" x14ac:dyDescent="0.25">
      <c r="A5748" t="s">
        <v>4199</v>
      </c>
      <c r="B5748" t="s">
        <v>15</v>
      </c>
      <c r="C5748" t="s">
        <v>4190</v>
      </c>
      <c r="D5748" t="s">
        <v>17</v>
      </c>
      <c r="E5748" t="s">
        <v>18</v>
      </c>
      <c r="F5748" t="s">
        <v>19</v>
      </c>
      <c r="G5748" t="s">
        <v>20</v>
      </c>
      <c r="J5748" t="s">
        <v>17</v>
      </c>
      <c r="K5748" t="str">
        <f>"860109215"</f>
        <v>860109215</v>
      </c>
      <c r="L5748" t="str">
        <f>"860109215"</f>
        <v>860109215</v>
      </c>
      <c r="M5748" t="s">
        <v>75</v>
      </c>
      <c r="N5748" s="1">
        <v>43025.960416666669</v>
      </c>
      <c r="O5748" t="s">
        <v>19</v>
      </c>
    </row>
    <row r="5749" spans="1:15" x14ac:dyDescent="0.25">
      <c r="A5749" t="s">
        <v>4200</v>
      </c>
      <c r="B5749" t="s">
        <v>15</v>
      </c>
      <c r="C5749" t="s">
        <v>4190</v>
      </c>
      <c r="D5749" t="s">
        <v>17</v>
      </c>
      <c r="E5749" t="s">
        <v>18</v>
      </c>
      <c r="F5749" t="s">
        <v>19</v>
      </c>
      <c r="G5749" t="s">
        <v>20</v>
      </c>
      <c r="J5749" t="s">
        <v>17</v>
      </c>
      <c r="K5749" t="str">
        <f>"764409292"</f>
        <v>764409292</v>
      </c>
      <c r="L5749" t="str">
        <f>"764409292"</f>
        <v>764409292</v>
      </c>
      <c r="M5749" t="s">
        <v>75</v>
      </c>
      <c r="N5749" s="1">
        <v>43196.671527777777</v>
      </c>
      <c r="O5749" t="s">
        <v>19</v>
      </c>
    </row>
    <row r="5750" spans="1:15" x14ac:dyDescent="0.25">
      <c r="A5750" t="s">
        <v>4201</v>
      </c>
      <c r="B5750" t="s">
        <v>15</v>
      </c>
      <c r="C5750" t="s">
        <v>4190</v>
      </c>
      <c r="D5750" t="s">
        <v>17</v>
      </c>
      <c r="E5750" t="s">
        <v>18</v>
      </c>
      <c r="F5750" t="s">
        <v>19</v>
      </c>
      <c r="G5750" t="s">
        <v>20</v>
      </c>
      <c r="J5750" t="s">
        <v>17</v>
      </c>
      <c r="K5750" t="str">
        <f>"860110304"</f>
        <v>860110304</v>
      </c>
      <c r="L5750" t="str">
        <f>"860110304"</f>
        <v>860110304</v>
      </c>
      <c r="M5750" t="s">
        <v>75</v>
      </c>
      <c r="N5750" s="1">
        <v>43025.961805555555</v>
      </c>
      <c r="O5750" t="s">
        <v>19</v>
      </c>
    </row>
    <row r="5751" spans="1:15" x14ac:dyDescent="0.25">
      <c r="A5751" t="s">
        <v>4202</v>
      </c>
      <c r="B5751" t="s">
        <v>15</v>
      </c>
      <c r="C5751" t="s">
        <v>16</v>
      </c>
      <c r="D5751" t="s">
        <v>17</v>
      </c>
      <c r="E5751" t="s">
        <v>18</v>
      </c>
      <c r="F5751" t="s">
        <v>19</v>
      </c>
      <c r="G5751" t="s">
        <v>20</v>
      </c>
      <c r="J5751" t="s">
        <v>17</v>
      </c>
      <c r="K5751" t="str">
        <f>"860110306"</f>
        <v>860110306</v>
      </c>
      <c r="L5751" t="str">
        <f>"860110306"</f>
        <v>860110306</v>
      </c>
      <c r="M5751" t="s">
        <v>75</v>
      </c>
      <c r="N5751" s="1">
        <v>43025.962500000001</v>
      </c>
      <c r="O5751" t="s">
        <v>19</v>
      </c>
    </row>
    <row r="5752" spans="1:15" x14ac:dyDescent="0.25">
      <c r="A5752" t="s">
        <v>4203</v>
      </c>
      <c r="B5752" t="s">
        <v>15</v>
      </c>
      <c r="C5752" t="s">
        <v>16</v>
      </c>
      <c r="D5752" t="s">
        <v>17</v>
      </c>
      <c r="E5752" t="s">
        <v>18</v>
      </c>
      <c r="F5752" t="s">
        <v>19</v>
      </c>
      <c r="G5752" t="s">
        <v>20</v>
      </c>
      <c r="J5752" t="s">
        <v>17</v>
      </c>
      <c r="K5752" t="str">
        <f>"760110295"</f>
        <v>760110295</v>
      </c>
      <c r="L5752" t="str">
        <f>"760110295"</f>
        <v>760110295</v>
      </c>
      <c r="M5752" t="s">
        <v>75</v>
      </c>
      <c r="N5752" s="1">
        <v>42959.756249999999</v>
      </c>
      <c r="O5752" t="s">
        <v>19</v>
      </c>
    </row>
    <row r="5753" spans="1:15" x14ac:dyDescent="0.25">
      <c r="A5753" t="s">
        <v>4204</v>
      </c>
      <c r="B5753" t="s">
        <v>15</v>
      </c>
      <c r="C5753" t="s">
        <v>16</v>
      </c>
      <c r="D5753" t="s">
        <v>17</v>
      </c>
      <c r="E5753" t="s">
        <v>18</v>
      </c>
      <c r="F5753" t="s">
        <v>19</v>
      </c>
      <c r="G5753" t="s">
        <v>20</v>
      </c>
      <c r="J5753" t="s">
        <v>17</v>
      </c>
      <c r="K5753" t="str">
        <f>"760110296"</f>
        <v>760110296</v>
      </c>
      <c r="L5753" t="str">
        <f>"760110296"</f>
        <v>760110296</v>
      </c>
      <c r="M5753" t="s">
        <v>75</v>
      </c>
      <c r="N5753" s="1">
        <v>42959.754861111112</v>
      </c>
      <c r="O5753" t="s">
        <v>19</v>
      </c>
    </row>
    <row r="5754" spans="1:15" x14ac:dyDescent="0.25">
      <c r="A5754" t="s">
        <v>4205</v>
      </c>
      <c r="B5754" t="s">
        <v>15</v>
      </c>
      <c r="C5754" t="s">
        <v>4190</v>
      </c>
      <c r="D5754" t="s">
        <v>17</v>
      </c>
      <c r="E5754" t="s">
        <v>18</v>
      </c>
      <c r="F5754" t="s">
        <v>19</v>
      </c>
      <c r="G5754" t="s">
        <v>20</v>
      </c>
      <c r="J5754" t="s">
        <v>17</v>
      </c>
      <c r="K5754" t="str">
        <f>"764410299"</f>
        <v>764410299</v>
      </c>
      <c r="L5754" t="str">
        <f>"764410299"</f>
        <v>764410299</v>
      </c>
      <c r="M5754" t="s">
        <v>75</v>
      </c>
      <c r="N5754" s="1">
        <v>43196.674305555556</v>
      </c>
      <c r="O5754" t="s">
        <v>19</v>
      </c>
    </row>
    <row r="5755" spans="1:15" x14ac:dyDescent="0.25">
      <c r="A5755" t="s">
        <v>4206</v>
      </c>
      <c r="B5755" t="s">
        <v>15</v>
      </c>
      <c r="C5755" t="s">
        <v>4190</v>
      </c>
      <c r="D5755" t="s">
        <v>17</v>
      </c>
      <c r="E5755" t="s">
        <v>18</v>
      </c>
      <c r="F5755" t="s">
        <v>19</v>
      </c>
      <c r="G5755" t="s">
        <v>20</v>
      </c>
      <c r="J5755" t="s">
        <v>17</v>
      </c>
      <c r="K5755" t="str">
        <f>"764414168"</f>
        <v>764414168</v>
      </c>
      <c r="L5755" t="str">
        <f>"764414168"</f>
        <v>764414168</v>
      </c>
      <c r="M5755" t="s">
        <v>75</v>
      </c>
      <c r="N5755" s="1">
        <v>43222.618055555555</v>
      </c>
      <c r="O5755" t="s">
        <v>19</v>
      </c>
    </row>
    <row r="5756" spans="1:15" x14ac:dyDescent="0.25">
      <c r="A5756" t="s">
        <v>4207</v>
      </c>
      <c r="B5756" t="s">
        <v>15</v>
      </c>
      <c r="C5756" t="s">
        <v>4190</v>
      </c>
      <c r="D5756" t="s">
        <v>17</v>
      </c>
      <c r="E5756" t="s">
        <v>18</v>
      </c>
      <c r="F5756" t="s">
        <v>19</v>
      </c>
      <c r="G5756" t="s">
        <v>20</v>
      </c>
      <c r="J5756" t="s">
        <v>17</v>
      </c>
      <c r="K5756" t="str">
        <f>"764414139"</f>
        <v>764414139</v>
      </c>
      <c r="L5756" t="str">
        <f>"764414139"</f>
        <v>764414139</v>
      </c>
      <c r="M5756" t="s">
        <v>75</v>
      </c>
      <c r="N5756" s="1">
        <v>43222.617361111108</v>
      </c>
      <c r="O5756" t="s">
        <v>19</v>
      </c>
    </row>
    <row r="5757" spans="1:15" x14ac:dyDescent="0.25">
      <c r="A5757" t="s">
        <v>4208</v>
      </c>
      <c r="B5757" t="s">
        <v>15</v>
      </c>
      <c r="C5757" t="s">
        <v>16</v>
      </c>
      <c r="D5757" t="s">
        <v>17</v>
      </c>
      <c r="E5757" t="s">
        <v>18</v>
      </c>
      <c r="F5757" t="s">
        <v>19</v>
      </c>
      <c r="G5757" t="s">
        <v>20</v>
      </c>
      <c r="J5757" t="s">
        <v>17</v>
      </c>
      <c r="K5757" t="str">
        <f>"860114283"</f>
        <v>860114283</v>
      </c>
      <c r="L5757" t="str">
        <f>"860114283"</f>
        <v>860114283</v>
      </c>
      <c r="M5757" t="s">
        <v>75</v>
      </c>
      <c r="N5757" s="1">
        <v>43025.959027777775</v>
      </c>
      <c r="O5757" t="s">
        <v>19</v>
      </c>
    </row>
    <row r="5758" spans="1:15" x14ac:dyDescent="0.25">
      <c r="A5758" t="s">
        <v>4208</v>
      </c>
      <c r="B5758" t="s">
        <v>15</v>
      </c>
      <c r="C5758" t="s">
        <v>4190</v>
      </c>
      <c r="D5758" t="s">
        <v>17</v>
      </c>
      <c r="E5758" t="s">
        <v>18</v>
      </c>
      <c r="F5758" t="s">
        <v>19</v>
      </c>
      <c r="G5758" t="s">
        <v>20</v>
      </c>
      <c r="J5758" t="s">
        <v>17</v>
      </c>
      <c r="K5758" t="str">
        <f>"764414283"</f>
        <v>764414283</v>
      </c>
      <c r="L5758" t="str">
        <f>"764414283"</f>
        <v>764414283</v>
      </c>
      <c r="M5758" t="s">
        <v>75</v>
      </c>
      <c r="N5758" s="1">
        <v>43196.673611111109</v>
      </c>
      <c r="O5758" t="s">
        <v>19</v>
      </c>
    </row>
    <row r="5759" spans="1:15" x14ac:dyDescent="0.25">
      <c r="A5759" t="s">
        <v>4209</v>
      </c>
      <c r="B5759" t="s">
        <v>15</v>
      </c>
      <c r="C5759" t="s">
        <v>4190</v>
      </c>
      <c r="D5759" t="s">
        <v>17</v>
      </c>
      <c r="E5759" t="s">
        <v>18</v>
      </c>
      <c r="F5759" t="s">
        <v>19</v>
      </c>
      <c r="G5759" t="s">
        <v>20</v>
      </c>
      <c r="J5759" t="s">
        <v>17</v>
      </c>
      <c r="K5759" t="str">
        <f>"860114270"</f>
        <v>860114270</v>
      </c>
      <c r="L5759" t="str">
        <f>"860114270"</f>
        <v>860114270</v>
      </c>
      <c r="M5759" t="s">
        <v>75</v>
      </c>
      <c r="N5759" s="1">
        <v>43025.957638888889</v>
      </c>
      <c r="O5759" t="s">
        <v>19</v>
      </c>
    </row>
    <row r="5760" spans="1:15" x14ac:dyDescent="0.25">
      <c r="A5760" t="s">
        <v>4209</v>
      </c>
      <c r="B5760" t="s">
        <v>15</v>
      </c>
      <c r="C5760" t="s">
        <v>4190</v>
      </c>
      <c r="D5760" t="s">
        <v>17</v>
      </c>
      <c r="E5760" t="s">
        <v>18</v>
      </c>
      <c r="F5760" t="s">
        <v>19</v>
      </c>
      <c r="G5760" t="s">
        <v>20</v>
      </c>
      <c r="J5760" t="s">
        <v>17</v>
      </c>
      <c r="K5760" t="str">
        <f>"764414270"</f>
        <v>764414270</v>
      </c>
      <c r="L5760" t="str">
        <f>"764414270"</f>
        <v>764414270</v>
      </c>
      <c r="M5760" t="s">
        <v>75</v>
      </c>
      <c r="N5760" s="1">
        <v>43196.670138888891</v>
      </c>
      <c r="O5760" t="s">
        <v>19</v>
      </c>
    </row>
    <row r="5761" spans="1:15" x14ac:dyDescent="0.25">
      <c r="A5761" t="s">
        <v>4210</v>
      </c>
      <c r="B5761" t="s">
        <v>15</v>
      </c>
      <c r="C5761" t="s">
        <v>4190</v>
      </c>
      <c r="D5761" t="s">
        <v>17</v>
      </c>
      <c r="E5761" t="s">
        <v>18</v>
      </c>
      <c r="F5761" t="s">
        <v>19</v>
      </c>
      <c r="G5761" t="s">
        <v>20</v>
      </c>
      <c r="J5761" t="s">
        <v>17</v>
      </c>
      <c r="K5761" t="str">
        <f>"764414128"</f>
        <v>764414128</v>
      </c>
      <c r="L5761" t="str">
        <f>"764414128"</f>
        <v>764414128</v>
      </c>
      <c r="M5761" t="s">
        <v>75</v>
      </c>
      <c r="N5761" s="1">
        <v>43196.67083333333</v>
      </c>
      <c r="O5761" t="s">
        <v>19</v>
      </c>
    </row>
    <row r="5762" spans="1:15" x14ac:dyDescent="0.25">
      <c r="A5762" t="s">
        <v>4211</v>
      </c>
      <c r="B5762" t="s">
        <v>15</v>
      </c>
      <c r="C5762" t="s">
        <v>4190</v>
      </c>
      <c r="D5762" t="s">
        <v>17</v>
      </c>
      <c r="E5762" t="s">
        <v>18</v>
      </c>
      <c r="F5762" t="s">
        <v>19</v>
      </c>
      <c r="G5762" t="s">
        <v>20</v>
      </c>
      <c r="J5762" t="s">
        <v>17</v>
      </c>
      <c r="K5762" t="str">
        <f>"860114126"</f>
        <v>860114126</v>
      </c>
      <c r="L5762" t="str">
        <f>"860114126"</f>
        <v>860114126</v>
      </c>
      <c r="M5762" t="s">
        <v>75</v>
      </c>
      <c r="N5762" s="1">
        <v>43025.956250000003</v>
      </c>
      <c r="O5762" t="s">
        <v>19</v>
      </c>
    </row>
    <row r="5763" spans="1:15" x14ac:dyDescent="0.25">
      <c r="A5763" t="s">
        <v>4212</v>
      </c>
      <c r="B5763" t="s">
        <v>15</v>
      </c>
      <c r="C5763" t="s">
        <v>16</v>
      </c>
      <c r="D5763" t="s">
        <v>17</v>
      </c>
      <c r="E5763" t="s">
        <v>18</v>
      </c>
      <c r="F5763" t="s">
        <v>19</v>
      </c>
      <c r="G5763" t="s">
        <v>20</v>
      </c>
      <c r="J5763" t="s">
        <v>17</v>
      </c>
      <c r="K5763" t="str">
        <f>"860114266"</f>
        <v>860114266</v>
      </c>
      <c r="L5763" t="str">
        <f>"860114266"</f>
        <v>860114266</v>
      </c>
      <c r="M5763" t="s">
        <v>75</v>
      </c>
      <c r="N5763" s="1">
        <v>43025.958333333336</v>
      </c>
      <c r="O5763" t="s">
        <v>19</v>
      </c>
    </row>
    <row r="5764" spans="1:15" x14ac:dyDescent="0.25">
      <c r="A5764" t="s">
        <v>4212</v>
      </c>
      <c r="B5764" t="s">
        <v>15</v>
      </c>
      <c r="C5764" t="s">
        <v>4190</v>
      </c>
      <c r="D5764" t="s">
        <v>17</v>
      </c>
      <c r="E5764" t="s">
        <v>18</v>
      </c>
      <c r="F5764" t="s">
        <v>19</v>
      </c>
      <c r="G5764" t="s">
        <v>20</v>
      </c>
      <c r="J5764" t="s">
        <v>17</v>
      </c>
      <c r="K5764" t="str">
        <f>"410114266"</f>
        <v>410114266</v>
      </c>
      <c r="L5764" t="str">
        <f>"410114266"</f>
        <v>410114266</v>
      </c>
      <c r="M5764" t="s">
        <v>75</v>
      </c>
      <c r="N5764" s="1">
        <v>43113.813194444447</v>
      </c>
      <c r="O5764" t="s">
        <v>19</v>
      </c>
    </row>
    <row r="5765" spans="1:15" x14ac:dyDescent="0.25">
      <c r="A5765" t="s">
        <v>4213</v>
      </c>
      <c r="B5765" t="s">
        <v>15</v>
      </c>
      <c r="C5765" t="s">
        <v>4190</v>
      </c>
      <c r="D5765" t="s">
        <v>17</v>
      </c>
      <c r="E5765" t="s">
        <v>18</v>
      </c>
      <c r="F5765" t="s">
        <v>19</v>
      </c>
      <c r="G5765" t="s">
        <v>20</v>
      </c>
      <c r="J5765" t="s">
        <v>17</v>
      </c>
      <c r="K5765" t="str">
        <f>"860114129"</f>
        <v>860114129</v>
      </c>
      <c r="L5765" t="str">
        <f>"860114129"</f>
        <v>860114129</v>
      </c>
      <c r="M5765" t="s">
        <v>75</v>
      </c>
      <c r="N5765" s="1">
        <v>43025.956944444442</v>
      </c>
      <c r="O5765" t="s">
        <v>19</v>
      </c>
    </row>
    <row r="5766" spans="1:15" x14ac:dyDescent="0.25">
      <c r="A5766" t="s">
        <v>4213</v>
      </c>
      <c r="B5766" t="s">
        <v>15</v>
      </c>
      <c r="C5766" t="s">
        <v>4190</v>
      </c>
      <c r="D5766" t="s">
        <v>17</v>
      </c>
      <c r="E5766" t="s">
        <v>18</v>
      </c>
      <c r="F5766" t="s">
        <v>19</v>
      </c>
      <c r="G5766" t="s">
        <v>20</v>
      </c>
      <c r="J5766" t="s">
        <v>17</v>
      </c>
      <c r="K5766" t="str">
        <f>"764414129"</f>
        <v>764414129</v>
      </c>
      <c r="L5766" t="str">
        <f>"764414129"</f>
        <v>764414129</v>
      </c>
      <c r="M5766" t="s">
        <v>75</v>
      </c>
      <c r="N5766" s="1">
        <v>43196.674305555556</v>
      </c>
      <c r="O5766" t="s">
        <v>19</v>
      </c>
    </row>
    <row r="5767" spans="1:15" x14ac:dyDescent="0.25">
      <c r="A5767" t="s">
        <v>4214</v>
      </c>
      <c r="B5767" t="s">
        <v>15</v>
      </c>
      <c r="C5767" t="s">
        <v>4190</v>
      </c>
      <c r="D5767" t="s">
        <v>17</v>
      </c>
      <c r="E5767" t="s">
        <v>18</v>
      </c>
      <c r="F5767" t="s">
        <v>19</v>
      </c>
      <c r="G5767" t="s">
        <v>20</v>
      </c>
      <c r="J5767" t="s">
        <v>17</v>
      </c>
      <c r="K5767" t="str">
        <f>"860114127"</f>
        <v>860114127</v>
      </c>
      <c r="L5767" t="str">
        <f>"860114127"</f>
        <v>860114127</v>
      </c>
      <c r="M5767" t="s">
        <v>75</v>
      </c>
      <c r="N5767" s="1">
        <v>43025.954861111109</v>
      </c>
      <c r="O5767" t="s">
        <v>19</v>
      </c>
    </row>
    <row r="5768" spans="1:15" x14ac:dyDescent="0.25">
      <c r="A5768" t="s">
        <v>4215</v>
      </c>
      <c r="B5768" t="s">
        <v>15</v>
      </c>
      <c r="C5768" t="s">
        <v>16</v>
      </c>
      <c r="D5768" t="s">
        <v>17</v>
      </c>
      <c r="E5768" t="s">
        <v>18</v>
      </c>
      <c r="F5768" t="s">
        <v>19</v>
      </c>
      <c r="G5768" t="s">
        <v>20</v>
      </c>
      <c r="J5768" t="s">
        <v>17</v>
      </c>
      <c r="K5768" t="str">
        <f>"760114200"</f>
        <v>760114200</v>
      </c>
      <c r="L5768" t="str">
        <f>"760114200"</f>
        <v>760114200</v>
      </c>
      <c r="M5768" t="s">
        <v>75</v>
      </c>
      <c r="N5768" s="1">
        <v>42959.75277777778</v>
      </c>
      <c r="O5768" t="s">
        <v>19</v>
      </c>
    </row>
    <row r="5769" spans="1:15" x14ac:dyDescent="0.25">
      <c r="A5769" t="s">
        <v>4215</v>
      </c>
      <c r="B5769" t="s">
        <v>15</v>
      </c>
      <c r="C5769" t="s">
        <v>4190</v>
      </c>
      <c r="D5769" t="s">
        <v>17</v>
      </c>
      <c r="E5769" t="s">
        <v>18</v>
      </c>
      <c r="F5769" t="s">
        <v>19</v>
      </c>
      <c r="G5769" t="s">
        <v>20</v>
      </c>
      <c r="J5769" t="s">
        <v>17</v>
      </c>
      <c r="K5769" t="str">
        <f>"410114200"</f>
        <v>410114200</v>
      </c>
      <c r="L5769" t="str">
        <f>"410114200"</f>
        <v>410114200</v>
      </c>
      <c r="M5769" t="s">
        <v>75</v>
      </c>
      <c r="N5769" s="1">
        <v>43096.854861111111</v>
      </c>
      <c r="O5769" t="s">
        <v>19</v>
      </c>
    </row>
    <row r="5770" spans="1:15" x14ac:dyDescent="0.25">
      <c r="A5770" t="s">
        <v>4216</v>
      </c>
      <c r="B5770" t="s">
        <v>15</v>
      </c>
      <c r="C5770" t="s">
        <v>4190</v>
      </c>
      <c r="D5770" t="s">
        <v>17</v>
      </c>
      <c r="E5770" t="s">
        <v>18</v>
      </c>
      <c r="F5770" t="s">
        <v>19</v>
      </c>
      <c r="G5770" t="s">
        <v>20</v>
      </c>
      <c r="J5770" t="s">
        <v>17</v>
      </c>
      <c r="K5770" t="str">
        <f>"860114201"</f>
        <v>860114201</v>
      </c>
      <c r="L5770" t="str">
        <f>"860114201"</f>
        <v>860114201</v>
      </c>
      <c r="M5770" t="s">
        <v>75</v>
      </c>
      <c r="N5770" s="1">
        <v>43025.95416666667</v>
      </c>
      <c r="O5770" t="s">
        <v>19</v>
      </c>
    </row>
    <row r="5771" spans="1:15" x14ac:dyDescent="0.25">
      <c r="A5771" t="s">
        <v>4217</v>
      </c>
      <c r="B5771" t="s">
        <v>15</v>
      </c>
      <c r="C5771" t="s">
        <v>27</v>
      </c>
      <c r="D5771" t="s">
        <v>17</v>
      </c>
      <c r="E5771" t="s">
        <v>18</v>
      </c>
      <c r="F5771" t="s">
        <v>19</v>
      </c>
      <c r="G5771" t="s">
        <v>20</v>
      </c>
      <c r="J5771" t="s">
        <v>17</v>
      </c>
      <c r="K5771" t="str">
        <f>"17570715"</f>
        <v>17570715</v>
      </c>
      <c r="L5771" t="str">
        <f>"17570715"</f>
        <v>17570715</v>
      </c>
      <c r="M5771" t="s">
        <v>75</v>
      </c>
      <c r="N5771" s="1">
        <v>42872.839583333334</v>
      </c>
      <c r="O5771" t="s">
        <v>19</v>
      </c>
    </row>
    <row r="5772" spans="1:15" x14ac:dyDescent="0.25">
      <c r="A5772" t="s">
        <v>4218</v>
      </c>
      <c r="B5772" t="s">
        <v>15</v>
      </c>
      <c r="C5772" t="s">
        <v>27</v>
      </c>
      <c r="D5772" t="s">
        <v>17</v>
      </c>
      <c r="E5772" t="s">
        <v>18</v>
      </c>
      <c r="F5772" t="s">
        <v>19</v>
      </c>
      <c r="G5772" t="s">
        <v>20</v>
      </c>
      <c r="J5772" t="s">
        <v>17</v>
      </c>
      <c r="K5772" t="str">
        <f>"17570716"</f>
        <v>17570716</v>
      </c>
      <c r="L5772" t="str">
        <f>"17570716"</f>
        <v>17570716</v>
      </c>
      <c r="M5772" t="s">
        <v>75</v>
      </c>
      <c r="N5772" s="1">
        <v>42872.839583333334</v>
      </c>
      <c r="O5772" t="s">
        <v>19</v>
      </c>
    </row>
    <row r="5773" spans="1:15" x14ac:dyDescent="0.25">
      <c r="A5773" t="s">
        <v>4219</v>
      </c>
      <c r="B5773" t="s">
        <v>15</v>
      </c>
      <c r="C5773" t="s">
        <v>4179</v>
      </c>
      <c r="D5773" t="s">
        <v>17</v>
      </c>
      <c r="E5773" t="s">
        <v>18</v>
      </c>
      <c r="F5773" t="s">
        <v>19</v>
      </c>
      <c r="G5773" t="s">
        <v>20</v>
      </c>
      <c r="J5773" t="s">
        <v>17</v>
      </c>
      <c r="K5773" t="str">
        <f>"17571064"</f>
        <v>17571064</v>
      </c>
      <c r="L5773" t="str">
        <f>"17571064"</f>
        <v>17571064</v>
      </c>
      <c r="M5773" t="s">
        <v>75</v>
      </c>
      <c r="N5773" s="1">
        <v>42872.839583333334</v>
      </c>
      <c r="O5773" t="s">
        <v>19</v>
      </c>
    </row>
    <row r="5774" spans="1:15" x14ac:dyDescent="0.25">
      <c r="A5774" t="s">
        <v>4219</v>
      </c>
      <c r="B5774" t="s">
        <v>15</v>
      </c>
      <c r="C5774" t="s">
        <v>27</v>
      </c>
      <c r="D5774" t="s">
        <v>17</v>
      </c>
      <c r="E5774" t="s">
        <v>18</v>
      </c>
      <c r="F5774" t="s">
        <v>19</v>
      </c>
      <c r="G5774" t="s">
        <v>20</v>
      </c>
      <c r="J5774" t="s">
        <v>17</v>
      </c>
      <c r="K5774" t="str">
        <f>"175710164"</f>
        <v>175710164</v>
      </c>
      <c r="L5774" t="str">
        <f>"175710164"</f>
        <v>175710164</v>
      </c>
      <c r="M5774" t="s">
        <v>75</v>
      </c>
      <c r="N5774" s="1">
        <v>42872.849305555559</v>
      </c>
      <c r="O5774" t="s">
        <v>19</v>
      </c>
    </row>
    <row r="5775" spans="1:15" x14ac:dyDescent="0.25">
      <c r="A5775" t="s">
        <v>4220</v>
      </c>
      <c r="B5775" t="s">
        <v>15</v>
      </c>
      <c r="C5775" t="s">
        <v>16</v>
      </c>
      <c r="D5775" t="s">
        <v>17</v>
      </c>
      <c r="E5775" t="s">
        <v>18</v>
      </c>
      <c r="F5775" t="s">
        <v>19</v>
      </c>
      <c r="G5775" t="s">
        <v>20</v>
      </c>
      <c r="J5775" t="s">
        <v>17</v>
      </c>
      <c r="K5775" t="str">
        <f>"345314270"</f>
        <v>345314270</v>
      </c>
      <c r="L5775" t="str">
        <f>"345314270"</f>
        <v>345314270</v>
      </c>
      <c r="M5775" t="s">
        <v>75</v>
      </c>
      <c r="N5775" s="1">
        <v>42872.849305555559</v>
      </c>
      <c r="O5775" t="s">
        <v>19</v>
      </c>
    </row>
    <row r="5776" spans="1:15" x14ac:dyDescent="0.25">
      <c r="A5776" t="s">
        <v>4220</v>
      </c>
      <c r="B5776" t="s">
        <v>15</v>
      </c>
      <c r="C5776" t="s">
        <v>16</v>
      </c>
      <c r="D5776" t="s">
        <v>17</v>
      </c>
      <c r="E5776" t="s">
        <v>18</v>
      </c>
      <c r="F5776" t="s">
        <v>19</v>
      </c>
      <c r="G5776" t="s">
        <v>20</v>
      </c>
      <c r="J5776" t="s">
        <v>17</v>
      </c>
      <c r="K5776" t="str">
        <f>"345714270"</f>
        <v>345714270</v>
      </c>
      <c r="L5776" t="str">
        <f>"345714270"</f>
        <v>345714270</v>
      </c>
      <c r="M5776" t="s">
        <v>75</v>
      </c>
      <c r="N5776" s="1">
        <v>42872.849305555559</v>
      </c>
      <c r="O5776" t="s">
        <v>19</v>
      </c>
    </row>
    <row r="5777" spans="1:15" x14ac:dyDescent="0.25">
      <c r="A5777" t="s">
        <v>4221</v>
      </c>
      <c r="B5777" t="s">
        <v>15</v>
      </c>
      <c r="C5777" t="s">
        <v>27</v>
      </c>
      <c r="D5777" t="s">
        <v>17</v>
      </c>
      <c r="E5777" t="s">
        <v>18</v>
      </c>
      <c r="F5777" t="s">
        <v>19</v>
      </c>
      <c r="G5777" t="s">
        <v>20</v>
      </c>
      <c r="J5777" t="s">
        <v>17</v>
      </c>
      <c r="K5777" t="str">
        <f>"175714178"</f>
        <v>175714178</v>
      </c>
      <c r="L5777" t="str">
        <f>"175714178"</f>
        <v>175714178</v>
      </c>
      <c r="M5777" t="s">
        <v>75</v>
      </c>
      <c r="N5777" s="1">
        <v>42872.849305555559</v>
      </c>
      <c r="O5777" t="s">
        <v>19</v>
      </c>
    </row>
    <row r="5778" spans="1:15" x14ac:dyDescent="0.25">
      <c r="A5778" t="s">
        <v>4222</v>
      </c>
      <c r="B5778" t="s">
        <v>15</v>
      </c>
      <c r="C5778" t="s">
        <v>16</v>
      </c>
      <c r="D5778" t="s">
        <v>17</v>
      </c>
      <c r="E5778" t="s">
        <v>18</v>
      </c>
      <c r="F5778" t="s">
        <v>19</v>
      </c>
      <c r="G5778" t="s">
        <v>20</v>
      </c>
      <c r="J5778" t="s">
        <v>17</v>
      </c>
      <c r="K5778" t="str">
        <f>"347907255"</f>
        <v>347907255</v>
      </c>
      <c r="L5778" t="str">
        <f>"347907255"</f>
        <v>347907255</v>
      </c>
      <c r="M5778" t="s">
        <v>75</v>
      </c>
      <c r="N5778" s="1">
        <v>43116.702777777777</v>
      </c>
      <c r="O5778" t="s">
        <v>19</v>
      </c>
    </row>
    <row r="5779" spans="1:15" x14ac:dyDescent="0.25">
      <c r="A5779" t="s">
        <v>4223</v>
      </c>
      <c r="B5779" t="s">
        <v>15</v>
      </c>
      <c r="C5779" t="s">
        <v>27</v>
      </c>
      <c r="D5779" t="s">
        <v>17</v>
      </c>
      <c r="E5779" t="s">
        <v>18</v>
      </c>
      <c r="F5779" t="s">
        <v>19</v>
      </c>
      <c r="G5779" t="s">
        <v>20</v>
      </c>
      <c r="J5779" t="s">
        <v>17</v>
      </c>
      <c r="K5779" t="str">
        <f>"764832215"</f>
        <v>764832215</v>
      </c>
      <c r="L5779" t="str">
        <f>"764832215"</f>
        <v>764832215</v>
      </c>
      <c r="M5779" t="s">
        <v>75</v>
      </c>
      <c r="N5779" s="1">
        <v>42872.849305555559</v>
      </c>
      <c r="O5779" t="s">
        <v>19</v>
      </c>
    </row>
    <row r="5780" spans="1:15" x14ac:dyDescent="0.25">
      <c r="A5780" t="s">
        <v>4224</v>
      </c>
      <c r="B5780" t="s">
        <v>15</v>
      </c>
      <c r="C5780" t="s">
        <v>27</v>
      </c>
      <c r="D5780" t="s">
        <v>17</v>
      </c>
      <c r="E5780" t="s">
        <v>18</v>
      </c>
      <c r="F5780" t="s">
        <v>19</v>
      </c>
      <c r="G5780" t="s">
        <v>20</v>
      </c>
      <c r="J5780" t="s">
        <v>17</v>
      </c>
      <c r="K5780" t="str">
        <f>"110308235"</f>
        <v>110308235</v>
      </c>
      <c r="L5780" t="str">
        <f>"110308235"</f>
        <v>110308235</v>
      </c>
      <c r="M5780" t="s">
        <v>75</v>
      </c>
      <c r="N5780" s="1">
        <v>42872.847222222219</v>
      </c>
      <c r="O5780" t="s">
        <v>19</v>
      </c>
    </row>
    <row r="5781" spans="1:15" x14ac:dyDescent="0.25">
      <c r="A5781" t="s">
        <v>4225</v>
      </c>
      <c r="B5781" t="s">
        <v>15</v>
      </c>
      <c r="C5781" t="s">
        <v>27</v>
      </c>
      <c r="D5781" t="s">
        <v>17</v>
      </c>
      <c r="E5781" t="s">
        <v>18</v>
      </c>
      <c r="F5781" t="s">
        <v>19</v>
      </c>
      <c r="G5781" t="s">
        <v>20</v>
      </c>
      <c r="J5781" t="s">
        <v>17</v>
      </c>
      <c r="K5781" t="str">
        <f>"76461425"</f>
        <v>76461425</v>
      </c>
      <c r="L5781" t="str">
        <f>"76461425"</f>
        <v>76461425</v>
      </c>
      <c r="M5781" t="s">
        <v>75</v>
      </c>
      <c r="N5781" s="1">
        <v>42872.847222222219</v>
      </c>
      <c r="O5781" t="s">
        <v>19</v>
      </c>
    </row>
    <row r="5782" spans="1:15" x14ac:dyDescent="0.25">
      <c r="A5782" t="s">
        <v>4226</v>
      </c>
      <c r="B5782" t="s">
        <v>15</v>
      </c>
      <c r="C5782" t="s">
        <v>27</v>
      </c>
      <c r="D5782" t="s">
        <v>17</v>
      </c>
      <c r="E5782" t="s">
        <v>18</v>
      </c>
      <c r="F5782" t="s">
        <v>19</v>
      </c>
      <c r="G5782" t="s">
        <v>20</v>
      </c>
      <c r="J5782" t="s">
        <v>17</v>
      </c>
      <c r="K5782" t="str">
        <f>"34770716"</f>
        <v>34770716</v>
      </c>
      <c r="L5782" t="str">
        <f>"34770716"</f>
        <v>34770716</v>
      </c>
      <c r="M5782" t="s">
        <v>75</v>
      </c>
      <c r="N5782" s="1">
        <v>42872.839583333334</v>
      </c>
      <c r="O5782" t="s">
        <v>19</v>
      </c>
    </row>
    <row r="5783" spans="1:15" x14ac:dyDescent="0.25">
      <c r="A5783" t="s">
        <v>4227</v>
      </c>
      <c r="B5783" t="s">
        <v>15</v>
      </c>
      <c r="C5783" t="s">
        <v>16</v>
      </c>
      <c r="D5783" t="s">
        <v>17</v>
      </c>
      <c r="E5783" t="s">
        <v>18</v>
      </c>
      <c r="F5783" t="s">
        <v>19</v>
      </c>
      <c r="G5783" t="s">
        <v>20</v>
      </c>
      <c r="J5783" t="s">
        <v>17</v>
      </c>
      <c r="K5783" t="str">
        <f>"34771447"</f>
        <v>34771447</v>
      </c>
      <c r="L5783" t="str">
        <f>"34771447"</f>
        <v>34771447</v>
      </c>
      <c r="M5783" t="s">
        <v>75</v>
      </c>
      <c r="N5783" s="1">
        <v>42872.839583333334</v>
      </c>
      <c r="O5783" t="s">
        <v>19</v>
      </c>
    </row>
    <row r="5784" spans="1:15" x14ac:dyDescent="0.25">
      <c r="A5784" t="s">
        <v>4228</v>
      </c>
      <c r="B5784" t="s">
        <v>15</v>
      </c>
      <c r="C5784" t="s">
        <v>27</v>
      </c>
      <c r="D5784" t="s">
        <v>17</v>
      </c>
      <c r="E5784" t="s">
        <v>18</v>
      </c>
      <c r="F5784" t="s">
        <v>19</v>
      </c>
      <c r="G5784" t="s">
        <v>20</v>
      </c>
      <c r="J5784" t="s">
        <v>17</v>
      </c>
      <c r="K5784" t="str">
        <f>"76481518"</f>
        <v>76481518</v>
      </c>
      <c r="L5784" t="str">
        <f>"76481518"</f>
        <v>76481518</v>
      </c>
      <c r="M5784" t="s">
        <v>75</v>
      </c>
      <c r="N5784" s="1">
        <v>42872.847222222219</v>
      </c>
      <c r="O5784" t="s">
        <v>19</v>
      </c>
    </row>
    <row r="5785" spans="1:15" x14ac:dyDescent="0.25">
      <c r="A5785" t="s">
        <v>4229</v>
      </c>
      <c r="B5785" t="s">
        <v>15</v>
      </c>
      <c r="C5785" t="s">
        <v>1607</v>
      </c>
      <c r="D5785" t="s">
        <v>17</v>
      </c>
      <c r="E5785" t="s">
        <v>18</v>
      </c>
      <c r="F5785" t="s">
        <v>19</v>
      </c>
      <c r="G5785" t="s">
        <v>20</v>
      </c>
      <c r="J5785" t="s">
        <v>17</v>
      </c>
      <c r="K5785" t="str">
        <f>"764801240"</f>
        <v>764801240</v>
      </c>
      <c r="L5785" t="str">
        <f>"764801240"</f>
        <v>764801240</v>
      </c>
      <c r="M5785" t="s">
        <v>75</v>
      </c>
      <c r="N5785" s="1">
        <v>42872.849305555559</v>
      </c>
      <c r="O5785" t="s">
        <v>19</v>
      </c>
    </row>
    <row r="5786" spans="1:15" x14ac:dyDescent="0.25">
      <c r="A5786" t="s">
        <v>4230</v>
      </c>
      <c r="B5786" t="s">
        <v>15</v>
      </c>
      <c r="C5786" t="s">
        <v>27</v>
      </c>
      <c r="D5786" t="s">
        <v>17</v>
      </c>
      <c r="E5786" t="s">
        <v>18</v>
      </c>
      <c r="F5786" t="s">
        <v>19</v>
      </c>
      <c r="G5786" t="s">
        <v>20</v>
      </c>
      <c r="J5786" t="s">
        <v>17</v>
      </c>
      <c r="K5786" t="str">
        <f>"764809213"</f>
        <v>764809213</v>
      </c>
      <c r="L5786" t="str">
        <f>"764809213"</f>
        <v>764809213</v>
      </c>
      <c r="M5786" t="s">
        <v>75</v>
      </c>
      <c r="N5786" s="1">
        <v>42872.849305555559</v>
      </c>
      <c r="O5786" t="s">
        <v>19</v>
      </c>
    </row>
    <row r="5787" spans="1:15" x14ac:dyDescent="0.25">
      <c r="A5787" t="s">
        <v>4231</v>
      </c>
      <c r="B5787" t="s">
        <v>15</v>
      </c>
      <c r="C5787" t="s">
        <v>27</v>
      </c>
      <c r="D5787" t="s">
        <v>17</v>
      </c>
      <c r="E5787" t="s">
        <v>18</v>
      </c>
      <c r="F5787" t="s">
        <v>19</v>
      </c>
      <c r="G5787" t="s">
        <v>20</v>
      </c>
      <c r="J5787" t="s">
        <v>17</v>
      </c>
      <c r="K5787" t="str">
        <f>"34470716"</f>
        <v>34470716</v>
      </c>
      <c r="L5787" t="str">
        <f>"34470716"</f>
        <v>34470716</v>
      </c>
      <c r="M5787" t="s">
        <v>75</v>
      </c>
      <c r="N5787" s="1">
        <v>42872.839583333334</v>
      </c>
      <c r="O5787" t="s">
        <v>19</v>
      </c>
    </row>
    <row r="5788" spans="1:15" x14ac:dyDescent="0.25">
      <c r="A5788" t="s">
        <v>4232</v>
      </c>
      <c r="B5788" t="s">
        <v>15</v>
      </c>
      <c r="C5788" t="s">
        <v>16</v>
      </c>
      <c r="D5788" t="s">
        <v>17</v>
      </c>
      <c r="E5788" t="s">
        <v>18</v>
      </c>
      <c r="F5788" t="s">
        <v>19</v>
      </c>
      <c r="G5788" t="s">
        <v>20</v>
      </c>
      <c r="J5788" t="s">
        <v>17</v>
      </c>
      <c r="K5788" t="str">
        <f>"760410304"</f>
        <v>760410304</v>
      </c>
      <c r="L5788" t="str">
        <f>"760410304"</f>
        <v>760410304</v>
      </c>
      <c r="M5788" t="s">
        <v>75</v>
      </c>
      <c r="N5788" s="1">
        <v>43113.633333333331</v>
      </c>
      <c r="O5788" t="s">
        <v>19</v>
      </c>
    </row>
    <row r="5789" spans="1:15" x14ac:dyDescent="0.25">
      <c r="A5789" t="s">
        <v>4233</v>
      </c>
      <c r="B5789" t="s">
        <v>15</v>
      </c>
      <c r="C5789" t="s">
        <v>27</v>
      </c>
      <c r="D5789" t="s">
        <v>17</v>
      </c>
      <c r="E5789" t="s">
        <v>18</v>
      </c>
      <c r="F5789" t="s">
        <v>19</v>
      </c>
      <c r="G5789" t="s">
        <v>20</v>
      </c>
      <c r="J5789" t="s">
        <v>17</v>
      </c>
      <c r="K5789" t="str">
        <f>"68481430"</f>
        <v>68481430</v>
      </c>
      <c r="L5789" t="str">
        <f>"68481430"</f>
        <v>68481430</v>
      </c>
      <c r="M5789" t="s">
        <v>75</v>
      </c>
      <c r="N5789" s="1">
        <v>43007.668749999997</v>
      </c>
      <c r="O5789" t="s">
        <v>19</v>
      </c>
    </row>
    <row r="5790" spans="1:15" x14ac:dyDescent="0.25">
      <c r="A5790" t="s">
        <v>4234</v>
      </c>
      <c r="B5790" t="s">
        <v>15</v>
      </c>
      <c r="C5790" t="s">
        <v>27</v>
      </c>
      <c r="D5790" t="s">
        <v>17</v>
      </c>
      <c r="E5790" t="s">
        <v>18</v>
      </c>
      <c r="F5790" t="s">
        <v>19</v>
      </c>
      <c r="G5790" t="s">
        <v>20</v>
      </c>
      <c r="J5790" t="s">
        <v>17</v>
      </c>
      <c r="K5790" t="str">
        <f>"684814125"</f>
        <v>684814125</v>
      </c>
      <c r="L5790" t="str">
        <f>"684814125"</f>
        <v>684814125</v>
      </c>
      <c r="M5790" t="s">
        <v>75</v>
      </c>
      <c r="N5790" s="1">
        <v>43007.669444444444</v>
      </c>
      <c r="O5790" t="s">
        <v>19</v>
      </c>
    </row>
    <row r="5791" spans="1:15" x14ac:dyDescent="0.25">
      <c r="A5791" t="s">
        <v>4235</v>
      </c>
      <c r="B5791" t="s">
        <v>15</v>
      </c>
      <c r="C5791" t="s">
        <v>16</v>
      </c>
      <c r="D5791" t="s">
        <v>17</v>
      </c>
      <c r="E5791" t="s">
        <v>18</v>
      </c>
      <c r="F5791" t="s">
        <v>19</v>
      </c>
      <c r="G5791" t="s">
        <v>20</v>
      </c>
      <c r="J5791" t="s">
        <v>17</v>
      </c>
      <c r="K5791" t="str">
        <f>"767905280"</f>
        <v>767905280</v>
      </c>
      <c r="L5791" t="str">
        <f>"767905280"</f>
        <v>767905280</v>
      </c>
      <c r="M5791" t="s">
        <v>75</v>
      </c>
      <c r="N5791" s="1">
        <v>42933.736805555556</v>
      </c>
      <c r="O5791" t="s">
        <v>19</v>
      </c>
    </row>
    <row r="5792" spans="1:15" x14ac:dyDescent="0.25">
      <c r="A5792" t="s">
        <v>4236</v>
      </c>
      <c r="B5792" t="s">
        <v>15</v>
      </c>
      <c r="C5792" t="s">
        <v>32</v>
      </c>
      <c r="D5792" t="s">
        <v>17</v>
      </c>
      <c r="E5792" t="s">
        <v>18</v>
      </c>
      <c r="F5792" t="s">
        <v>19</v>
      </c>
      <c r="G5792" t="s">
        <v>20</v>
      </c>
      <c r="J5792" t="s">
        <v>17</v>
      </c>
      <c r="K5792" t="str">
        <f>"767907253"</f>
        <v>767907253</v>
      </c>
      <c r="L5792" t="str">
        <f>"767907253"</f>
        <v>767907253</v>
      </c>
      <c r="M5792" t="s">
        <v>75</v>
      </c>
      <c r="N5792" s="1">
        <v>42986.725694444445</v>
      </c>
      <c r="O5792" t="s">
        <v>19</v>
      </c>
    </row>
    <row r="5793" spans="1:15" x14ac:dyDescent="0.25">
      <c r="A5793" t="s">
        <v>4237</v>
      </c>
      <c r="B5793" t="s">
        <v>15</v>
      </c>
      <c r="C5793" t="s">
        <v>32</v>
      </c>
      <c r="D5793" t="s">
        <v>17</v>
      </c>
      <c r="E5793" t="s">
        <v>18</v>
      </c>
      <c r="F5793" t="s">
        <v>19</v>
      </c>
      <c r="G5793" t="s">
        <v>20</v>
      </c>
      <c r="J5793" t="s">
        <v>17</v>
      </c>
      <c r="K5793" t="str">
        <f>"767909221"</f>
        <v>767909221</v>
      </c>
      <c r="L5793" t="str">
        <f>"767909221"</f>
        <v>767909221</v>
      </c>
      <c r="M5793" t="s">
        <v>75</v>
      </c>
      <c r="N5793" s="1">
        <v>42933.73541666667</v>
      </c>
      <c r="O5793" t="s">
        <v>19</v>
      </c>
    </row>
    <row r="5794" spans="1:15" x14ac:dyDescent="0.25">
      <c r="A5794" t="s">
        <v>4238</v>
      </c>
      <c r="B5794" t="s">
        <v>15</v>
      </c>
      <c r="C5794" t="s">
        <v>32</v>
      </c>
      <c r="D5794" t="s">
        <v>17</v>
      </c>
      <c r="E5794" t="s">
        <v>18</v>
      </c>
      <c r="F5794" t="s">
        <v>19</v>
      </c>
      <c r="G5794" t="s">
        <v>20</v>
      </c>
      <c r="J5794" t="s">
        <v>17</v>
      </c>
      <c r="K5794" t="str">
        <f>"76791430"</f>
        <v>76791430</v>
      </c>
      <c r="L5794" t="str">
        <f>"76791430"</f>
        <v>76791430</v>
      </c>
      <c r="M5794" t="s">
        <v>75</v>
      </c>
      <c r="N5794" s="1">
        <v>42933.732638888891</v>
      </c>
      <c r="O5794" t="s">
        <v>19</v>
      </c>
    </row>
    <row r="5795" spans="1:15" x14ac:dyDescent="0.25">
      <c r="A5795" t="s">
        <v>4239</v>
      </c>
      <c r="B5795" t="s">
        <v>15</v>
      </c>
      <c r="C5795" t="s">
        <v>32</v>
      </c>
      <c r="D5795" t="s">
        <v>17</v>
      </c>
      <c r="E5795" t="s">
        <v>18</v>
      </c>
      <c r="F5795" t="s">
        <v>19</v>
      </c>
      <c r="G5795" t="s">
        <v>20</v>
      </c>
      <c r="J5795" t="s">
        <v>17</v>
      </c>
      <c r="K5795" t="str">
        <f>"767914283"</f>
        <v>767914283</v>
      </c>
      <c r="L5795" t="str">
        <f>"767914283"</f>
        <v>767914283</v>
      </c>
      <c r="M5795" t="s">
        <v>75</v>
      </c>
      <c r="N5795" s="1">
        <v>42933.731944444444</v>
      </c>
      <c r="O5795" t="s">
        <v>19</v>
      </c>
    </row>
    <row r="5796" spans="1:15" x14ac:dyDescent="0.25">
      <c r="A5796" t="s">
        <v>4240</v>
      </c>
      <c r="B5796" t="s">
        <v>15</v>
      </c>
      <c r="C5796" t="s">
        <v>32</v>
      </c>
      <c r="D5796" t="s">
        <v>17</v>
      </c>
      <c r="E5796" t="s">
        <v>18</v>
      </c>
      <c r="F5796" t="s">
        <v>19</v>
      </c>
      <c r="G5796" t="s">
        <v>20</v>
      </c>
      <c r="J5796" t="s">
        <v>17</v>
      </c>
      <c r="K5796" t="str">
        <f>"76791445"</f>
        <v>76791445</v>
      </c>
      <c r="L5796" t="str">
        <f>"76791445"</f>
        <v>76791445</v>
      </c>
      <c r="M5796" t="s">
        <v>75</v>
      </c>
      <c r="N5796" s="1">
        <v>42933.728472222225</v>
      </c>
      <c r="O5796" t="s">
        <v>19</v>
      </c>
    </row>
    <row r="5797" spans="1:15" x14ac:dyDescent="0.25">
      <c r="A5797" t="s">
        <v>4241</v>
      </c>
      <c r="B5797" t="s">
        <v>15</v>
      </c>
      <c r="C5797" t="s">
        <v>32</v>
      </c>
      <c r="D5797" t="s">
        <v>17</v>
      </c>
      <c r="E5797" t="s">
        <v>18</v>
      </c>
      <c r="F5797" t="s">
        <v>19</v>
      </c>
      <c r="G5797" t="s">
        <v>20</v>
      </c>
      <c r="J5797" t="s">
        <v>17</v>
      </c>
      <c r="K5797" t="str">
        <f>"767914270"</f>
        <v>767914270</v>
      </c>
      <c r="L5797" t="str">
        <f>"767914270"</f>
        <v>767914270</v>
      </c>
      <c r="M5797" t="s">
        <v>75</v>
      </c>
      <c r="N5797" s="1">
        <v>42933.727083333331</v>
      </c>
      <c r="O5797" t="s">
        <v>19</v>
      </c>
    </row>
    <row r="5798" spans="1:15" x14ac:dyDescent="0.25">
      <c r="A5798" t="s">
        <v>4242</v>
      </c>
      <c r="B5798" t="s">
        <v>15</v>
      </c>
      <c r="C5798" t="s">
        <v>32</v>
      </c>
      <c r="D5798" t="s">
        <v>17</v>
      </c>
      <c r="E5798" t="s">
        <v>18</v>
      </c>
      <c r="F5798" t="s">
        <v>19</v>
      </c>
      <c r="G5798" t="s">
        <v>20</v>
      </c>
      <c r="J5798" t="s">
        <v>17</v>
      </c>
      <c r="K5798" t="str">
        <f>"767914126"</f>
        <v>767914126</v>
      </c>
      <c r="L5798" t="str">
        <f>"767914126"</f>
        <v>767914126</v>
      </c>
      <c r="M5798" t="s">
        <v>75</v>
      </c>
      <c r="N5798" s="1">
        <v>42933.727777777778</v>
      </c>
      <c r="O5798" t="s">
        <v>19</v>
      </c>
    </row>
    <row r="5799" spans="1:15" x14ac:dyDescent="0.25">
      <c r="A5799" t="s">
        <v>4243</v>
      </c>
      <c r="B5799" t="s">
        <v>15</v>
      </c>
      <c r="C5799" t="s">
        <v>32</v>
      </c>
      <c r="D5799" t="s">
        <v>17</v>
      </c>
      <c r="E5799" t="s">
        <v>18</v>
      </c>
      <c r="F5799" t="s">
        <v>19</v>
      </c>
      <c r="G5799" t="s">
        <v>20</v>
      </c>
      <c r="J5799" t="s">
        <v>17</v>
      </c>
      <c r="K5799" t="str">
        <f>"76791447"</f>
        <v>76791447</v>
      </c>
      <c r="L5799" t="str">
        <f>"76791447"</f>
        <v>76791447</v>
      </c>
      <c r="M5799" t="s">
        <v>75</v>
      </c>
      <c r="N5799" s="1">
        <v>42933.730555555558</v>
      </c>
      <c r="O5799" t="s">
        <v>19</v>
      </c>
    </row>
    <row r="5800" spans="1:15" x14ac:dyDescent="0.25">
      <c r="A5800" t="s">
        <v>4244</v>
      </c>
      <c r="B5800" t="s">
        <v>15</v>
      </c>
      <c r="C5800" t="s">
        <v>32</v>
      </c>
      <c r="D5800" t="s">
        <v>17</v>
      </c>
      <c r="E5800" t="s">
        <v>18</v>
      </c>
      <c r="F5800" t="s">
        <v>19</v>
      </c>
      <c r="G5800" t="s">
        <v>20</v>
      </c>
      <c r="J5800" t="s">
        <v>17</v>
      </c>
      <c r="K5800" t="str">
        <f>"767914127"</f>
        <v>767914127</v>
      </c>
      <c r="L5800" t="str">
        <f>"767914127"</f>
        <v>767914127</v>
      </c>
      <c r="M5800" t="s">
        <v>75</v>
      </c>
      <c r="N5800" s="1">
        <v>42933.729861111111</v>
      </c>
      <c r="O5800" t="s">
        <v>19</v>
      </c>
    </row>
    <row r="5801" spans="1:15" x14ac:dyDescent="0.25">
      <c r="A5801" t="s">
        <v>4245</v>
      </c>
      <c r="B5801" t="s">
        <v>15</v>
      </c>
      <c r="C5801" t="s">
        <v>27</v>
      </c>
      <c r="D5801" t="s">
        <v>17</v>
      </c>
      <c r="E5801" t="s">
        <v>18</v>
      </c>
      <c r="F5801" t="s">
        <v>19</v>
      </c>
      <c r="G5801" t="s">
        <v>20</v>
      </c>
      <c r="J5801" t="s">
        <v>17</v>
      </c>
      <c r="K5801" t="str">
        <f>"34481064"</f>
        <v>34481064</v>
      </c>
      <c r="L5801" t="str">
        <f>"34481064"</f>
        <v>34481064</v>
      </c>
      <c r="M5801" t="s">
        <v>75</v>
      </c>
      <c r="N5801" s="1">
        <v>42872.839583333334</v>
      </c>
      <c r="O5801" t="s">
        <v>19</v>
      </c>
    </row>
    <row r="5802" spans="1:15" x14ac:dyDescent="0.25">
      <c r="A5802" t="s">
        <v>4246</v>
      </c>
      <c r="B5802" t="s">
        <v>15</v>
      </c>
      <c r="C5802" t="s">
        <v>27</v>
      </c>
      <c r="D5802" t="s">
        <v>17</v>
      </c>
      <c r="E5802" t="s">
        <v>18</v>
      </c>
      <c r="F5802" t="s">
        <v>19</v>
      </c>
      <c r="G5802" t="s">
        <v>20</v>
      </c>
      <c r="J5802" t="s">
        <v>17</v>
      </c>
      <c r="K5802" t="str">
        <f>"764810164"</f>
        <v>764810164</v>
      </c>
      <c r="L5802" t="str">
        <f>"764810164"</f>
        <v>764810164</v>
      </c>
      <c r="M5802" t="s">
        <v>75</v>
      </c>
      <c r="N5802" s="1">
        <v>42872.849305555559</v>
      </c>
      <c r="O5802" t="s">
        <v>19</v>
      </c>
    </row>
    <row r="5803" spans="1:15" x14ac:dyDescent="0.25">
      <c r="A5803" t="s">
        <v>4247</v>
      </c>
      <c r="B5803" t="s">
        <v>15</v>
      </c>
      <c r="C5803" t="s">
        <v>27</v>
      </c>
      <c r="D5803" t="s">
        <v>17</v>
      </c>
      <c r="E5803" t="s">
        <v>18</v>
      </c>
      <c r="F5803" t="s">
        <v>19</v>
      </c>
      <c r="G5803" t="s">
        <v>20</v>
      </c>
      <c r="J5803" t="s">
        <v>17</v>
      </c>
      <c r="K5803" t="str">
        <f>"174805152"</f>
        <v>174805152</v>
      </c>
      <c r="L5803" t="str">
        <f>"174805152"</f>
        <v>174805152</v>
      </c>
      <c r="M5803" t="s">
        <v>75</v>
      </c>
      <c r="N5803" s="1">
        <v>42872.849305555559</v>
      </c>
      <c r="O5803" t="s">
        <v>19</v>
      </c>
    </row>
    <row r="5804" spans="1:15" x14ac:dyDescent="0.25">
      <c r="A5804" t="s">
        <v>4248</v>
      </c>
      <c r="B5804" t="s">
        <v>15</v>
      </c>
      <c r="C5804" t="s">
        <v>27</v>
      </c>
      <c r="D5804" t="s">
        <v>17</v>
      </c>
      <c r="E5804" t="s">
        <v>18</v>
      </c>
      <c r="F5804" t="s">
        <v>19</v>
      </c>
      <c r="G5804" t="s">
        <v>20</v>
      </c>
      <c r="J5804" t="s">
        <v>17</v>
      </c>
      <c r="K5804" t="str">
        <f>"74805280"</f>
        <v>74805280</v>
      </c>
      <c r="L5804" t="str">
        <f>"74805280"</f>
        <v>74805280</v>
      </c>
      <c r="M5804" t="s">
        <v>75</v>
      </c>
      <c r="N5804" s="1">
        <v>42872.847222222219</v>
      </c>
      <c r="O5804" t="s">
        <v>19</v>
      </c>
    </row>
    <row r="5805" spans="1:15" x14ac:dyDescent="0.25">
      <c r="A5805" t="s">
        <v>4249</v>
      </c>
      <c r="B5805" t="s">
        <v>15</v>
      </c>
      <c r="C5805" t="s">
        <v>27</v>
      </c>
      <c r="D5805" t="s">
        <v>17</v>
      </c>
      <c r="E5805" t="s">
        <v>18</v>
      </c>
      <c r="F5805" t="s">
        <v>19</v>
      </c>
      <c r="G5805" t="s">
        <v>20</v>
      </c>
      <c r="J5805" t="s">
        <v>17</v>
      </c>
      <c r="K5805" t="str">
        <f>"17481056"</f>
        <v>17481056</v>
      </c>
      <c r="L5805" t="str">
        <f>"17481056"</f>
        <v>17481056</v>
      </c>
      <c r="M5805" t="s">
        <v>75</v>
      </c>
      <c r="N5805" s="1">
        <v>42872.839583333334</v>
      </c>
      <c r="O5805" t="s">
        <v>19</v>
      </c>
    </row>
    <row r="5806" spans="1:15" x14ac:dyDescent="0.25">
      <c r="A5806" t="s">
        <v>4250</v>
      </c>
      <c r="B5806" t="s">
        <v>15</v>
      </c>
      <c r="C5806" t="s">
        <v>27</v>
      </c>
      <c r="D5806" t="s">
        <v>17</v>
      </c>
      <c r="E5806" t="s">
        <v>18</v>
      </c>
      <c r="F5806" t="s">
        <v>19</v>
      </c>
      <c r="G5806" t="s">
        <v>20</v>
      </c>
      <c r="J5806" t="s">
        <v>17</v>
      </c>
      <c r="K5806" t="str">
        <f>"76481401"</f>
        <v>76481401</v>
      </c>
      <c r="L5806" t="str">
        <f>"76481401"</f>
        <v>76481401</v>
      </c>
      <c r="M5806" t="s">
        <v>75</v>
      </c>
      <c r="N5806" s="1">
        <v>42872.847222222219</v>
      </c>
      <c r="O5806" t="s">
        <v>19</v>
      </c>
    </row>
    <row r="5807" spans="1:15" x14ac:dyDescent="0.25">
      <c r="A5807" t="s">
        <v>4251</v>
      </c>
      <c r="B5807" t="s">
        <v>15</v>
      </c>
      <c r="C5807" t="s">
        <v>27</v>
      </c>
      <c r="D5807" t="s">
        <v>17</v>
      </c>
      <c r="E5807" t="s">
        <v>18</v>
      </c>
      <c r="F5807" t="s">
        <v>19</v>
      </c>
      <c r="G5807" t="s">
        <v>20</v>
      </c>
      <c r="J5807" t="s">
        <v>17</v>
      </c>
      <c r="K5807" t="str">
        <f>"18481455"</f>
        <v>18481455</v>
      </c>
      <c r="L5807" t="str">
        <f>"18481455"</f>
        <v>18481455</v>
      </c>
      <c r="M5807" t="s">
        <v>75</v>
      </c>
      <c r="N5807" s="1">
        <v>42872.839583333334</v>
      </c>
      <c r="O5807" t="s">
        <v>19</v>
      </c>
    </row>
    <row r="5808" spans="1:15" x14ac:dyDescent="0.25">
      <c r="A5808" t="s">
        <v>4252</v>
      </c>
      <c r="B5808" t="s">
        <v>15</v>
      </c>
      <c r="C5808" t="s">
        <v>27</v>
      </c>
      <c r="D5808" t="s">
        <v>17</v>
      </c>
      <c r="E5808" t="s">
        <v>18</v>
      </c>
      <c r="F5808" t="s">
        <v>19</v>
      </c>
      <c r="G5808" t="s">
        <v>20</v>
      </c>
      <c r="J5808" t="s">
        <v>17</v>
      </c>
      <c r="K5808" t="str">
        <f>"76481455"</f>
        <v>76481455</v>
      </c>
      <c r="L5808" t="str">
        <f>"76481455"</f>
        <v>76481455</v>
      </c>
      <c r="M5808" t="s">
        <v>75</v>
      </c>
      <c r="N5808" s="1">
        <v>42872.847222222219</v>
      </c>
      <c r="O5808" t="s">
        <v>19</v>
      </c>
    </row>
    <row r="5809" spans="1:15" x14ac:dyDescent="0.25">
      <c r="A5809" t="s">
        <v>4253</v>
      </c>
      <c r="B5809" t="s">
        <v>15</v>
      </c>
      <c r="C5809" t="s">
        <v>27</v>
      </c>
      <c r="D5809" t="s">
        <v>17</v>
      </c>
      <c r="E5809" t="s">
        <v>18</v>
      </c>
      <c r="F5809" t="s">
        <v>19</v>
      </c>
      <c r="G5809" t="s">
        <v>20</v>
      </c>
      <c r="J5809" t="s">
        <v>17</v>
      </c>
      <c r="K5809" t="str">
        <f>"76481453"</f>
        <v>76481453</v>
      </c>
      <c r="L5809" t="str">
        <f>"76481453"</f>
        <v>76481453</v>
      </c>
      <c r="M5809" t="s">
        <v>75</v>
      </c>
      <c r="N5809" s="1">
        <v>42872.847222222219</v>
      </c>
      <c r="O5809" t="s">
        <v>19</v>
      </c>
    </row>
    <row r="5810" spans="1:15" x14ac:dyDescent="0.25">
      <c r="A5810" t="s">
        <v>4254</v>
      </c>
      <c r="B5810" t="s">
        <v>15</v>
      </c>
      <c r="C5810" t="s">
        <v>27</v>
      </c>
      <c r="D5810" t="s">
        <v>17</v>
      </c>
      <c r="E5810" t="s">
        <v>18</v>
      </c>
      <c r="F5810" t="s">
        <v>19</v>
      </c>
      <c r="G5810" t="s">
        <v>20</v>
      </c>
      <c r="J5810" t="s">
        <v>17</v>
      </c>
      <c r="K5810" t="str">
        <f>"174814126"</f>
        <v>174814126</v>
      </c>
      <c r="L5810" t="str">
        <f>"174814126"</f>
        <v>174814126</v>
      </c>
      <c r="M5810" t="s">
        <v>75</v>
      </c>
      <c r="N5810" s="1">
        <v>42872.849305555559</v>
      </c>
      <c r="O5810" t="s">
        <v>19</v>
      </c>
    </row>
    <row r="5811" spans="1:15" x14ac:dyDescent="0.25">
      <c r="A5811" t="s">
        <v>4255</v>
      </c>
      <c r="B5811" t="s">
        <v>15</v>
      </c>
      <c r="C5811" t="s">
        <v>27</v>
      </c>
      <c r="D5811" t="s">
        <v>17</v>
      </c>
      <c r="E5811" t="s">
        <v>18</v>
      </c>
      <c r="F5811" t="s">
        <v>19</v>
      </c>
      <c r="G5811" t="s">
        <v>20</v>
      </c>
      <c r="J5811" t="s">
        <v>17</v>
      </c>
      <c r="K5811" t="str">
        <f>"174814147"</f>
        <v>174814147</v>
      </c>
      <c r="L5811" t="str">
        <f>"174814147"</f>
        <v>174814147</v>
      </c>
      <c r="M5811" t="s">
        <v>75</v>
      </c>
      <c r="N5811" s="1">
        <v>42872.849305555559</v>
      </c>
      <c r="O5811" t="s">
        <v>19</v>
      </c>
    </row>
    <row r="5812" spans="1:15" x14ac:dyDescent="0.25">
      <c r="A5812" t="s">
        <v>4256</v>
      </c>
      <c r="B5812" t="s">
        <v>15</v>
      </c>
      <c r="C5812" t="s">
        <v>27</v>
      </c>
      <c r="D5812" t="s">
        <v>17</v>
      </c>
      <c r="E5812" t="s">
        <v>18</v>
      </c>
      <c r="F5812" t="s">
        <v>19</v>
      </c>
      <c r="G5812" t="s">
        <v>20</v>
      </c>
      <c r="J5812" t="s">
        <v>17</v>
      </c>
      <c r="K5812" t="str">
        <f>"76481487"</f>
        <v>76481487</v>
      </c>
      <c r="L5812" t="str">
        <f>"76481487"</f>
        <v>76481487</v>
      </c>
      <c r="M5812" t="s">
        <v>75</v>
      </c>
      <c r="N5812" s="1">
        <v>42872.847222222219</v>
      </c>
      <c r="O5812" t="s">
        <v>19</v>
      </c>
    </row>
    <row r="5813" spans="1:15" x14ac:dyDescent="0.25">
      <c r="A5813" t="s">
        <v>4257</v>
      </c>
      <c r="B5813" t="s">
        <v>15</v>
      </c>
      <c r="C5813" t="s">
        <v>27</v>
      </c>
      <c r="D5813" t="s">
        <v>17</v>
      </c>
      <c r="E5813" t="s">
        <v>18</v>
      </c>
      <c r="F5813" t="s">
        <v>19</v>
      </c>
      <c r="G5813" t="s">
        <v>20</v>
      </c>
      <c r="J5813" t="s">
        <v>17</v>
      </c>
      <c r="K5813" t="str">
        <f>"110767692"</f>
        <v>110767692</v>
      </c>
      <c r="L5813" t="str">
        <f>"110767692"</f>
        <v>110767692</v>
      </c>
      <c r="M5813" t="s">
        <v>75</v>
      </c>
      <c r="N5813" s="1">
        <v>42872.847222222219</v>
      </c>
      <c r="O5813" t="s">
        <v>19</v>
      </c>
    </row>
    <row r="5814" spans="1:15" x14ac:dyDescent="0.25">
      <c r="A5814" t="s">
        <v>4258</v>
      </c>
      <c r="B5814" t="s">
        <v>15</v>
      </c>
      <c r="C5814" t="s">
        <v>27</v>
      </c>
      <c r="D5814" t="s">
        <v>17</v>
      </c>
      <c r="E5814" t="s">
        <v>18</v>
      </c>
      <c r="F5814" t="s">
        <v>19</v>
      </c>
      <c r="G5814" t="s">
        <v>20</v>
      </c>
      <c r="J5814" t="s">
        <v>17</v>
      </c>
      <c r="K5814" t="str">
        <f>"110171001"</f>
        <v>110171001</v>
      </c>
      <c r="L5814" t="str">
        <f>"110171001"</f>
        <v>110171001</v>
      </c>
      <c r="M5814" t="s">
        <v>75</v>
      </c>
      <c r="N5814" s="1">
        <v>42872.847222222219</v>
      </c>
      <c r="O5814" t="s">
        <v>19</v>
      </c>
    </row>
    <row r="5815" spans="1:15" x14ac:dyDescent="0.25">
      <c r="A5815" t="s">
        <v>4259</v>
      </c>
      <c r="B5815" t="s">
        <v>15</v>
      </c>
      <c r="C5815" t="s">
        <v>27</v>
      </c>
      <c r="D5815" t="s">
        <v>17</v>
      </c>
      <c r="E5815" t="s">
        <v>18</v>
      </c>
      <c r="F5815" t="s">
        <v>19</v>
      </c>
      <c r="G5815" t="s">
        <v>20</v>
      </c>
      <c r="J5815" t="s">
        <v>17</v>
      </c>
      <c r="K5815" t="str">
        <f>"684815286"</f>
        <v>684815286</v>
      </c>
      <c r="L5815" t="str">
        <f>"684815286"</f>
        <v>684815286</v>
      </c>
      <c r="M5815" t="s">
        <v>75</v>
      </c>
      <c r="N5815" s="1">
        <v>42872.849305555559</v>
      </c>
      <c r="O5815" t="s">
        <v>19</v>
      </c>
    </row>
    <row r="5816" spans="1:15" x14ac:dyDescent="0.25">
      <c r="A5816" t="s">
        <v>4260</v>
      </c>
      <c r="B5816" t="s">
        <v>15</v>
      </c>
      <c r="C5816" t="s">
        <v>16</v>
      </c>
      <c r="D5816" t="s">
        <v>17</v>
      </c>
      <c r="E5816" t="s">
        <v>18</v>
      </c>
      <c r="F5816" t="s">
        <v>19</v>
      </c>
      <c r="G5816" t="s">
        <v>20</v>
      </c>
      <c r="J5816" t="s">
        <v>17</v>
      </c>
      <c r="K5816" t="str">
        <f>"915914108"</f>
        <v>915914108</v>
      </c>
      <c r="L5816" t="str">
        <f>"915914108"</f>
        <v>915914108</v>
      </c>
      <c r="M5816" t="s">
        <v>75</v>
      </c>
      <c r="N5816" s="1">
        <v>42872.849305555559</v>
      </c>
      <c r="O5816" t="s">
        <v>19</v>
      </c>
    </row>
    <row r="5817" spans="1:15" x14ac:dyDescent="0.25">
      <c r="A5817" t="s">
        <v>4261</v>
      </c>
      <c r="B5817" t="s">
        <v>15</v>
      </c>
      <c r="C5817" t="s">
        <v>32</v>
      </c>
      <c r="D5817" t="s">
        <v>17</v>
      </c>
      <c r="E5817" t="s">
        <v>18</v>
      </c>
      <c r="F5817" t="s">
        <v>19</v>
      </c>
      <c r="G5817" t="s">
        <v>20</v>
      </c>
      <c r="J5817" t="s">
        <v>17</v>
      </c>
      <c r="K5817" t="str">
        <f>"34481480"</f>
        <v>34481480</v>
      </c>
      <c r="L5817" t="str">
        <f>"34481480"</f>
        <v>34481480</v>
      </c>
      <c r="M5817" t="s">
        <v>75</v>
      </c>
      <c r="N5817" s="1">
        <v>42872.839583333334</v>
      </c>
      <c r="O5817" t="s">
        <v>19</v>
      </c>
    </row>
    <row r="5818" spans="1:15" x14ac:dyDescent="0.25">
      <c r="A5818" t="s">
        <v>4262</v>
      </c>
      <c r="B5818" t="s">
        <v>15</v>
      </c>
      <c r="C5818" t="s">
        <v>27</v>
      </c>
      <c r="D5818" t="s">
        <v>17</v>
      </c>
      <c r="E5818" t="s">
        <v>18</v>
      </c>
      <c r="F5818" t="s">
        <v>19</v>
      </c>
      <c r="G5818" t="s">
        <v>20</v>
      </c>
      <c r="J5818" t="s">
        <v>17</v>
      </c>
      <c r="K5818" t="str">
        <f>"110172360"</f>
        <v>110172360</v>
      </c>
      <c r="L5818" t="str">
        <f>"110172360"</f>
        <v>110172360</v>
      </c>
      <c r="M5818" t="s">
        <v>75</v>
      </c>
      <c r="N5818" s="1">
        <v>42872.847222222219</v>
      </c>
      <c r="O5818" t="s">
        <v>19</v>
      </c>
    </row>
    <row r="5819" spans="1:15" x14ac:dyDescent="0.25">
      <c r="A5819" t="s">
        <v>4263</v>
      </c>
      <c r="B5819" t="s">
        <v>15</v>
      </c>
      <c r="C5819" t="s">
        <v>1607</v>
      </c>
      <c r="D5819" t="s">
        <v>17</v>
      </c>
      <c r="E5819" t="s">
        <v>18</v>
      </c>
      <c r="F5819" t="s">
        <v>19</v>
      </c>
      <c r="G5819" t="s">
        <v>20</v>
      </c>
      <c r="J5819" t="s">
        <v>17</v>
      </c>
      <c r="K5819" t="str">
        <f>"76560112"</f>
        <v>76560112</v>
      </c>
      <c r="L5819" t="str">
        <f>"76560112"</f>
        <v>76560112</v>
      </c>
      <c r="M5819" t="s">
        <v>75</v>
      </c>
      <c r="N5819" s="1">
        <v>42872.847222222219</v>
      </c>
      <c r="O5819" t="s">
        <v>19</v>
      </c>
    </row>
    <row r="5820" spans="1:15" x14ac:dyDescent="0.25">
      <c r="A5820" t="s">
        <v>4264</v>
      </c>
      <c r="B5820" t="s">
        <v>15</v>
      </c>
      <c r="C5820" t="s">
        <v>27</v>
      </c>
      <c r="D5820" t="s">
        <v>17</v>
      </c>
      <c r="E5820" t="s">
        <v>18</v>
      </c>
      <c r="F5820" t="s">
        <v>19</v>
      </c>
      <c r="G5820" t="s">
        <v>20</v>
      </c>
      <c r="J5820" t="s">
        <v>17</v>
      </c>
      <c r="K5820" t="str">
        <f>"17571480"</f>
        <v>17571480</v>
      </c>
      <c r="L5820" t="str">
        <f>"17571480"</f>
        <v>17571480</v>
      </c>
      <c r="M5820" t="s">
        <v>75</v>
      </c>
      <c r="N5820" s="1">
        <v>42872.839583333334</v>
      </c>
      <c r="O5820" t="s">
        <v>19</v>
      </c>
    </row>
    <row r="5821" spans="1:15" x14ac:dyDescent="0.25">
      <c r="A5821" t="s">
        <v>4265</v>
      </c>
      <c r="B5821" t="s">
        <v>15</v>
      </c>
      <c r="C5821" t="s">
        <v>27</v>
      </c>
      <c r="D5821" t="s">
        <v>17</v>
      </c>
      <c r="E5821" t="s">
        <v>18</v>
      </c>
      <c r="F5821" t="s">
        <v>19</v>
      </c>
      <c r="G5821" t="s">
        <v>20</v>
      </c>
      <c r="J5821" t="s">
        <v>17</v>
      </c>
      <c r="K5821" t="str">
        <f>"17571447"</f>
        <v>17571447</v>
      </c>
      <c r="L5821" t="str">
        <f>"17571447"</f>
        <v>17571447</v>
      </c>
      <c r="M5821" t="s">
        <v>75</v>
      </c>
      <c r="N5821" s="1">
        <v>42872.839583333334</v>
      </c>
      <c r="O5821" t="s">
        <v>19</v>
      </c>
    </row>
    <row r="5822" spans="1:15" x14ac:dyDescent="0.25">
      <c r="A5822" t="s">
        <v>4266</v>
      </c>
      <c r="B5822" t="s">
        <v>15</v>
      </c>
      <c r="C5822" t="s">
        <v>32</v>
      </c>
      <c r="D5822" t="s">
        <v>17</v>
      </c>
      <c r="E5822" t="s">
        <v>18</v>
      </c>
      <c r="F5822" t="s">
        <v>19</v>
      </c>
      <c r="G5822" t="s">
        <v>20</v>
      </c>
      <c r="J5822" t="s">
        <v>17</v>
      </c>
      <c r="K5822" t="str">
        <f>"1578154171499"</f>
        <v>1578154171499</v>
      </c>
      <c r="L5822" t="str">
        <f>"61410816"</f>
        <v>61410816</v>
      </c>
      <c r="M5822" t="s">
        <v>21</v>
      </c>
      <c r="N5822" s="1">
        <v>43834.67291666667</v>
      </c>
      <c r="O5822" t="s">
        <v>19</v>
      </c>
    </row>
    <row r="5823" spans="1:15" x14ac:dyDescent="0.25">
      <c r="A5823" t="s">
        <v>4267</v>
      </c>
      <c r="B5823" t="s">
        <v>15</v>
      </c>
      <c r="C5823" t="s">
        <v>32</v>
      </c>
      <c r="D5823" t="s">
        <v>17</v>
      </c>
      <c r="E5823" t="s">
        <v>18</v>
      </c>
      <c r="F5823" t="s">
        <v>19</v>
      </c>
      <c r="G5823" t="s">
        <v>20</v>
      </c>
      <c r="J5823" t="s">
        <v>17</v>
      </c>
      <c r="K5823" t="str">
        <f>"1578154245288"</f>
        <v>1578154245288</v>
      </c>
      <c r="L5823" t="str">
        <f>"61410475"</f>
        <v>61410475</v>
      </c>
      <c r="M5823" t="s">
        <v>21</v>
      </c>
      <c r="N5823" s="1">
        <v>43834.673611111109</v>
      </c>
      <c r="O5823" t="s">
        <v>19</v>
      </c>
    </row>
    <row r="5824" spans="1:15" x14ac:dyDescent="0.25">
      <c r="A5824" t="s">
        <v>4268</v>
      </c>
      <c r="B5824" t="s">
        <v>15</v>
      </c>
      <c r="C5824" t="s">
        <v>1607</v>
      </c>
      <c r="D5824" t="s">
        <v>17</v>
      </c>
      <c r="E5824" t="s">
        <v>18</v>
      </c>
      <c r="F5824" t="s">
        <v>19</v>
      </c>
      <c r="G5824" t="s">
        <v>20</v>
      </c>
      <c r="J5824" t="s">
        <v>17</v>
      </c>
      <c r="K5824" t="str">
        <f>"76561504"</f>
        <v>76561504</v>
      </c>
      <c r="L5824" t="str">
        <f>"76561504"</f>
        <v>76561504</v>
      </c>
      <c r="M5824" t="s">
        <v>75</v>
      </c>
      <c r="N5824" s="1">
        <v>42872.847222222219</v>
      </c>
      <c r="O5824" t="s">
        <v>19</v>
      </c>
    </row>
    <row r="5825" spans="1:15" x14ac:dyDescent="0.25">
      <c r="A5825" t="s">
        <v>4269</v>
      </c>
      <c r="B5825" t="s">
        <v>15</v>
      </c>
      <c r="C5825" t="s">
        <v>32</v>
      </c>
      <c r="D5825" t="s">
        <v>17</v>
      </c>
      <c r="E5825" t="s">
        <v>18</v>
      </c>
      <c r="F5825" t="s">
        <v>19</v>
      </c>
      <c r="G5825" t="s">
        <v>20</v>
      </c>
      <c r="J5825" t="s">
        <v>17</v>
      </c>
      <c r="K5825" t="str">
        <f>"764301129"</f>
        <v>764301129</v>
      </c>
      <c r="L5825" t="str">
        <f>"764301129"</f>
        <v>764301129</v>
      </c>
      <c r="M5825" t="s">
        <v>75</v>
      </c>
      <c r="N5825" s="1">
        <v>42872.849305555559</v>
      </c>
      <c r="O5825" t="s">
        <v>19</v>
      </c>
    </row>
    <row r="5826" spans="1:15" x14ac:dyDescent="0.25">
      <c r="A5826" t="s">
        <v>4270</v>
      </c>
      <c r="B5826" t="s">
        <v>15</v>
      </c>
      <c r="C5826" t="s">
        <v>32</v>
      </c>
      <c r="D5826" t="s">
        <v>17</v>
      </c>
      <c r="E5826" t="s">
        <v>18</v>
      </c>
      <c r="F5826" t="s">
        <v>19</v>
      </c>
      <c r="G5826" t="s">
        <v>20</v>
      </c>
      <c r="J5826" t="s">
        <v>17</v>
      </c>
      <c r="K5826" t="str">
        <f>"764301185"</f>
        <v>764301185</v>
      </c>
      <c r="L5826" t="str">
        <f>"764301185"</f>
        <v>764301185</v>
      </c>
      <c r="M5826" t="s">
        <v>75</v>
      </c>
      <c r="N5826" s="1">
        <v>42872.849305555559</v>
      </c>
      <c r="O5826" t="s">
        <v>19</v>
      </c>
    </row>
    <row r="5827" spans="1:15" x14ac:dyDescent="0.25">
      <c r="A5827" t="s">
        <v>4271</v>
      </c>
      <c r="B5827" t="s">
        <v>15</v>
      </c>
      <c r="C5827" t="s">
        <v>32</v>
      </c>
      <c r="D5827" t="s">
        <v>17</v>
      </c>
      <c r="E5827" t="s">
        <v>18</v>
      </c>
      <c r="F5827" t="s">
        <v>19</v>
      </c>
      <c r="G5827" t="s">
        <v>20</v>
      </c>
      <c r="J5827" t="s">
        <v>17</v>
      </c>
      <c r="K5827" t="str">
        <f>"177101134"</f>
        <v>177101134</v>
      </c>
      <c r="L5827" t="str">
        <f>"177101134"</f>
        <v>177101134</v>
      </c>
      <c r="M5827" t="s">
        <v>75</v>
      </c>
      <c r="N5827" s="1">
        <v>42872.849305555559</v>
      </c>
      <c r="O5827" t="s">
        <v>19</v>
      </c>
    </row>
    <row r="5828" spans="1:15" x14ac:dyDescent="0.25">
      <c r="A5828" t="s">
        <v>4272</v>
      </c>
      <c r="B5828" t="s">
        <v>15</v>
      </c>
      <c r="C5828" t="s">
        <v>1607</v>
      </c>
      <c r="D5828" t="s">
        <v>17</v>
      </c>
      <c r="E5828" t="s">
        <v>18</v>
      </c>
      <c r="F5828" t="s">
        <v>19</v>
      </c>
      <c r="G5828" t="s">
        <v>20</v>
      </c>
      <c r="J5828" t="s">
        <v>17</v>
      </c>
      <c r="K5828" t="str">
        <f>"76430192"</f>
        <v>76430192</v>
      </c>
      <c r="L5828" t="str">
        <f>"76430192"</f>
        <v>76430192</v>
      </c>
      <c r="M5828" t="s">
        <v>75</v>
      </c>
      <c r="N5828" s="1">
        <v>42872.847222222219</v>
      </c>
      <c r="O5828" t="s">
        <v>19</v>
      </c>
    </row>
    <row r="5829" spans="1:15" x14ac:dyDescent="0.25">
      <c r="A5829" t="s">
        <v>4273</v>
      </c>
      <c r="B5829" t="s">
        <v>15</v>
      </c>
      <c r="C5829" t="s">
        <v>32</v>
      </c>
      <c r="D5829" t="s">
        <v>17</v>
      </c>
      <c r="E5829" t="s">
        <v>18</v>
      </c>
      <c r="F5829" t="s">
        <v>19</v>
      </c>
      <c r="G5829" t="s">
        <v>20</v>
      </c>
      <c r="J5829" t="s">
        <v>17</v>
      </c>
      <c r="K5829" t="str">
        <f>"86490005"</f>
        <v>86490005</v>
      </c>
      <c r="L5829" t="str">
        <f>"86490005"</f>
        <v>86490005</v>
      </c>
      <c r="M5829" t="s">
        <v>75</v>
      </c>
      <c r="N5829" s="1">
        <v>43136.654166666667</v>
      </c>
      <c r="O5829" t="s">
        <v>19</v>
      </c>
    </row>
    <row r="5830" spans="1:15" x14ac:dyDescent="0.25">
      <c r="A5830" t="s">
        <v>4274</v>
      </c>
      <c r="B5830" t="s">
        <v>15</v>
      </c>
      <c r="C5830" t="s">
        <v>1607</v>
      </c>
      <c r="D5830" t="s">
        <v>17</v>
      </c>
      <c r="E5830" t="s">
        <v>18</v>
      </c>
      <c r="F5830" t="s">
        <v>19</v>
      </c>
      <c r="G5830" t="s">
        <v>20</v>
      </c>
      <c r="J5830" t="s">
        <v>17</v>
      </c>
      <c r="K5830" t="str">
        <f>"1495817763151"</f>
        <v>1495817763151</v>
      </c>
      <c r="L5830" t="str">
        <f>"766710296"</f>
        <v>766710296</v>
      </c>
      <c r="M5830" t="s">
        <v>75</v>
      </c>
      <c r="N5830" s="1">
        <v>42881.704861111109</v>
      </c>
      <c r="O5830" t="s">
        <v>19</v>
      </c>
    </row>
    <row r="5831" spans="1:15" x14ac:dyDescent="0.25">
      <c r="A5831" t="s">
        <v>4275</v>
      </c>
      <c r="B5831" t="s">
        <v>15</v>
      </c>
      <c r="C5831" t="s">
        <v>32</v>
      </c>
      <c r="D5831" t="s">
        <v>17</v>
      </c>
      <c r="E5831" t="s">
        <v>18</v>
      </c>
      <c r="F5831" t="s">
        <v>19</v>
      </c>
      <c r="G5831" t="s">
        <v>20</v>
      </c>
      <c r="J5831" t="s">
        <v>17</v>
      </c>
      <c r="K5831" t="str">
        <f>"175821126"</f>
        <v>175821126</v>
      </c>
      <c r="L5831" t="str">
        <f>"175821126"</f>
        <v>175821126</v>
      </c>
      <c r="M5831" t="s">
        <v>75</v>
      </c>
      <c r="N5831" s="1">
        <v>42872.849305555559</v>
      </c>
      <c r="O5831" t="s">
        <v>19</v>
      </c>
    </row>
    <row r="5832" spans="1:15" x14ac:dyDescent="0.25">
      <c r="A5832" t="s">
        <v>4276</v>
      </c>
      <c r="B5832" t="s">
        <v>15</v>
      </c>
      <c r="C5832" t="s">
        <v>32</v>
      </c>
      <c r="D5832" t="s">
        <v>17</v>
      </c>
      <c r="E5832" t="s">
        <v>18</v>
      </c>
      <c r="F5832" t="s">
        <v>19</v>
      </c>
      <c r="G5832" t="s">
        <v>20</v>
      </c>
      <c r="J5832" t="s">
        <v>17</v>
      </c>
      <c r="K5832" t="str">
        <f>"110077067"</f>
        <v>110077067</v>
      </c>
      <c r="L5832" t="str">
        <f>"110077067"</f>
        <v>110077067</v>
      </c>
      <c r="M5832" t="s">
        <v>75</v>
      </c>
      <c r="N5832" s="1">
        <v>42872.847222222219</v>
      </c>
      <c r="O5832" t="s">
        <v>19</v>
      </c>
    </row>
    <row r="5833" spans="1:15" x14ac:dyDescent="0.25">
      <c r="A5833" t="s">
        <v>4277</v>
      </c>
      <c r="B5833" t="s">
        <v>15</v>
      </c>
      <c r="C5833" t="s">
        <v>1607</v>
      </c>
      <c r="D5833" t="s">
        <v>17</v>
      </c>
      <c r="E5833" t="s">
        <v>18</v>
      </c>
      <c r="F5833" t="s">
        <v>19</v>
      </c>
      <c r="G5833" t="s">
        <v>20</v>
      </c>
      <c r="J5833" t="s">
        <v>17</v>
      </c>
      <c r="K5833" t="str">
        <f>"76560569"</f>
        <v>76560569</v>
      </c>
      <c r="L5833" t="str">
        <f>"76560569"</f>
        <v>76560569</v>
      </c>
      <c r="M5833" t="s">
        <v>75</v>
      </c>
      <c r="N5833" s="1">
        <v>42872.847222222219</v>
      </c>
      <c r="O5833" t="s">
        <v>19</v>
      </c>
    </row>
    <row r="5834" spans="1:15" x14ac:dyDescent="0.25">
      <c r="A5834" t="s">
        <v>4278</v>
      </c>
      <c r="B5834" t="s">
        <v>15</v>
      </c>
      <c r="C5834" t="s">
        <v>1607</v>
      </c>
      <c r="D5834" t="s">
        <v>17</v>
      </c>
      <c r="E5834" t="s">
        <v>18</v>
      </c>
      <c r="F5834" t="s">
        <v>19</v>
      </c>
      <c r="G5834" t="s">
        <v>20</v>
      </c>
      <c r="J5834" t="s">
        <v>17</v>
      </c>
      <c r="K5834" t="str">
        <f>"76560570"</f>
        <v>76560570</v>
      </c>
      <c r="L5834" t="str">
        <f>"76560570"</f>
        <v>76560570</v>
      </c>
      <c r="M5834" t="s">
        <v>75</v>
      </c>
      <c r="N5834" s="1">
        <v>42872.847222222219</v>
      </c>
      <c r="O5834" t="s">
        <v>19</v>
      </c>
    </row>
    <row r="5835" spans="1:15" x14ac:dyDescent="0.25">
      <c r="A5835" t="s">
        <v>4279</v>
      </c>
      <c r="B5835" t="s">
        <v>15</v>
      </c>
      <c r="C5835" t="s">
        <v>1607</v>
      </c>
      <c r="D5835" t="s">
        <v>17</v>
      </c>
      <c r="E5835" t="s">
        <v>18</v>
      </c>
      <c r="F5835" t="s">
        <v>19</v>
      </c>
      <c r="G5835" t="s">
        <v>20</v>
      </c>
      <c r="J5835" t="s">
        <v>17</v>
      </c>
      <c r="K5835" t="str">
        <f>"764305196"</f>
        <v>764305196</v>
      </c>
      <c r="L5835" t="str">
        <f>"764305196"</f>
        <v>764305196</v>
      </c>
      <c r="M5835" t="s">
        <v>75</v>
      </c>
      <c r="N5835" s="1">
        <v>42872.849305555559</v>
      </c>
      <c r="O5835" t="s">
        <v>19</v>
      </c>
    </row>
    <row r="5836" spans="1:15" x14ac:dyDescent="0.25">
      <c r="A5836" t="s">
        <v>4280</v>
      </c>
      <c r="B5836" t="s">
        <v>15</v>
      </c>
      <c r="C5836" t="s">
        <v>32</v>
      </c>
      <c r="D5836" t="s">
        <v>17</v>
      </c>
      <c r="E5836" t="s">
        <v>18</v>
      </c>
      <c r="F5836" t="s">
        <v>19</v>
      </c>
      <c r="G5836" t="s">
        <v>20</v>
      </c>
      <c r="J5836" t="s">
        <v>17</v>
      </c>
      <c r="K5836" t="str">
        <f>"764305321"</f>
        <v>764305321</v>
      </c>
      <c r="L5836" t="str">
        <f>"764305321"</f>
        <v>764305321</v>
      </c>
      <c r="M5836" t="s">
        <v>75</v>
      </c>
      <c r="N5836" s="1">
        <v>43132.958333333336</v>
      </c>
      <c r="O5836" t="s">
        <v>19</v>
      </c>
    </row>
    <row r="5837" spans="1:15" x14ac:dyDescent="0.25">
      <c r="A5837" t="s">
        <v>4280</v>
      </c>
      <c r="B5837" t="s">
        <v>15</v>
      </c>
      <c r="C5837" t="s">
        <v>32</v>
      </c>
      <c r="D5837" t="s">
        <v>17</v>
      </c>
      <c r="E5837" t="s">
        <v>18</v>
      </c>
      <c r="F5837" t="s">
        <v>19</v>
      </c>
      <c r="G5837" t="s">
        <v>20</v>
      </c>
      <c r="J5837" t="s">
        <v>17</v>
      </c>
      <c r="K5837" t="str">
        <f>"765105321"</f>
        <v>765105321</v>
      </c>
      <c r="L5837" t="str">
        <f>"765105321"</f>
        <v>765105321</v>
      </c>
      <c r="M5837" t="s">
        <v>75</v>
      </c>
      <c r="N5837" s="1">
        <v>43174.84097222222</v>
      </c>
      <c r="O5837" t="s">
        <v>19</v>
      </c>
    </row>
    <row r="5838" spans="1:15" x14ac:dyDescent="0.25">
      <c r="A5838" t="s">
        <v>4280</v>
      </c>
      <c r="B5838" t="s">
        <v>15</v>
      </c>
      <c r="C5838" t="s">
        <v>32</v>
      </c>
      <c r="D5838" t="s">
        <v>17</v>
      </c>
      <c r="E5838" t="s">
        <v>18</v>
      </c>
      <c r="F5838" t="s">
        <v>19</v>
      </c>
      <c r="G5838" t="s">
        <v>20</v>
      </c>
      <c r="J5838" t="s">
        <v>17</v>
      </c>
      <c r="K5838" t="str">
        <f>"764005321"</f>
        <v>764005321</v>
      </c>
      <c r="L5838" t="str">
        <f>"764005321"</f>
        <v>764005321</v>
      </c>
      <c r="M5838" t="s">
        <v>75</v>
      </c>
      <c r="N5838" s="1">
        <v>43196.886805555558</v>
      </c>
      <c r="O5838" t="s">
        <v>19</v>
      </c>
    </row>
    <row r="5839" spans="1:15" x14ac:dyDescent="0.25">
      <c r="A5839" t="s">
        <v>4280</v>
      </c>
      <c r="B5839" t="s">
        <v>15</v>
      </c>
      <c r="C5839" t="s">
        <v>32</v>
      </c>
      <c r="D5839" t="s">
        <v>17</v>
      </c>
      <c r="E5839" t="s">
        <v>18</v>
      </c>
      <c r="F5839" t="s">
        <v>19</v>
      </c>
      <c r="G5839" t="s">
        <v>20</v>
      </c>
      <c r="J5839" t="s">
        <v>17</v>
      </c>
      <c r="K5839" t="str">
        <f>"869205321"</f>
        <v>869205321</v>
      </c>
      <c r="L5839" t="str">
        <f>"869205321"</f>
        <v>869205321</v>
      </c>
      <c r="M5839" t="s">
        <v>84</v>
      </c>
      <c r="N5839" s="1">
        <v>43374.646527777775</v>
      </c>
      <c r="O5839" t="s">
        <v>19</v>
      </c>
    </row>
    <row r="5840" spans="1:15" x14ac:dyDescent="0.25">
      <c r="A5840" t="s">
        <v>4281</v>
      </c>
      <c r="B5840" t="s">
        <v>15</v>
      </c>
      <c r="C5840" t="s">
        <v>32</v>
      </c>
      <c r="D5840" t="s">
        <v>17</v>
      </c>
      <c r="E5840" t="s">
        <v>18</v>
      </c>
      <c r="F5840" t="s">
        <v>19</v>
      </c>
      <c r="G5840" t="s">
        <v>20</v>
      </c>
      <c r="J5840" t="s">
        <v>17</v>
      </c>
      <c r="K5840" t="str">
        <f>"76750533"</f>
        <v>76750533</v>
      </c>
      <c r="L5840" t="str">
        <f>"76750533"</f>
        <v>76750533</v>
      </c>
      <c r="M5840" t="s">
        <v>75</v>
      </c>
      <c r="N5840" s="1">
        <v>43148.660416666666</v>
      </c>
      <c r="O5840" t="s">
        <v>19</v>
      </c>
    </row>
    <row r="5841" spans="1:15" x14ac:dyDescent="0.25">
      <c r="A5841" t="s">
        <v>4282</v>
      </c>
      <c r="B5841" t="s">
        <v>15</v>
      </c>
      <c r="C5841" t="s">
        <v>32</v>
      </c>
      <c r="D5841" t="s">
        <v>17</v>
      </c>
      <c r="E5841" t="s">
        <v>18</v>
      </c>
      <c r="F5841" t="s">
        <v>19</v>
      </c>
      <c r="G5841" t="s">
        <v>20</v>
      </c>
      <c r="J5841" t="s">
        <v>17</v>
      </c>
      <c r="K5841" t="str">
        <f>"677905307"</f>
        <v>677905307</v>
      </c>
      <c r="L5841" t="str">
        <f>"677905307"</f>
        <v>677905307</v>
      </c>
      <c r="M5841" t="s">
        <v>84</v>
      </c>
      <c r="N5841" s="1">
        <v>43502.657638888886</v>
      </c>
      <c r="O5841" t="s">
        <v>19</v>
      </c>
    </row>
    <row r="5842" spans="1:15" x14ac:dyDescent="0.25">
      <c r="A5842" t="s">
        <v>4283</v>
      </c>
      <c r="B5842" t="s">
        <v>15</v>
      </c>
      <c r="C5842" t="s">
        <v>32</v>
      </c>
      <c r="D5842" t="s">
        <v>17</v>
      </c>
      <c r="E5842" t="s">
        <v>18</v>
      </c>
      <c r="F5842" t="s">
        <v>19</v>
      </c>
      <c r="G5842" t="s">
        <v>20</v>
      </c>
      <c r="J5842" t="s">
        <v>17</v>
      </c>
      <c r="K5842" t="str">
        <f>"76560529"</f>
        <v>76560529</v>
      </c>
      <c r="L5842" t="str">
        <f>"76560529"</f>
        <v>76560529</v>
      </c>
      <c r="M5842" t="s">
        <v>75</v>
      </c>
      <c r="N5842" s="1">
        <v>42872.847222222219</v>
      </c>
      <c r="O5842" t="s">
        <v>19</v>
      </c>
    </row>
    <row r="5843" spans="1:15" x14ac:dyDescent="0.25">
      <c r="A5843" t="s">
        <v>4284</v>
      </c>
      <c r="B5843" t="s">
        <v>15</v>
      </c>
      <c r="C5843" t="s">
        <v>32</v>
      </c>
      <c r="D5843" t="s">
        <v>17</v>
      </c>
      <c r="E5843" t="s">
        <v>18</v>
      </c>
      <c r="F5843" t="s">
        <v>19</v>
      </c>
      <c r="G5843" t="s">
        <v>20</v>
      </c>
      <c r="J5843" t="s">
        <v>17</v>
      </c>
      <c r="K5843" t="str">
        <f>"764005295"</f>
        <v>764005295</v>
      </c>
      <c r="L5843" t="str">
        <f>"764005295"</f>
        <v>764005295</v>
      </c>
      <c r="M5843" t="s">
        <v>75</v>
      </c>
      <c r="N5843" s="1">
        <v>43196.834722222222</v>
      </c>
      <c r="O5843" t="s">
        <v>19</v>
      </c>
    </row>
    <row r="5844" spans="1:15" x14ac:dyDescent="0.25">
      <c r="A5844" t="s">
        <v>4285</v>
      </c>
      <c r="B5844" t="s">
        <v>15</v>
      </c>
      <c r="C5844" t="s">
        <v>32</v>
      </c>
      <c r="D5844" t="s">
        <v>17</v>
      </c>
      <c r="E5844" t="s">
        <v>18</v>
      </c>
      <c r="F5844" t="s">
        <v>19</v>
      </c>
      <c r="G5844" t="s">
        <v>20</v>
      </c>
      <c r="J5844" t="s">
        <v>17</v>
      </c>
      <c r="K5844" t="str">
        <f>"1578146192031"</f>
        <v>1578146192031</v>
      </c>
      <c r="L5844" t="str">
        <f>"61390055"</f>
        <v>61390055</v>
      </c>
      <c r="M5844" t="s">
        <v>21</v>
      </c>
      <c r="N5844" s="1">
        <v>43834.580555555556</v>
      </c>
      <c r="O5844" t="s">
        <v>19</v>
      </c>
    </row>
    <row r="5845" spans="1:15" x14ac:dyDescent="0.25">
      <c r="A5845" t="s">
        <v>4286</v>
      </c>
      <c r="B5845" t="s">
        <v>15</v>
      </c>
      <c r="C5845" t="s">
        <v>32</v>
      </c>
      <c r="D5845" t="s">
        <v>17</v>
      </c>
      <c r="E5845" t="s">
        <v>18</v>
      </c>
      <c r="F5845" t="s">
        <v>19</v>
      </c>
      <c r="G5845" t="s">
        <v>20</v>
      </c>
      <c r="J5845" t="s">
        <v>17</v>
      </c>
      <c r="K5845" t="str">
        <f>"767705296"</f>
        <v>767705296</v>
      </c>
      <c r="L5845" t="str">
        <f>"767705296"</f>
        <v>767705296</v>
      </c>
      <c r="M5845" t="s">
        <v>75</v>
      </c>
      <c r="N5845" s="1">
        <v>43012.939583333333</v>
      </c>
      <c r="O5845" t="s">
        <v>19</v>
      </c>
    </row>
    <row r="5846" spans="1:15" x14ac:dyDescent="0.25">
      <c r="A5846" t="s">
        <v>4286</v>
      </c>
      <c r="B5846" t="s">
        <v>15</v>
      </c>
      <c r="C5846" t="s">
        <v>32</v>
      </c>
      <c r="D5846" t="s">
        <v>17</v>
      </c>
      <c r="E5846" t="s">
        <v>18</v>
      </c>
      <c r="F5846" t="s">
        <v>19</v>
      </c>
      <c r="G5846" t="s">
        <v>20</v>
      </c>
      <c r="J5846" t="s">
        <v>17</v>
      </c>
      <c r="K5846" t="str">
        <f>"174705296"</f>
        <v>174705296</v>
      </c>
      <c r="L5846" t="str">
        <f>"174705296"</f>
        <v>174705296</v>
      </c>
      <c r="M5846" t="s">
        <v>75</v>
      </c>
      <c r="N5846" s="1">
        <v>43133.67083333333</v>
      </c>
      <c r="O5846" t="s">
        <v>19</v>
      </c>
    </row>
    <row r="5847" spans="1:15" x14ac:dyDescent="0.25">
      <c r="A5847" t="s">
        <v>4287</v>
      </c>
      <c r="B5847" t="s">
        <v>15</v>
      </c>
      <c r="C5847" t="s">
        <v>32</v>
      </c>
      <c r="D5847" t="s">
        <v>17</v>
      </c>
      <c r="E5847" t="s">
        <v>18</v>
      </c>
      <c r="F5847" t="s">
        <v>19</v>
      </c>
      <c r="G5847" t="s">
        <v>20</v>
      </c>
      <c r="J5847" t="s">
        <v>17</v>
      </c>
      <c r="K5847" t="str">
        <f>"764005300"</f>
        <v>764005300</v>
      </c>
      <c r="L5847" t="str">
        <f>"764005300"</f>
        <v>764005300</v>
      </c>
      <c r="M5847" t="s">
        <v>84</v>
      </c>
      <c r="N5847" s="1">
        <v>43251.888194444444</v>
      </c>
      <c r="O5847" t="s">
        <v>19</v>
      </c>
    </row>
    <row r="5848" spans="1:15" x14ac:dyDescent="0.25">
      <c r="A5848" t="s">
        <v>4288</v>
      </c>
      <c r="B5848" t="s">
        <v>15</v>
      </c>
      <c r="C5848" t="s">
        <v>32</v>
      </c>
      <c r="D5848" t="s">
        <v>17</v>
      </c>
      <c r="E5848" t="s">
        <v>18</v>
      </c>
      <c r="F5848" t="s">
        <v>19</v>
      </c>
      <c r="G5848" t="s">
        <v>20</v>
      </c>
      <c r="J5848" t="s">
        <v>17</v>
      </c>
      <c r="K5848" t="str">
        <f>"764005303"</f>
        <v>764005303</v>
      </c>
      <c r="L5848" t="str">
        <f>"764005303"</f>
        <v>764005303</v>
      </c>
      <c r="M5848" t="s">
        <v>84</v>
      </c>
      <c r="N5848" s="1">
        <v>43251.88958333333</v>
      </c>
      <c r="O5848" t="s">
        <v>19</v>
      </c>
    </row>
    <row r="5849" spans="1:15" x14ac:dyDescent="0.25">
      <c r="A5849" t="s">
        <v>4288</v>
      </c>
      <c r="B5849" t="s">
        <v>15</v>
      </c>
      <c r="C5849" t="s">
        <v>32</v>
      </c>
      <c r="D5849" t="s">
        <v>17</v>
      </c>
      <c r="E5849" t="s">
        <v>18</v>
      </c>
      <c r="F5849" t="s">
        <v>19</v>
      </c>
      <c r="G5849" t="s">
        <v>20</v>
      </c>
      <c r="J5849" t="s">
        <v>17</v>
      </c>
      <c r="K5849" t="str">
        <f>"764305303"</f>
        <v>764305303</v>
      </c>
      <c r="L5849" t="str">
        <f>"764305303"</f>
        <v>764305303</v>
      </c>
      <c r="M5849" t="s">
        <v>84</v>
      </c>
      <c r="N5849" s="1">
        <v>43409.724999999999</v>
      </c>
      <c r="O5849" t="s">
        <v>19</v>
      </c>
    </row>
    <row r="5850" spans="1:15" x14ac:dyDescent="0.25">
      <c r="A5850" t="s">
        <v>4288</v>
      </c>
      <c r="B5850" t="s">
        <v>15</v>
      </c>
      <c r="C5850" t="s">
        <v>32</v>
      </c>
      <c r="D5850" t="s">
        <v>17</v>
      </c>
      <c r="E5850" t="s">
        <v>18</v>
      </c>
      <c r="F5850" t="s">
        <v>19</v>
      </c>
      <c r="G5850" t="s">
        <v>20</v>
      </c>
      <c r="J5850" t="s">
        <v>17</v>
      </c>
      <c r="K5850" t="str">
        <f>"677905303"</f>
        <v>677905303</v>
      </c>
      <c r="L5850" t="str">
        <f>"677905303"</f>
        <v>677905303</v>
      </c>
      <c r="M5850" t="s">
        <v>84</v>
      </c>
      <c r="N5850" s="1">
        <v>43502.65625</v>
      </c>
      <c r="O5850" t="s">
        <v>19</v>
      </c>
    </row>
    <row r="5851" spans="1:15" x14ac:dyDescent="0.25">
      <c r="A5851" t="s">
        <v>4288</v>
      </c>
      <c r="B5851" t="s">
        <v>15</v>
      </c>
      <c r="C5851" t="s">
        <v>32</v>
      </c>
      <c r="D5851" t="s">
        <v>17</v>
      </c>
      <c r="E5851" t="s">
        <v>18</v>
      </c>
      <c r="F5851" t="s">
        <v>19</v>
      </c>
      <c r="G5851" t="s">
        <v>20</v>
      </c>
      <c r="J5851" t="s">
        <v>17</v>
      </c>
      <c r="K5851" t="str">
        <f>"324005303"</f>
        <v>324005303</v>
      </c>
      <c r="L5851" t="str">
        <f>"324005303"</f>
        <v>324005303</v>
      </c>
      <c r="M5851" t="s">
        <v>84</v>
      </c>
      <c r="N5851" s="1">
        <v>43502.78402777778</v>
      </c>
      <c r="O5851" t="s">
        <v>19</v>
      </c>
    </row>
    <row r="5852" spans="1:15" x14ac:dyDescent="0.25">
      <c r="A5852" t="s">
        <v>4289</v>
      </c>
      <c r="B5852" t="s">
        <v>15</v>
      </c>
      <c r="C5852" t="s">
        <v>32</v>
      </c>
      <c r="D5852" t="s">
        <v>17</v>
      </c>
      <c r="E5852" t="s">
        <v>18</v>
      </c>
      <c r="F5852" t="s">
        <v>19</v>
      </c>
      <c r="G5852" t="s">
        <v>20</v>
      </c>
      <c r="J5852" t="s">
        <v>17</v>
      </c>
      <c r="K5852" t="str">
        <f>"764805327"</f>
        <v>764805327</v>
      </c>
      <c r="L5852" t="str">
        <f>"764805327"</f>
        <v>764805327</v>
      </c>
      <c r="M5852" t="s">
        <v>21</v>
      </c>
      <c r="N5852" s="1">
        <v>42872.849305555559</v>
      </c>
      <c r="O5852" t="s">
        <v>19</v>
      </c>
    </row>
    <row r="5853" spans="1:15" x14ac:dyDescent="0.25">
      <c r="A5853" t="s">
        <v>4290</v>
      </c>
      <c r="B5853" t="s">
        <v>15</v>
      </c>
      <c r="C5853" t="s">
        <v>32</v>
      </c>
      <c r="D5853" t="s">
        <v>17</v>
      </c>
      <c r="E5853" t="s">
        <v>18</v>
      </c>
      <c r="F5853" t="s">
        <v>19</v>
      </c>
      <c r="G5853" t="s">
        <v>20</v>
      </c>
      <c r="J5853" t="s">
        <v>17</v>
      </c>
      <c r="K5853" t="str">
        <f>"76560548"</f>
        <v>76560548</v>
      </c>
      <c r="L5853" t="str">
        <f>"76560548"</f>
        <v>76560548</v>
      </c>
      <c r="M5853" t="s">
        <v>75</v>
      </c>
      <c r="N5853" s="1">
        <v>42872.847222222219</v>
      </c>
      <c r="O5853" t="s">
        <v>19</v>
      </c>
    </row>
    <row r="5854" spans="1:15" x14ac:dyDescent="0.25">
      <c r="A5854" t="s">
        <v>4290</v>
      </c>
      <c r="B5854" t="s">
        <v>15</v>
      </c>
      <c r="C5854" t="s">
        <v>32</v>
      </c>
      <c r="D5854" t="s">
        <v>17</v>
      </c>
      <c r="E5854" t="s">
        <v>18</v>
      </c>
      <c r="F5854" t="s">
        <v>19</v>
      </c>
      <c r="G5854" t="s">
        <v>20</v>
      </c>
      <c r="J5854" t="s">
        <v>17</v>
      </c>
      <c r="K5854" t="str">
        <f>"17470548"</f>
        <v>17470548</v>
      </c>
      <c r="L5854" t="str">
        <f>"17470548"</f>
        <v>17470548</v>
      </c>
      <c r="M5854" t="s">
        <v>75</v>
      </c>
      <c r="N5854" s="1">
        <v>43133.67291666667</v>
      </c>
      <c r="O5854" t="s">
        <v>19</v>
      </c>
    </row>
    <row r="5855" spans="1:15" x14ac:dyDescent="0.25">
      <c r="A5855" t="s">
        <v>4291</v>
      </c>
      <c r="B5855" t="s">
        <v>15</v>
      </c>
      <c r="C5855" t="s">
        <v>32</v>
      </c>
      <c r="D5855" t="s">
        <v>17</v>
      </c>
      <c r="E5855" t="s">
        <v>18</v>
      </c>
      <c r="F5855" t="s">
        <v>19</v>
      </c>
      <c r="G5855" t="s">
        <v>20</v>
      </c>
      <c r="J5855" t="s">
        <v>17</v>
      </c>
      <c r="K5855" t="str">
        <f>"767705302"</f>
        <v>767705302</v>
      </c>
      <c r="L5855" t="str">
        <f>"767705302"</f>
        <v>767705302</v>
      </c>
      <c r="M5855" t="s">
        <v>75</v>
      </c>
      <c r="N5855" s="1">
        <v>43082.950694444444</v>
      </c>
      <c r="O5855" t="s">
        <v>19</v>
      </c>
    </row>
    <row r="5856" spans="1:15" x14ac:dyDescent="0.25">
      <c r="A5856" t="s">
        <v>4292</v>
      </c>
      <c r="B5856" t="s">
        <v>15</v>
      </c>
      <c r="C5856" t="s">
        <v>32</v>
      </c>
      <c r="D5856" t="s">
        <v>17</v>
      </c>
      <c r="E5856" t="s">
        <v>18</v>
      </c>
      <c r="F5856" t="s">
        <v>19</v>
      </c>
      <c r="G5856" t="s">
        <v>20</v>
      </c>
      <c r="J5856" t="s">
        <v>17</v>
      </c>
      <c r="K5856" t="str">
        <f>"765605238"</f>
        <v>765605238</v>
      </c>
      <c r="L5856" t="str">
        <f>"765605238"</f>
        <v>765605238</v>
      </c>
      <c r="M5856" t="s">
        <v>75</v>
      </c>
      <c r="N5856" s="1">
        <v>42872.849305555559</v>
      </c>
      <c r="O5856" t="s">
        <v>19</v>
      </c>
    </row>
    <row r="5857" spans="1:15" x14ac:dyDescent="0.25">
      <c r="A5857" t="s">
        <v>4293</v>
      </c>
      <c r="B5857" t="s">
        <v>15</v>
      </c>
      <c r="C5857" t="s">
        <v>32</v>
      </c>
      <c r="D5857" t="s">
        <v>17</v>
      </c>
      <c r="E5857" t="s">
        <v>18</v>
      </c>
      <c r="F5857" t="s">
        <v>19</v>
      </c>
      <c r="G5857" t="s">
        <v>20</v>
      </c>
      <c r="J5857" t="s">
        <v>17</v>
      </c>
      <c r="K5857" t="str">
        <f>"765605247"</f>
        <v>765605247</v>
      </c>
      <c r="L5857" t="str">
        <f>"765605247"</f>
        <v>765605247</v>
      </c>
      <c r="M5857" t="s">
        <v>75</v>
      </c>
      <c r="N5857" s="1">
        <v>42872.849305555559</v>
      </c>
      <c r="O5857" t="s">
        <v>19</v>
      </c>
    </row>
    <row r="5858" spans="1:15" x14ac:dyDescent="0.25">
      <c r="A5858" t="s">
        <v>4293</v>
      </c>
      <c r="B5858" t="s">
        <v>15</v>
      </c>
      <c r="C5858" t="s">
        <v>32</v>
      </c>
      <c r="D5858" t="s">
        <v>17</v>
      </c>
      <c r="E5858" t="s">
        <v>18</v>
      </c>
      <c r="F5858" t="s">
        <v>19</v>
      </c>
      <c r="G5858" t="s">
        <v>20</v>
      </c>
      <c r="J5858" t="s">
        <v>17</v>
      </c>
      <c r="K5858" t="str">
        <f>"174705247"</f>
        <v>174705247</v>
      </c>
      <c r="L5858" t="str">
        <f>"174705247"</f>
        <v>174705247</v>
      </c>
      <c r="M5858" t="s">
        <v>75</v>
      </c>
      <c r="N5858" s="1">
        <v>43133.672222222223</v>
      </c>
      <c r="O5858" t="s">
        <v>19</v>
      </c>
    </row>
    <row r="5859" spans="1:15" x14ac:dyDescent="0.25">
      <c r="A5859" t="s">
        <v>4294</v>
      </c>
      <c r="B5859" t="s">
        <v>15</v>
      </c>
      <c r="C5859" t="s">
        <v>32</v>
      </c>
      <c r="D5859" t="s">
        <v>17</v>
      </c>
      <c r="E5859" t="s">
        <v>18</v>
      </c>
      <c r="F5859" t="s">
        <v>19</v>
      </c>
      <c r="G5859" t="s">
        <v>20</v>
      </c>
      <c r="J5859" t="s">
        <v>17</v>
      </c>
      <c r="K5859" t="str">
        <f>"174005299"</f>
        <v>174005299</v>
      </c>
      <c r="L5859" t="str">
        <f>"174005299"</f>
        <v>174005299</v>
      </c>
      <c r="M5859" t="s">
        <v>75</v>
      </c>
      <c r="N5859" s="1">
        <v>43237.737500000003</v>
      </c>
      <c r="O5859" t="s">
        <v>19</v>
      </c>
    </row>
    <row r="5860" spans="1:15" x14ac:dyDescent="0.25">
      <c r="A5860" t="s">
        <v>4295</v>
      </c>
      <c r="B5860" t="s">
        <v>15</v>
      </c>
      <c r="C5860" t="s">
        <v>32</v>
      </c>
      <c r="D5860" t="s">
        <v>17</v>
      </c>
      <c r="E5860" t="s">
        <v>18</v>
      </c>
      <c r="F5860" t="s">
        <v>19</v>
      </c>
      <c r="G5860" t="s">
        <v>20</v>
      </c>
      <c r="J5860" t="s">
        <v>17</v>
      </c>
      <c r="K5860" t="str">
        <f>"767705248"</f>
        <v>767705248</v>
      </c>
      <c r="L5860" t="str">
        <f>"767705248"</f>
        <v>767705248</v>
      </c>
      <c r="M5860" t="s">
        <v>75</v>
      </c>
      <c r="N5860" s="1">
        <v>43097.686111111114</v>
      </c>
      <c r="O5860" t="s">
        <v>19</v>
      </c>
    </row>
    <row r="5861" spans="1:15" x14ac:dyDescent="0.25">
      <c r="A5861" t="s">
        <v>4296</v>
      </c>
      <c r="B5861" t="s">
        <v>15</v>
      </c>
      <c r="C5861" t="s">
        <v>32</v>
      </c>
      <c r="D5861" t="s">
        <v>17</v>
      </c>
      <c r="E5861" t="s">
        <v>18</v>
      </c>
      <c r="F5861" t="s">
        <v>19</v>
      </c>
      <c r="G5861" t="s">
        <v>20</v>
      </c>
      <c r="J5861" t="s">
        <v>17</v>
      </c>
      <c r="K5861" t="str">
        <f>"764005304"</f>
        <v>764005304</v>
      </c>
      <c r="L5861" t="str">
        <f>"764005304"</f>
        <v>764005304</v>
      </c>
      <c r="M5861" t="s">
        <v>84</v>
      </c>
      <c r="N5861" s="1">
        <v>43409.644444444442</v>
      </c>
      <c r="O5861" t="s">
        <v>19</v>
      </c>
    </row>
    <row r="5862" spans="1:15" x14ac:dyDescent="0.25">
      <c r="A5862" t="s">
        <v>4296</v>
      </c>
      <c r="B5862" t="s">
        <v>15</v>
      </c>
      <c r="C5862" t="s">
        <v>32</v>
      </c>
      <c r="D5862" t="s">
        <v>17</v>
      </c>
      <c r="E5862" t="s">
        <v>18</v>
      </c>
      <c r="F5862" t="s">
        <v>19</v>
      </c>
      <c r="G5862" t="s">
        <v>20</v>
      </c>
      <c r="J5862" t="s">
        <v>17</v>
      </c>
      <c r="K5862" t="str">
        <f>"324005304"</f>
        <v>324005304</v>
      </c>
      <c r="L5862" t="str">
        <f>"324005304"</f>
        <v>324005304</v>
      </c>
      <c r="M5862" t="s">
        <v>84</v>
      </c>
      <c r="N5862" s="1">
        <v>43502.783333333333</v>
      </c>
      <c r="O5862" t="s">
        <v>19</v>
      </c>
    </row>
    <row r="5863" spans="1:15" x14ac:dyDescent="0.25">
      <c r="A5863" t="s">
        <v>4297</v>
      </c>
      <c r="B5863" t="s">
        <v>15</v>
      </c>
      <c r="C5863" t="s">
        <v>1607</v>
      </c>
      <c r="D5863" t="s">
        <v>17</v>
      </c>
      <c r="E5863" t="s">
        <v>18</v>
      </c>
      <c r="F5863" t="s">
        <v>19</v>
      </c>
      <c r="G5863" t="s">
        <v>20</v>
      </c>
      <c r="J5863" t="s">
        <v>17</v>
      </c>
      <c r="K5863" t="str">
        <f>"76430569"</f>
        <v>76430569</v>
      </c>
      <c r="L5863" t="str">
        <f>"76430569"</f>
        <v>76430569</v>
      </c>
      <c r="M5863" t="s">
        <v>75</v>
      </c>
      <c r="N5863" s="1">
        <v>42872.847222222219</v>
      </c>
      <c r="O5863" t="s">
        <v>19</v>
      </c>
    </row>
    <row r="5864" spans="1:15" x14ac:dyDescent="0.25">
      <c r="A5864" t="s">
        <v>4298</v>
      </c>
      <c r="B5864" t="s">
        <v>15</v>
      </c>
      <c r="C5864" t="s">
        <v>32</v>
      </c>
      <c r="D5864" t="s">
        <v>17</v>
      </c>
      <c r="E5864" t="s">
        <v>18</v>
      </c>
      <c r="F5864" t="s">
        <v>19</v>
      </c>
      <c r="G5864" t="s">
        <v>20</v>
      </c>
      <c r="J5864" t="s">
        <v>17</v>
      </c>
      <c r="K5864" t="str">
        <f>"766805229"</f>
        <v>766805229</v>
      </c>
      <c r="L5864" t="str">
        <f>"766805229"</f>
        <v>766805229</v>
      </c>
      <c r="M5864" t="s">
        <v>75</v>
      </c>
      <c r="N5864" s="1">
        <v>42872.849305555559</v>
      </c>
      <c r="O5864" t="s">
        <v>19</v>
      </c>
    </row>
    <row r="5865" spans="1:15" x14ac:dyDescent="0.25">
      <c r="A5865" t="s">
        <v>4299</v>
      </c>
      <c r="B5865" t="s">
        <v>15</v>
      </c>
      <c r="C5865" t="s">
        <v>32</v>
      </c>
      <c r="D5865" t="s">
        <v>17</v>
      </c>
      <c r="E5865" t="s">
        <v>18</v>
      </c>
      <c r="F5865" t="s">
        <v>19</v>
      </c>
      <c r="G5865" t="s">
        <v>20</v>
      </c>
      <c r="J5865" t="s">
        <v>17</v>
      </c>
      <c r="K5865" t="str">
        <f>"764305183"</f>
        <v>764305183</v>
      </c>
      <c r="L5865" t="str">
        <f>"764305183"</f>
        <v>764305183</v>
      </c>
      <c r="M5865" t="s">
        <v>75</v>
      </c>
      <c r="N5865" s="1">
        <v>42872.849305555559</v>
      </c>
      <c r="O5865" t="s">
        <v>19</v>
      </c>
    </row>
    <row r="5866" spans="1:15" x14ac:dyDescent="0.25">
      <c r="A5866" t="s">
        <v>4300</v>
      </c>
      <c r="B5866" t="s">
        <v>15</v>
      </c>
      <c r="C5866" t="s">
        <v>32</v>
      </c>
      <c r="D5866" t="s">
        <v>17</v>
      </c>
      <c r="E5866" t="s">
        <v>18</v>
      </c>
      <c r="F5866" t="s">
        <v>19</v>
      </c>
      <c r="G5866" t="s">
        <v>20</v>
      </c>
      <c r="J5866" t="s">
        <v>17</v>
      </c>
      <c r="K5866" t="str">
        <f>"677905306"</f>
        <v>677905306</v>
      </c>
      <c r="L5866" t="str">
        <f>"677905306"</f>
        <v>677905306</v>
      </c>
      <c r="M5866" t="s">
        <v>84</v>
      </c>
      <c r="N5866" s="1">
        <v>43502.656944444447</v>
      </c>
      <c r="O5866" t="s">
        <v>19</v>
      </c>
    </row>
    <row r="5867" spans="1:15" x14ac:dyDescent="0.25">
      <c r="A5867" t="s">
        <v>4300</v>
      </c>
      <c r="B5867" t="s">
        <v>15</v>
      </c>
      <c r="C5867" t="s">
        <v>32</v>
      </c>
      <c r="D5867" t="s">
        <v>17</v>
      </c>
      <c r="E5867" t="s">
        <v>18</v>
      </c>
      <c r="F5867" t="s">
        <v>19</v>
      </c>
      <c r="G5867" t="s">
        <v>20</v>
      </c>
      <c r="J5867" t="s">
        <v>17</v>
      </c>
      <c r="K5867" t="str">
        <f>"673905306"</f>
        <v>673905306</v>
      </c>
      <c r="L5867" t="str">
        <f>"673905306"</f>
        <v>673905306</v>
      </c>
      <c r="M5867" t="s">
        <v>84</v>
      </c>
      <c r="N5867" s="1">
        <v>43546.95416666667</v>
      </c>
      <c r="O5867" t="s">
        <v>19</v>
      </c>
    </row>
    <row r="5868" spans="1:15" x14ac:dyDescent="0.25">
      <c r="A5868" t="s">
        <v>4301</v>
      </c>
      <c r="B5868" t="s">
        <v>15</v>
      </c>
      <c r="C5868" t="s">
        <v>32</v>
      </c>
      <c r="D5868" t="s">
        <v>17</v>
      </c>
      <c r="E5868" t="s">
        <v>18</v>
      </c>
      <c r="F5868" t="s">
        <v>19</v>
      </c>
      <c r="G5868" t="s">
        <v>20</v>
      </c>
      <c r="J5868" t="s">
        <v>17</v>
      </c>
      <c r="K5868" t="str">
        <f>"764005282"</f>
        <v>764005282</v>
      </c>
      <c r="L5868" t="str">
        <f>"764005282"</f>
        <v>764005282</v>
      </c>
      <c r="M5868" t="s">
        <v>84</v>
      </c>
      <c r="N5868" s="1">
        <v>43251.886111111111</v>
      </c>
      <c r="O5868" t="s">
        <v>19</v>
      </c>
    </row>
    <row r="5869" spans="1:15" x14ac:dyDescent="0.25">
      <c r="A5869" t="s">
        <v>4301</v>
      </c>
      <c r="B5869" t="s">
        <v>15</v>
      </c>
      <c r="C5869" t="s">
        <v>32</v>
      </c>
      <c r="D5869" t="s">
        <v>17</v>
      </c>
      <c r="E5869" t="s">
        <v>18</v>
      </c>
      <c r="F5869" t="s">
        <v>19</v>
      </c>
      <c r="G5869" t="s">
        <v>20</v>
      </c>
      <c r="J5869" t="s">
        <v>17</v>
      </c>
      <c r="K5869" t="str">
        <f>"764105282"</f>
        <v>764105282</v>
      </c>
      <c r="L5869" t="str">
        <f>"764105282"</f>
        <v>764105282</v>
      </c>
      <c r="M5869" t="s">
        <v>84</v>
      </c>
      <c r="N5869" s="1">
        <v>43370.705555555556</v>
      </c>
      <c r="O5869" t="s">
        <v>19</v>
      </c>
    </row>
    <row r="5870" spans="1:15" x14ac:dyDescent="0.25">
      <c r="A5870" t="s">
        <v>4301</v>
      </c>
      <c r="B5870" t="s">
        <v>15</v>
      </c>
      <c r="C5870" t="s">
        <v>32</v>
      </c>
      <c r="D5870" t="s">
        <v>17</v>
      </c>
      <c r="E5870" t="s">
        <v>18</v>
      </c>
      <c r="F5870" t="s">
        <v>19</v>
      </c>
      <c r="G5870" t="s">
        <v>20</v>
      </c>
      <c r="J5870" t="s">
        <v>17</v>
      </c>
      <c r="K5870" t="str">
        <f>"764014261"</f>
        <v>764014261</v>
      </c>
      <c r="L5870" t="str">
        <f>"764014261"</f>
        <v>764014261</v>
      </c>
      <c r="M5870" t="s">
        <v>84</v>
      </c>
      <c r="N5870" s="1">
        <v>43409.646527777775</v>
      </c>
      <c r="O5870" t="s">
        <v>19</v>
      </c>
    </row>
    <row r="5871" spans="1:15" x14ac:dyDescent="0.25">
      <c r="A5871" t="s">
        <v>4301</v>
      </c>
      <c r="B5871" t="s">
        <v>15</v>
      </c>
      <c r="C5871" t="s">
        <v>32</v>
      </c>
      <c r="D5871" t="s">
        <v>17</v>
      </c>
      <c r="E5871" t="s">
        <v>18</v>
      </c>
      <c r="F5871" t="s">
        <v>19</v>
      </c>
      <c r="G5871" t="s">
        <v>20</v>
      </c>
      <c r="J5871" t="s">
        <v>17</v>
      </c>
      <c r="K5871" t="str">
        <f>"764305282"</f>
        <v>764305282</v>
      </c>
      <c r="L5871" t="str">
        <f>"764305282"</f>
        <v>764305282</v>
      </c>
      <c r="M5871" t="s">
        <v>84</v>
      </c>
      <c r="N5871" s="1">
        <v>43409.661111111112</v>
      </c>
      <c r="O5871" t="s">
        <v>19</v>
      </c>
    </row>
    <row r="5872" spans="1:15" x14ac:dyDescent="0.25">
      <c r="A5872" t="s">
        <v>4301</v>
      </c>
      <c r="B5872" t="s">
        <v>15</v>
      </c>
      <c r="C5872" t="s">
        <v>32</v>
      </c>
      <c r="D5872" t="s">
        <v>17</v>
      </c>
      <c r="E5872" t="s">
        <v>18</v>
      </c>
      <c r="F5872" t="s">
        <v>19</v>
      </c>
      <c r="G5872" t="s">
        <v>20</v>
      </c>
      <c r="J5872" t="s">
        <v>17</v>
      </c>
      <c r="K5872" t="str">
        <f>"677905282"</f>
        <v>677905282</v>
      </c>
      <c r="L5872" t="str">
        <f>"677905282"</f>
        <v>677905282</v>
      </c>
      <c r="M5872" t="s">
        <v>84</v>
      </c>
      <c r="N5872" s="1">
        <v>43502.65902777778</v>
      </c>
      <c r="O5872" t="s">
        <v>19</v>
      </c>
    </row>
    <row r="5873" spans="1:15" x14ac:dyDescent="0.25">
      <c r="A5873" t="s">
        <v>4302</v>
      </c>
      <c r="B5873" t="s">
        <v>15</v>
      </c>
      <c r="C5873" t="s">
        <v>32</v>
      </c>
      <c r="D5873" t="s">
        <v>17</v>
      </c>
      <c r="E5873" t="s">
        <v>18</v>
      </c>
      <c r="F5873" t="s">
        <v>19</v>
      </c>
      <c r="G5873" t="s">
        <v>20</v>
      </c>
      <c r="J5873" t="s">
        <v>17</v>
      </c>
      <c r="K5873" t="str">
        <f>"764305280"</f>
        <v>764305280</v>
      </c>
      <c r="L5873" t="str">
        <f>"764305280"</f>
        <v>764305280</v>
      </c>
      <c r="M5873" t="s">
        <v>75</v>
      </c>
      <c r="N5873" s="1">
        <v>43237.624305555553</v>
      </c>
      <c r="O5873" t="s">
        <v>19</v>
      </c>
    </row>
    <row r="5874" spans="1:15" x14ac:dyDescent="0.25">
      <c r="A5874" t="s">
        <v>4303</v>
      </c>
      <c r="B5874" t="s">
        <v>15</v>
      </c>
      <c r="C5874" t="s">
        <v>32</v>
      </c>
      <c r="D5874" t="s">
        <v>17</v>
      </c>
      <c r="E5874" t="s">
        <v>18</v>
      </c>
      <c r="F5874" t="s">
        <v>19</v>
      </c>
      <c r="G5874" t="s">
        <v>20</v>
      </c>
      <c r="J5874" t="s">
        <v>17</v>
      </c>
      <c r="K5874" t="str">
        <f>"764005162"</f>
        <v>764005162</v>
      </c>
      <c r="L5874" t="str">
        <f>"764005162"</f>
        <v>764005162</v>
      </c>
      <c r="M5874" t="s">
        <v>84</v>
      </c>
      <c r="N5874" s="1">
        <v>43409.643750000003</v>
      </c>
      <c r="O5874" t="s">
        <v>19</v>
      </c>
    </row>
    <row r="5875" spans="1:15" x14ac:dyDescent="0.25">
      <c r="A5875" t="s">
        <v>4304</v>
      </c>
      <c r="B5875" t="s">
        <v>15</v>
      </c>
      <c r="C5875" t="s">
        <v>32</v>
      </c>
      <c r="D5875" t="s">
        <v>17</v>
      </c>
      <c r="E5875" t="s">
        <v>18</v>
      </c>
      <c r="F5875" t="s">
        <v>19</v>
      </c>
      <c r="G5875" t="s">
        <v>20</v>
      </c>
      <c r="J5875" t="s">
        <v>17</v>
      </c>
      <c r="K5875" t="str">
        <f>"674805315"</f>
        <v>674805315</v>
      </c>
      <c r="L5875" t="str">
        <f>"674805315"</f>
        <v>674805315</v>
      </c>
      <c r="M5875" t="s">
        <v>21</v>
      </c>
      <c r="N5875" s="1">
        <v>43873.776388888888</v>
      </c>
      <c r="O5875" t="s">
        <v>19</v>
      </c>
    </row>
    <row r="5876" spans="1:15" x14ac:dyDescent="0.25">
      <c r="A5876" t="s">
        <v>4305</v>
      </c>
      <c r="B5876" t="s">
        <v>15</v>
      </c>
      <c r="C5876" t="s">
        <v>32</v>
      </c>
      <c r="D5876" t="s">
        <v>17</v>
      </c>
      <c r="E5876" t="s">
        <v>18</v>
      </c>
      <c r="F5876" t="s">
        <v>19</v>
      </c>
      <c r="G5876" t="s">
        <v>20</v>
      </c>
      <c r="J5876" t="s">
        <v>17</v>
      </c>
      <c r="K5876" t="str">
        <f>"674805319"</f>
        <v>674805319</v>
      </c>
      <c r="L5876" t="str">
        <f>"674805319"</f>
        <v>674805319</v>
      </c>
      <c r="M5876" t="s">
        <v>21</v>
      </c>
      <c r="N5876" s="1">
        <v>43873.779166666667</v>
      </c>
      <c r="O5876" t="s">
        <v>19</v>
      </c>
    </row>
    <row r="5877" spans="1:15" x14ac:dyDescent="0.25">
      <c r="A5877" t="s">
        <v>4306</v>
      </c>
      <c r="B5877" t="s">
        <v>15</v>
      </c>
      <c r="C5877" t="s">
        <v>32</v>
      </c>
      <c r="D5877" t="s">
        <v>17</v>
      </c>
      <c r="E5877" t="s">
        <v>18</v>
      </c>
      <c r="F5877" t="s">
        <v>19</v>
      </c>
      <c r="G5877" t="s">
        <v>20</v>
      </c>
      <c r="J5877" t="s">
        <v>17</v>
      </c>
      <c r="K5877" t="str">
        <f>"764005161"</f>
        <v>764005161</v>
      </c>
      <c r="L5877" t="str">
        <f>"764005161"</f>
        <v>764005161</v>
      </c>
      <c r="M5877" t="s">
        <v>84</v>
      </c>
      <c r="N5877" s="1">
        <v>43251.886805555558</v>
      </c>
      <c r="O5877" t="s">
        <v>19</v>
      </c>
    </row>
    <row r="5878" spans="1:15" x14ac:dyDescent="0.25">
      <c r="A5878" t="s">
        <v>4307</v>
      </c>
      <c r="B5878" t="s">
        <v>15</v>
      </c>
      <c r="C5878" t="s">
        <v>32</v>
      </c>
      <c r="D5878" t="s">
        <v>17</v>
      </c>
      <c r="E5878" t="s">
        <v>18</v>
      </c>
      <c r="F5878" t="s">
        <v>19</v>
      </c>
      <c r="G5878" t="s">
        <v>20</v>
      </c>
      <c r="J5878" t="s">
        <v>17</v>
      </c>
      <c r="K5878" t="str">
        <f>"1578147378797"</f>
        <v>1578147378797</v>
      </c>
      <c r="L5878" t="str">
        <f>"61390029"</f>
        <v>61390029</v>
      </c>
      <c r="M5878" t="s">
        <v>21</v>
      </c>
      <c r="N5878" s="1">
        <v>43834.594444444447</v>
      </c>
      <c r="O5878" t="s">
        <v>19</v>
      </c>
    </row>
    <row r="5879" spans="1:15" x14ac:dyDescent="0.25">
      <c r="A5879" t="s">
        <v>4308</v>
      </c>
      <c r="B5879" t="s">
        <v>15</v>
      </c>
      <c r="C5879" t="s">
        <v>32</v>
      </c>
      <c r="D5879" t="s">
        <v>17</v>
      </c>
      <c r="E5879" t="s">
        <v>18</v>
      </c>
      <c r="F5879" t="s">
        <v>19</v>
      </c>
      <c r="G5879" t="s">
        <v>20</v>
      </c>
      <c r="J5879" t="s">
        <v>17</v>
      </c>
      <c r="K5879" t="str">
        <f>"1578146394018"</f>
        <v>1578146394018</v>
      </c>
      <c r="L5879" t="str">
        <f>"61390012"</f>
        <v>61390012</v>
      </c>
      <c r="M5879" t="s">
        <v>21</v>
      </c>
      <c r="N5879" s="1">
        <v>43834.582638888889</v>
      </c>
      <c r="O5879" t="s">
        <v>19</v>
      </c>
    </row>
    <row r="5880" spans="1:15" x14ac:dyDescent="0.25">
      <c r="A5880" t="s">
        <v>4309</v>
      </c>
      <c r="B5880" t="s">
        <v>15</v>
      </c>
      <c r="C5880" t="s">
        <v>32</v>
      </c>
      <c r="D5880" t="s">
        <v>17</v>
      </c>
      <c r="E5880" t="s">
        <v>18</v>
      </c>
      <c r="F5880" t="s">
        <v>19</v>
      </c>
      <c r="G5880" t="s">
        <v>20</v>
      </c>
      <c r="J5880" t="s">
        <v>17</v>
      </c>
      <c r="K5880" t="str">
        <f>"11017702"</f>
        <v>11017702</v>
      </c>
      <c r="L5880" t="str">
        <f>"11017702"</f>
        <v>11017702</v>
      </c>
      <c r="M5880" t="s">
        <v>75</v>
      </c>
      <c r="N5880" s="1">
        <v>42872.839583333334</v>
      </c>
      <c r="O5880" t="s">
        <v>19</v>
      </c>
    </row>
    <row r="5881" spans="1:15" x14ac:dyDescent="0.25">
      <c r="A5881" t="s">
        <v>4310</v>
      </c>
      <c r="B5881" t="s">
        <v>15</v>
      </c>
      <c r="C5881" t="s">
        <v>1607</v>
      </c>
      <c r="D5881" t="s">
        <v>17</v>
      </c>
      <c r="E5881" t="s">
        <v>18</v>
      </c>
      <c r="F5881" t="s">
        <v>19</v>
      </c>
      <c r="G5881" t="s">
        <v>20</v>
      </c>
      <c r="J5881" t="s">
        <v>17</v>
      </c>
      <c r="K5881" t="str">
        <f>"17560714"</f>
        <v>17560714</v>
      </c>
      <c r="L5881" t="str">
        <f>"17560714"</f>
        <v>17560714</v>
      </c>
      <c r="M5881" t="s">
        <v>75</v>
      </c>
      <c r="N5881" s="1">
        <v>42872.839583333334</v>
      </c>
      <c r="O5881" t="s">
        <v>19</v>
      </c>
    </row>
    <row r="5882" spans="1:15" x14ac:dyDescent="0.25">
      <c r="A5882" t="s">
        <v>4310</v>
      </c>
      <c r="B5882" t="s">
        <v>15</v>
      </c>
      <c r="C5882" t="s">
        <v>32</v>
      </c>
      <c r="D5882" t="s">
        <v>17</v>
      </c>
      <c r="E5882" t="s">
        <v>18</v>
      </c>
      <c r="F5882" t="s">
        <v>19</v>
      </c>
      <c r="G5882" t="s">
        <v>20</v>
      </c>
      <c r="J5882" t="s">
        <v>17</v>
      </c>
      <c r="K5882" t="str">
        <f>"17980714"</f>
        <v>17980714</v>
      </c>
      <c r="L5882" t="str">
        <f>"17980714"</f>
        <v>17980714</v>
      </c>
      <c r="M5882" t="s">
        <v>75</v>
      </c>
      <c r="N5882" s="1">
        <v>42872.839583333334</v>
      </c>
      <c r="O5882" t="s">
        <v>19</v>
      </c>
    </row>
    <row r="5883" spans="1:15" x14ac:dyDescent="0.25">
      <c r="A5883" t="s">
        <v>4311</v>
      </c>
      <c r="B5883" t="s">
        <v>15</v>
      </c>
      <c r="C5883" t="s">
        <v>1607</v>
      </c>
      <c r="D5883" t="s">
        <v>17</v>
      </c>
      <c r="E5883" t="s">
        <v>18</v>
      </c>
      <c r="F5883" t="s">
        <v>19</v>
      </c>
      <c r="G5883" t="s">
        <v>20</v>
      </c>
      <c r="J5883" t="s">
        <v>17</v>
      </c>
      <c r="K5883" t="str">
        <f>"76560714"</f>
        <v>76560714</v>
      </c>
      <c r="L5883" t="str">
        <f>"76560714"</f>
        <v>76560714</v>
      </c>
      <c r="M5883" t="s">
        <v>75</v>
      </c>
      <c r="N5883" s="1">
        <v>42872.847222222219</v>
      </c>
      <c r="O5883" t="s">
        <v>19</v>
      </c>
    </row>
    <row r="5884" spans="1:15" x14ac:dyDescent="0.25">
      <c r="A5884" t="s">
        <v>4312</v>
      </c>
      <c r="B5884" t="s">
        <v>15</v>
      </c>
      <c r="C5884" t="s">
        <v>32</v>
      </c>
      <c r="D5884" t="s">
        <v>17</v>
      </c>
      <c r="E5884" t="s">
        <v>18</v>
      </c>
      <c r="F5884" t="s">
        <v>19</v>
      </c>
      <c r="G5884" t="s">
        <v>20</v>
      </c>
      <c r="J5884" t="s">
        <v>17</v>
      </c>
      <c r="K5884" t="str">
        <f>"11073411"</f>
        <v>11073411</v>
      </c>
      <c r="L5884" t="str">
        <f>"11073411"</f>
        <v>11073411</v>
      </c>
      <c r="M5884" t="s">
        <v>75</v>
      </c>
      <c r="N5884" s="1">
        <v>42872.839583333334</v>
      </c>
      <c r="O5884" t="s">
        <v>19</v>
      </c>
    </row>
    <row r="5885" spans="1:15" x14ac:dyDescent="0.25">
      <c r="A5885" t="s">
        <v>4312</v>
      </c>
      <c r="B5885" t="s">
        <v>15</v>
      </c>
      <c r="C5885" t="s">
        <v>32</v>
      </c>
      <c r="D5885" t="s">
        <v>17</v>
      </c>
      <c r="E5885" t="s">
        <v>18</v>
      </c>
      <c r="F5885" t="s">
        <v>19</v>
      </c>
      <c r="G5885" t="s">
        <v>20</v>
      </c>
      <c r="J5885" t="s">
        <v>17</v>
      </c>
      <c r="K5885" t="str">
        <f>"76770715"</f>
        <v>76770715</v>
      </c>
      <c r="L5885" t="str">
        <f>"76770715"</f>
        <v>76770715</v>
      </c>
      <c r="M5885" t="s">
        <v>75</v>
      </c>
      <c r="N5885" s="1">
        <v>42872.847222222219</v>
      </c>
      <c r="O5885" t="s">
        <v>19</v>
      </c>
    </row>
    <row r="5886" spans="1:15" x14ac:dyDescent="0.25">
      <c r="A5886" t="s">
        <v>4312</v>
      </c>
      <c r="B5886" t="s">
        <v>15</v>
      </c>
      <c r="C5886" t="s">
        <v>32</v>
      </c>
      <c r="D5886" t="s">
        <v>17</v>
      </c>
      <c r="E5886" t="s">
        <v>18</v>
      </c>
      <c r="F5886" t="s">
        <v>19</v>
      </c>
      <c r="G5886" t="s">
        <v>20</v>
      </c>
      <c r="J5886" t="s">
        <v>17</v>
      </c>
      <c r="K5886" t="str">
        <f>"1495577538206"</f>
        <v>1495577538206</v>
      </c>
      <c r="L5886" t="str">
        <f>"17900715"</f>
        <v>17900715</v>
      </c>
      <c r="M5886" t="s">
        <v>75</v>
      </c>
      <c r="N5886" s="1">
        <v>42878.925000000003</v>
      </c>
      <c r="O5886" t="s">
        <v>19</v>
      </c>
    </row>
    <row r="5887" spans="1:15" x14ac:dyDescent="0.25">
      <c r="A5887" t="s">
        <v>4312</v>
      </c>
      <c r="B5887" t="s">
        <v>15</v>
      </c>
      <c r="C5887" t="s">
        <v>32</v>
      </c>
      <c r="D5887" t="s">
        <v>17</v>
      </c>
      <c r="E5887" t="s">
        <v>18</v>
      </c>
      <c r="F5887" t="s">
        <v>19</v>
      </c>
      <c r="G5887" t="s">
        <v>20</v>
      </c>
      <c r="J5887" t="s">
        <v>17</v>
      </c>
      <c r="K5887" t="str">
        <f>"76900715"</f>
        <v>76900715</v>
      </c>
      <c r="L5887" t="str">
        <f>"76900715"</f>
        <v>76900715</v>
      </c>
      <c r="M5887" t="s">
        <v>75</v>
      </c>
      <c r="N5887" s="1">
        <v>42959.738194444442</v>
      </c>
      <c r="O5887" t="s">
        <v>19</v>
      </c>
    </row>
    <row r="5888" spans="1:15" x14ac:dyDescent="0.25">
      <c r="A5888" t="s">
        <v>4312</v>
      </c>
      <c r="B5888" t="s">
        <v>15</v>
      </c>
      <c r="C5888" t="s">
        <v>32</v>
      </c>
      <c r="D5888" t="s">
        <v>17</v>
      </c>
      <c r="E5888" t="s">
        <v>18</v>
      </c>
      <c r="F5888" t="s">
        <v>19</v>
      </c>
      <c r="G5888" t="s">
        <v>20</v>
      </c>
      <c r="J5888" t="s">
        <v>17</v>
      </c>
      <c r="K5888" t="str">
        <f>"76790715"</f>
        <v>76790715</v>
      </c>
      <c r="L5888" t="str">
        <f>"76790715"</f>
        <v>76790715</v>
      </c>
      <c r="M5888" t="s">
        <v>75</v>
      </c>
      <c r="N5888" s="1">
        <v>42986.722916666666</v>
      </c>
      <c r="O5888" t="s">
        <v>19</v>
      </c>
    </row>
    <row r="5889" spans="1:15" x14ac:dyDescent="0.25">
      <c r="A5889" t="s">
        <v>4312</v>
      </c>
      <c r="B5889" t="s">
        <v>15</v>
      </c>
      <c r="C5889" t="s">
        <v>32</v>
      </c>
      <c r="D5889" t="s">
        <v>17</v>
      </c>
      <c r="E5889" t="s">
        <v>18</v>
      </c>
      <c r="F5889" t="s">
        <v>19</v>
      </c>
      <c r="G5889" t="s">
        <v>20</v>
      </c>
      <c r="J5889" t="s">
        <v>17</v>
      </c>
      <c r="K5889" t="str">
        <f>"76430715"</f>
        <v>76430715</v>
      </c>
      <c r="L5889" t="str">
        <f>"76430715"</f>
        <v>76430715</v>
      </c>
      <c r="M5889" t="s">
        <v>75</v>
      </c>
      <c r="N5889" s="1">
        <v>43147.866666666669</v>
      </c>
      <c r="O5889" t="s">
        <v>19</v>
      </c>
    </row>
    <row r="5890" spans="1:15" x14ac:dyDescent="0.25">
      <c r="A5890" t="s">
        <v>4312</v>
      </c>
      <c r="B5890" t="s">
        <v>15</v>
      </c>
      <c r="C5890" t="s">
        <v>32</v>
      </c>
      <c r="D5890" t="s">
        <v>17</v>
      </c>
      <c r="E5890" t="s">
        <v>18</v>
      </c>
      <c r="F5890" t="s">
        <v>19</v>
      </c>
      <c r="G5890" t="s">
        <v>20</v>
      </c>
      <c r="J5890" t="s">
        <v>17</v>
      </c>
      <c r="K5890" t="str">
        <f>"76400715"</f>
        <v>76400715</v>
      </c>
      <c r="L5890" t="str">
        <f>"76400715"</f>
        <v>76400715</v>
      </c>
      <c r="M5890" t="s">
        <v>84</v>
      </c>
      <c r="N5890" s="1">
        <v>43251.888888888891</v>
      </c>
      <c r="O5890" t="s">
        <v>19</v>
      </c>
    </row>
    <row r="5891" spans="1:15" x14ac:dyDescent="0.25">
      <c r="A5891" t="s">
        <v>4312</v>
      </c>
      <c r="B5891" t="s">
        <v>15</v>
      </c>
      <c r="C5891" t="s">
        <v>32</v>
      </c>
      <c r="D5891" t="s">
        <v>17</v>
      </c>
      <c r="E5891" t="s">
        <v>18</v>
      </c>
      <c r="F5891" t="s">
        <v>19</v>
      </c>
      <c r="G5891" t="s">
        <v>20</v>
      </c>
      <c r="J5891" t="s">
        <v>17</v>
      </c>
      <c r="K5891" t="str">
        <f>"76410715"</f>
        <v>76410715</v>
      </c>
      <c r="L5891" t="str">
        <f>"76410715"</f>
        <v>76410715</v>
      </c>
      <c r="M5891" t="s">
        <v>84</v>
      </c>
      <c r="N5891" s="1">
        <v>43370.699305555558</v>
      </c>
      <c r="O5891" t="s">
        <v>19</v>
      </c>
    </row>
    <row r="5892" spans="1:15" x14ac:dyDescent="0.25">
      <c r="A5892" t="s">
        <v>4312</v>
      </c>
      <c r="B5892" t="s">
        <v>15</v>
      </c>
      <c r="C5892" t="s">
        <v>32</v>
      </c>
      <c r="D5892" t="s">
        <v>17</v>
      </c>
      <c r="E5892" t="s">
        <v>18</v>
      </c>
      <c r="F5892" t="s">
        <v>19</v>
      </c>
      <c r="G5892" t="s">
        <v>20</v>
      </c>
      <c r="J5892" t="s">
        <v>17</v>
      </c>
      <c r="K5892" t="str">
        <f>"1578146623874"</f>
        <v>1578146623874</v>
      </c>
      <c r="L5892" t="str">
        <f>"61390025"</f>
        <v>61390025</v>
      </c>
      <c r="M5892" t="s">
        <v>21</v>
      </c>
      <c r="N5892" s="1">
        <v>43834.585416666669</v>
      </c>
      <c r="O5892" t="s">
        <v>19</v>
      </c>
    </row>
    <row r="5893" spans="1:15" x14ac:dyDescent="0.25">
      <c r="A5893" t="s">
        <v>4313</v>
      </c>
      <c r="B5893" t="s">
        <v>15</v>
      </c>
      <c r="C5893" t="s">
        <v>16</v>
      </c>
      <c r="D5893" t="s">
        <v>17</v>
      </c>
      <c r="E5893" t="s">
        <v>18</v>
      </c>
      <c r="F5893" t="s">
        <v>19</v>
      </c>
      <c r="G5893" t="s">
        <v>20</v>
      </c>
      <c r="J5893" t="s">
        <v>17</v>
      </c>
      <c r="K5893" t="str">
        <f>"76560715"</f>
        <v>76560715</v>
      </c>
      <c r="L5893" t="str">
        <f>"76560715"</f>
        <v>76560715</v>
      </c>
      <c r="M5893" t="s">
        <v>75</v>
      </c>
      <c r="N5893" s="1">
        <v>42872.847222222219</v>
      </c>
      <c r="O5893" t="s">
        <v>19</v>
      </c>
    </row>
    <row r="5894" spans="1:15" x14ac:dyDescent="0.25">
      <c r="A5894" t="s">
        <v>4314</v>
      </c>
      <c r="B5894" t="s">
        <v>15</v>
      </c>
      <c r="C5894" t="s">
        <v>32</v>
      </c>
      <c r="D5894" t="s">
        <v>17</v>
      </c>
      <c r="E5894" t="s">
        <v>18</v>
      </c>
      <c r="F5894" t="s">
        <v>19</v>
      </c>
      <c r="G5894" t="s">
        <v>20</v>
      </c>
      <c r="J5894" t="s">
        <v>17</v>
      </c>
      <c r="K5894" t="str">
        <f>"76770716"</f>
        <v>76770716</v>
      </c>
      <c r="L5894" t="str">
        <f>"76770716"</f>
        <v>76770716</v>
      </c>
      <c r="M5894" t="s">
        <v>75</v>
      </c>
      <c r="N5894" s="1">
        <v>42872.847222222219</v>
      </c>
      <c r="O5894" t="s">
        <v>19</v>
      </c>
    </row>
    <row r="5895" spans="1:15" x14ac:dyDescent="0.25">
      <c r="A5895" t="s">
        <v>4314</v>
      </c>
      <c r="B5895" t="s">
        <v>15</v>
      </c>
      <c r="C5895" t="s">
        <v>32</v>
      </c>
      <c r="D5895" t="s">
        <v>17</v>
      </c>
      <c r="E5895" t="s">
        <v>18</v>
      </c>
      <c r="F5895" t="s">
        <v>19</v>
      </c>
      <c r="G5895" t="s">
        <v>20</v>
      </c>
      <c r="J5895" t="s">
        <v>17</v>
      </c>
      <c r="K5895" t="str">
        <f>"76430716"</f>
        <v>76430716</v>
      </c>
      <c r="L5895" t="str">
        <f>"76430716"</f>
        <v>76430716</v>
      </c>
      <c r="M5895" t="s">
        <v>75</v>
      </c>
      <c r="N5895" s="1">
        <v>43147.832638888889</v>
      </c>
      <c r="O5895" t="s">
        <v>19</v>
      </c>
    </row>
    <row r="5896" spans="1:15" x14ac:dyDescent="0.25">
      <c r="A5896" t="s">
        <v>4315</v>
      </c>
      <c r="B5896" t="s">
        <v>15</v>
      </c>
      <c r="C5896" t="s">
        <v>27</v>
      </c>
      <c r="D5896" t="s">
        <v>17</v>
      </c>
      <c r="E5896" t="s">
        <v>18</v>
      </c>
      <c r="F5896" t="s">
        <v>19</v>
      </c>
      <c r="G5896" t="s">
        <v>20</v>
      </c>
      <c r="J5896" t="s">
        <v>17</v>
      </c>
      <c r="K5896" t="str">
        <f>"110764020"</f>
        <v>110764020</v>
      </c>
      <c r="L5896" t="str">
        <f>"110764020"</f>
        <v>110764020</v>
      </c>
      <c r="M5896" t="s">
        <v>75</v>
      </c>
      <c r="N5896" s="1">
        <v>42872.847222222219</v>
      </c>
      <c r="O5896" t="s">
        <v>19</v>
      </c>
    </row>
    <row r="5897" spans="1:15" x14ac:dyDescent="0.25">
      <c r="A5897" t="s">
        <v>4316</v>
      </c>
      <c r="B5897" t="s">
        <v>15</v>
      </c>
      <c r="C5897" t="s">
        <v>27</v>
      </c>
      <c r="D5897" t="s">
        <v>17</v>
      </c>
      <c r="E5897" t="s">
        <v>18</v>
      </c>
      <c r="F5897" t="s">
        <v>19</v>
      </c>
      <c r="G5897" t="s">
        <v>20</v>
      </c>
      <c r="J5897" t="s">
        <v>17</v>
      </c>
      <c r="K5897" t="str">
        <f>"110762006"</f>
        <v>110762006</v>
      </c>
      <c r="L5897" t="str">
        <f>"110762006"</f>
        <v>110762006</v>
      </c>
      <c r="M5897" t="s">
        <v>75</v>
      </c>
      <c r="N5897" s="1">
        <v>42872.847222222219</v>
      </c>
      <c r="O5897" t="s">
        <v>19</v>
      </c>
    </row>
    <row r="5898" spans="1:15" x14ac:dyDescent="0.25">
      <c r="A5898" t="s">
        <v>4317</v>
      </c>
      <c r="B5898" t="s">
        <v>15</v>
      </c>
      <c r="C5898" t="s">
        <v>32</v>
      </c>
      <c r="D5898" t="s">
        <v>17</v>
      </c>
      <c r="E5898" t="s">
        <v>18</v>
      </c>
      <c r="F5898" t="s">
        <v>19</v>
      </c>
      <c r="G5898" t="s">
        <v>20</v>
      </c>
      <c r="J5898" t="s">
        <v>17</v>
      </c>
      <c r="K5898" t="str">
        <f>"34480717"</f>
        <v>34480717</v>
      </c>
      <c r="L5898" t="str">
        <f>"34480717"</f>
        <v>34480717</v>
      </c>
      <c r="M5898" t="s">
        <v>75</v>
      </c>
      <c r="N5898" s="1">
        <v>42872.839583333334</v>
      </c>
      <c r="O5898" t="s">
        <v>19</v>
      </c>
    </row>
    <row r="5899" spans="1:15" x14ac:dyDescent="0.25">
      <c r="A5899" t="s">
        <v>4317</v>
      </c>
      <c r="B5899" t="s">
        <v>15</v>
      </c>
      <c r="C5899" t="s">
        <v>32</v>
      </c>
      <c r="D5899" t="s">
        <v>17</v>
      </c>
      <c r="E5899" t="s">
        <v>18</v>
      </c>
      <c r="F5899" t="s">
        <v>19</v>
      </c>
      <c r="G5899" t="s">
        <v>20</v>
      </c>
      <c r="J5899" t="s">
        <v>17</v>
      </c>
      <c r="K5899" t="str">
        <f>"76560717"</f>
        <v>76560717</v>
      </c>
      <c r="L5899" t="str">
        <f>"76560717"</f>
        <v>76560717</v>
      </c>
      <c r="M5899" t="s">
        <v>75</v>
      </c>
      <c r="N5899" s="1">
        <v>42872.847222222219</v>
      </c>
      <c r="O5899" t="s">
        <v>19</v>
      </c>
    </row>
    <row r="5900" spans="1:15" x14ac:dyDescent="0.25">
      <c r="A5900" t="s">
        <v>4317</v>
      </c>
      <c r="B5900" t="s">
        <v>15</v>
      </c>
      <c r="C5900" t="s">
        <v>32</v>
      </c>
      <c r="D5900" t="s">
        <v>17</v>
      </c>
      <c r="E5900" t="s">
        <v>18</v>
      </c>
      <c r="F5900" t="s">
        <v>19</v>
      </c>
      <c r="G5900" t="s">
        <v>20</v>
      </c>
      <c r="J5900" t="s">
        <v>17</v>
      </c>
      <c r="K5900" t="str">
        <f>"76770717"</f>
        <v>76770717</v>
      </c>
      <c r="L5900" t="str">
        <f>"76770717"</f>
        <v>76770717</v>
      </c>
      <c r="M5900" t="s">
        <v>75</v>
      </c>
      <c r="N5900" s="1">
        <v>42872.847222222219</v>
      </c>
      <c r="O5900" t="s">
        <v>19</v>
      </c>
    </row>
    <row r="5901" spans="1:15" x14ac:dyDescent="0.25">
      <c r="A5901" t="s">
        <v>4317</v>
      </c>
      <c r="B5901" t="s">
        <v>15</v>
      </c>
      <c r="C5901" t="s">
        <v>32</v>
      </c>
      <c r="D5901" t="s">
        <v>17</v>
      </c>
      <c r="E5901" t="s">
        <v>18</v>
      </c>
      <c r="F5901" t="s">
        <v>19</v>
      </c>
      <c r="G5901" t="s">
        <v>20</v>
      </c>
      <c r="J5901" t="s">
        <v>17</v>
      </c>
      <c r="K5901" t="str">
        <f>"110764021"</f>
        <v>110764021</v>
      </c>
      <c r="L5901" t="str">
        <f>"110764021"</f>
        <v>110764021</v>
      </c>
      <c r="M5901" t="s">
        <v>75</v>
      </c>
      <c r="N5901" s="1">
        <v>42872.847222222219</v>
      </c>
      <c r="O5901" t="s">
        <v>19</v>
      </c>
    </row>
    <row r="5902" spans="1:15" x14ac:dyDescent="0.25">
      <c r="A5902" t="s">
        <v>4317</v>
      </c>
      <c r="B5902" t="s">
        <v>15</v>
      </c>
      <c r="C5902" t="s">
        <v>32</v>
      </c>
      <c r="D5902" t="s">
        <v>17</v>
      </c>
      <c r="E5902" t="s">
        <v>18</v>
      </c>
      <c r="F5902" t="s">
        <v>19</v>
      </c>
      <c r="G5902" t="s">
        <v>20</v>
      </c>
      <c r="J5902" t="s">
        <v>17</v>
      </c>
      <c r="K5902" t="str">
        <f>"34570717"</f>
        <v>34570717</v>
      </c>
      <c r="L5902" t="str">
        <f>"34570717"</f>
        <v>34570717</v>
      </c>
      <c r="M5902" t="s">
        <v>75</v>
      </c>
      <c r="N5902" s="1">
        <v>43007.798611111109</v>
      </c>
      <c r="O5902" t="s">
        <v>19</v>
      </c>
    </row>
    <row r="5903" spans="1:15" x14ac:dyDescent="0.25">
      <c r="A5903" t="s">
        <v>4317</v>
      </c>
      <c r="B5903" t="s">
        <v>15</v>
      </c>
      <c r="C5903" t="s">
        <v>32</v>
      </c>
      <c r="D5903" t="s">
        <v>17</v>
      </c>
      <c r="E5903" t="s">
        <v>18</v>
      </c>
      <c r="F5903" t="s">
        <v>19</v>
      </c>
      <c r="G5903" t="s">
        <v>20</v>
      </c>
      <c r="J5903" t="s">
        <v>17</v>
      </c>
      <c r="K5903" t="str">
        <f>"76430717"</f>
        <v>76430717</v>
      </c>
      <c r="L5903" t="str">
        <f>"76430717"</f>
        <v>76430717</v>
      </c>
      <c r="M5903" t="s">
        <v>75</v>
      </c>
      <c r="N5903" s="1">
        <v>43147.865972222222</v>
      </c>
      <c r="O5903" t="s">
        <v>19</v>
      </c>
    </row>
    <row r="5904" spans="1:15" x14ac:dyDescent="0.25">
      <c r="A5904" t="s">
        <v>4317</v>
      </c>
      <c r="B5904" t="s">
        <v>15</v>
      </c>
      <c r="C5904" t="s">
        <v>32</v>
      </c>
      <c r="D5904" t="s">
        <v>17</v>
      </c>
      <c r="E5904" t="s">
        <v>18</v>
      </c>
      <c r="F5904" t="s">
        <v>19</v>
      </c>
      <c r="G5904" t="s">
        <v>20</v>
      </c>
      <c r="J5904" t="s">
        <v>17</v>
      </c>
      <c r="K5904" t="str">
        <f>"18400717"</f>
        <v>18400717</v>
      </c>
      <c r="L5904" t="str">
        <f>"18400717"</f>
        <v>18400717</v>
      </c>
      <c r="M5904" t="s">
        <v>84</v>
      </c>
      <c r="N5904" s="1">
        <v>43397.626388888886</v>
      </c>
      <c r="O5904" t="s">
        <v>19</v>
      </c>
    </row>
    <row r="5905" spans="1:15" x14ac:dyDescent="0.25">
      <c r="A5905" t="s">
        <v>4318</v>
      </c>
      <c r="B5905" t="s">
        <v>15</v>
      </c>
      <c r="C5905" t="s">
        <v>32</v>
      </c>
      <c r="D5905" t="s">
        <v>17</v>
      </c>
      <c r="E5905" t="s">
        <v>18</v>
      </c>
      <c r="F5905" t="s">
        <v>19</v>
      </c>
      <c r="G5905" t="s">
        <v>20</v>
      </c>
      <c r="J5905" t="s">
        <v>17</v>
      </c>
      <c r="K5905" t="str">
        <f>"179007253"</f>
        <v>179007253</v>
      </c>
      <c r="L5905" t="str">
        <f>"179007253"</f>
        <v>179007253</v>
      </c>
      <c r="M5905" t="s">
        <v>75</v>
      </c>
      <c r="N5905" s="1">
        <v>42872.849305555559</v>
      </c>
      <c r="O5905" t="s">
        <v>19</v>
      </c>
    </row>
    <row r="5906" spans="1:15" x14ac:dyDescent="0.25">
      <c r="A5906" t="s">
        <v>4318</v>
      </c>
      <c r="B5906" t="s">
        <v>15</v>
      </c>
      <c r="C5906" t="s">
        <v>32</v>
      </c>
      <c r="D5906" t="s">
        <v>17</v>
      </c>
      <c r="E5906" t="s">
        <v>18</v>
      </c>
      <c r="F5906" t="s">
        <v>19</v>
      </c>
      <c r="G5906" t="s">
        <v>20</v>
      </c>
      <c r="J5906" t="s">
        <v>17</v>
      </c>
      <c r="K5906" t="str">
        <f>"765607253"</f>
        <v>765607253</v>
      </c>
      <c r="L5906" t="str">
        <f>"765607253"</f>
        <v>765607253</v>
      </c>
      <c r="M5906" t="s">
        <v>75</v>
      </c>
      <c r="N5906" s="1">
        <v>42872.849305555559</v>
      </c>
      <c r="O5906" t="s">
        <v>19</v>
      </c>
    </row>
    <row r="5907" spans="1:15" x14ac:dyDescent="0.25">
      <c r="A5907" t="s">
        <v>4318</v>
      </c>
      <c r="B5907" t="s">
        <v>15</v>
      </c>
      <c r="C5907" t="s">
        <v>32</v>
      </c>
      <c r="D5907" t="s">
        <v>17</v>
      </c>
      <c r="E5907" t="s">
        <v>18</v>
      </c>
      <c r="F5907" t="s">
        <v>19</v>
      </c>
      <c r="G5907" t="s">
        <v>20</v>
      </c>
      <c r="J5907" t="s">
        <v>17</v>
      </c>
      <c r="K5907" t="str">
        <f>"417107253"</f>
        <v>417107253</v>
      </c>
      <c r="L5907" t="str">
        <f>"417107253"</f>
        <v>417107253</v>
      </c>
      <c r="M5907" t="s">
        <v>75</v>
      </c>
      <c r="N5907" s="1">
        <v>43113.818055555559</v>
      </c>
      <c r="O5907" t="s">
        <v>19</v>
      </c>
    </row>
    <row r="5908" spans="1:15" x14ac:dyDescent="0.25">
      <c r="A5908" t="s">
        <v>4318</v>
      </c>
      <c r="B5908" t="s">
        <v>15</v>
      </c>
      <c r="C5908" t="s">
        <v>32</v>
      </c>
      <c r="D5908" t="s">
        <v>17</v>
      </c>
      <c r="E5908" t="s">
        <v>18</v>
      </c>
      <c r="F5908" t="s">
        <v>19</v>
      </c>
      <c r="G5908" t="s">
        <v>20</v>
      </c>
      <c r="J5908" t="s">
        <v>17</v>
      </c>
      <c r="K5908" t="str">
        <f>"764307253"</f>
        <v>764307253</v>
      </c>
      <c r="L5908" t="str">
        <f>"764307253"</f>
        <v>764307253</v>
      </c>
      <c r="M5908" t="s">
        <v>75</v>
      </c>
      <c r="N5908" s="1">
        <v>43147.868055555555</v>
      </c>
      <c r="O5908" t="s">
        <v>19</v>
      </c>
    </row>
    <row r="5909" spans="1:15" x14ac:dyDescent="0.25">
      <c r="A5909" t="s">
        <v>4318</v>
      </c>
      <c r="B5909" t="s">
        <v>15</v>
      </c>
      <c r="C5909" t="s">
        <v>32</v>
      </c>
      <c r="D5909" t="s">
        <v>17</v>
      </c>
      <c r="E5909" t="s">
        <v>18</v>
      </c>
      <c r="F5909" t="s">
        <v>19</v>
      </c>
      <c r="G5909" t="s">
        <v>20</v>
      </c>
      <c r="J5909" t="s">
        <v>17</v>
      </c>
      <c r="K5909" t="str">
        <f>"764107253"</f>
        <v>764107253</v>
      </c>
      <c r="L5909" t="str">
        <f>"764107253"</f>
        <v>764107253</v>
      </c>
      <c r="M5909" t="s">
        <v>75</v>
      </c>
      <c r="N5909" s="1">
        <v>43237.633333333331</v>
      </c>
      <c r="O5909" t="s">
        <v>19</v>
      </c>
    </row>
    <row r="5910" spans="1:15" x14ac:dyDescent="0.25">
      <c r="A5910" t="s">
        <v>4318</v>
      </c>
      <c r="B5910" t="s">
        <v>15</v>
      </c>
      <c r="C5910" t="s">
        <v>32</v>
      </c>
      <c r="D5910" t="s">
        <v>17</v>
      </c>
      <c r="E5910" t="s">
        <v>18</v>
      </c>
      <c r="F5910" t="s">
        <v>19</v>
      </c>
      <c r="G5910" t="s">
        <v>20</v>
      </c>
      <c r="J5910" t="s">
        <v>17</v>
      </c>
      <c r="K5910" t="str">
        <f>"694007253"</f>
        <v>694007253</v>
      </c>
      <c r="L5910" t="str">
        <f>"694007253"</f>
        <v>694007253</v>
      </c>
      <c r="M5910" t="s">
        <v>84</v>
      </c>
      <c r="N5910" s="1">
        <v>43328.675694444442</v>
      </c>
      <c r="O5910" t="s">
        <v>19</v>
      </c>
    </row>
    <row r="5911" spans="1:15" x14ac:dyDescent="0.25">
      <c r="A5911" t="s">
        <v>4319</v>
      </c>
      <c r="B5911" t="s">
        <v>15</v>
      </c>
      <c r="C5911" t="s">
        <v>32</v>
      </c>
      <c r="D5911" t="s">
        <v>17</v>
      </c>
      <c r="E5911" t="s">
        <v>18</v>
      </c>
      <c r="F5911" t="s">
        <v>19</v>
      </c>
      <c r="G5911" t="s">
        <v>20</v>
      </c>
      <c r="J5911" t="s">
        <v>17</v>
      </c>
      <c r="K5911" t="str">
        <f>"765607254"</f>
        <v>765607254</v>
      </c>
      <c r="L5911" t="str">
        <f>"765607254"</f>
        <v>765607254</v>
      </c>
      <c r="M5911" t="s">
        <v>75</v>
      </c>
      <c r="N5911" s="1">
        <v>42872.849305555559</v>
      </c>
      <c r="O5911" t="s">
        <v>19</v>
      </c>
    </row>
    <row r="5912" spans="1:15" x14ac:dyDescent="0.25">
      <c r="A5912" t="s">
        <v>4319</v>
      </c>
      <c r="B5912" t="s">
        <v>15</v>
      </c>
      <c r="C5912" t="s">
        <v>32</v>
      </c>
      <c r="D5912" t="s">
        <v>17</v>
      </c>
      <c r="E5912" t="s">
        <v>18</v>
      </c>
      <c r="F5912" t="s">
        <v>19</v>
      </c>
      <c r="G5912" t="s">
        <v>20</v>
      </c>
      <c r="J5912" t="s">
        <v>17</v>
      </c>
      <c r="K5912" t="str">
        <f>"345707254"</f>
        <v>345707254</v>
      </c>
      <c r="L5912" t="str">
        <f>"345707254"</f>
        <v>345707254</v>
      </c>
      <c r="M5912" t="s">
        <v>75</v>
      </c>
      <c r="N5912" s="1">
        <v>43006.849305555559</v>
      </c>
      <c r="O5912" t="s">
        <v>19</v>
      </c>
    </row>
    <row r="5913" spans="1:15" x14ac:dyDescent="0.25">
      <c r="A5913" t="s">
        <v>4319</v>
      </c>
      <c r="B5913" t="s">
        <v>15</v>
      </c>
      <c r="C5913" t="s">
        <v>32</v>
      </c>
      <c r="D5913" t="s">
        <v>17</v>
      </c>
      <c r="E5913" t="s">
        <v>18</v>
      </c>
      <c r="F5913" t="s">
        <v>19</v>
      </c>
      <c r="G5913" t="s">
        <v>20</v>
      </c>
      <c r="J5913" t="s">
        <v>17</v>
      </c>
      <c r="K5913" t="str">
        <f>"184007254"</f>
        <v>184007254</v>
      </c>
      <c r="L5913" t="str">
        <f>"184007254"</f>
        <v>184007254</v>
      </c>
      <c r="M5913" t="s">
        <v>84</v>
      </c>
      <c r="N5913" s="1">
        <v>43397.627083333333</v>
      </c>
      <c r="O5913" t="s">
        <v>19</v>
      </c>
    </row>
    <row r="5914" spans="1:15" x14ac:dyDescent="0.25">
      <c r="A5914" t="s">
        <v>4319</v>
      </c>
      <c r="B5914" t="s">
        <v>15</v>
      </c>
      <c r="C5914" t="s">
        <v>32</v>
      </c>
      <c r="D5914" t="s">
        <v>17</v>
      </c>
      <c r="E5914" t="s">
        <v>18</v>
      </c>
      <c r="F5914" t="s">
        <v>19</v>
      </c>
      <c r="G5914" t="s">
        <v>20</v>
      </c>
      <c r="J5914" t="s">
        <v>17</v>
      </c>
      <c r="K5914" t="str">
        <f>"1506711900643"</f>
        <v>1506711900643</v>
      </c>
      <c r="L5914" t="str">
        <f>"1506711900643"</f>
        <v>1506711900643</v>
      </c>
      <c r="M5914" t="s">
        <v>21</v>
      </c>
      <c r="N5914" s="1">
        <v>43006.847916666666</v>
      </c>
      <c r="O5914" t="s">
        <v>33</v>
      </c>
    </row>
    <row r="5915" spans="1:15" x14ac:dyDescent="0.25">
      <c r="A5915" t="s">
        <v>4320</v>
      </c>
      <c r="B5915" t="s">
        <v>15</v>
      </c>
      <c r="C5915" t="s">
        <v>32</v>
      </c>
      <c r="D5915" t="s">
        <v>17</v>
      </c>
      <c r="E5915" t="s">
        <v>18</v>
      </c>
      <c r="F5915" t="s">
        <v>19</v>
      </c>
      <c r="G5915" t="s">
        <v>20</v>
      </c>
      <c r="J5915" t="s">
        <v>17</v>
      </c>
      <c r="K5915" t="str">
        <f>"767707253"</f>
        <v>767707253</v>
      </c>
      <c r="L5915" t="str">
        <f>"767707253"</f>
        <v>767707253</v>
      </c>
      <c r="M5915" t="s">
        <v>75</v>
      </c>
      <c r="N5915" s="1">
        <v>42878.987500000003</v>
      </c>
      <c r="O5915" t="s">
        <v>19</v>
      </c>
    </row>
    <row r="5916" spans="1:15" x14ac:dyDescent="0.25">
      <c r="A5916" t="s">
        <v>4321</v>
      </c>
      <c r="B5916" t="s">
        <v>15</v>
      </c>
      <c r="C5916" t="s">
        <v>32</v>
      </c>
      <c r="D5916" t="s">
        <v>17</v>
      </c>
      <c r="E5916" t="s">
        <v>18</v>
      </c>
      <c r="F5916" t="s">
        <v>19</v>
      </c>
      <c r="G5916" t="s">
        <v>20</v>
      </c>
      <c r="J5916" t="s">
        <v>17</v>
      </c>
      <c r="K5916" t="str">
        <f>"345707255"</f>
        <v>345707255</v>
      </c>
      <c r="L5916" t="str">
        <f>"345707255"</f>
        <v>345707255</v>
      </c>
      <c r="M5916" t="s">
        <v>75</v>
      </c>
      <c r="N5916" s="1">
        <v>43006.851388888892</v>
      </c>
      <c r="O5916" t="s">
        <v>19</v>
      </c>
    </row>
    <row r="5917" spans="1:15" x14ac:dyDescent="0.25">
      <c r="A5917" t="s">
        <v>4322</v>
      </c>
      <c r="B5917" t="s">
        <v>15</v>
      </c>
      <c r="C5917" t="s">
        <v>32</v>
      </c>
      <c r="D5917" t="s">
        <v>17</v>
      </c>
      <c r="E5917" t="s">
        <v>18</v>
      </c>
      <c r="F5917" t="s">
        <v>19</v>
      </c>
      <c r="G5917" t="s">
        <v>20</v>
      </c>
      <c r="J5917" t="s">
        <v>17</v>
      </c>
      <c r="K5917" t="str">
        <f>"764807257"</f>
        <v>764807257</v>
      </c>
      <c r="L5917" t="str">
        <f>"764807257"</f>
        <v>764807257</v>
      </c>
      <c r="M5917" t="s">
        <v>75</v>
      </c>
      <c r="N5917" s="1">
        <v>43174.839583333334</v>
      </c>
      <c r="O5917" t="s">
        <v>19</v>
      </c>
    </row>
    <row r="5918" spans="1:15" x14ac:dyDescent="0.25">
      <c r="A5918" t="s">
        <v>4323</v>
      </c>
      <c r="B5918" t="s">
        <v>15</v>
      </c>
      <c r="C5918" t="s">
        <v>32</v>
      </c>
      <c r="D5918" t="s">
        <v>17</v>
      </c>
      <c r="E5918" t="s">
        <v>18</v>
      </c>
      <c r="F5918" t="s">
        <v>19</v>
      </c>
      <c r="G5918" t="s">
        <v>20</v>
      </c>
      <c r="J5918" t="s">
        <v>17</v>
      </c>
      <c r="K5918" t="str">
        <f>"174832245"</f>
        <v>174832245</v>
      </c>
      <c r="L5918" t="str">
        <f>"174832245"</f>
        <v>174832245</v>
      </c>
      <c r="M5918" t="s">
        <v>75</v>
      </c>
      <c r="N5918" s="1">
        <v>42872.849305555559</v>
      </c>
      <c r="O5918" t="s">
        <v>19</v>
      </c>
    </row>
    <row r="5919" spans="1:15" x14ac:dyDescent="0.25">
      <c r="A5919" t="s">
        <v>4324</v>
      </c>
      <c r="B5919" t="s">
        <v>15</v>
      </c>
      <c r="C5919" t="s">
        <v>32</v>
      </c>
      <c r="D5919" t="s">
        <v>17</v>
      </c>
      <c r="E5919" t="s">
        <v>18</v>
      </c>
      <c r="F5919" t="s">
        <v>19</v>
      </c>
      <c r="G5919" t="s">
        <v>20</v>
      </c>
      <c r="J5919" t="s">
        <v>17</v>
      </c>
      <c r="K5919" t="str">
        <f>"76888800"</f>
        <v>76888800</v>
      </c>
      <c r="L5919" t="str">
        <f>"76888800"</f>
        <v>76888800</v>
      </c>
      <c r="M5919" t="s">
        <v>75</v>
      </c>
      <c r="N5919" s="1">
        <v>42872.847222222219</v>
      </c>
      <c r="O5919" t="s">
        <v>19</v>
      </c>
    </row>
    <row r="5920" spans="1:15" x14ac:dyDescent="0.25">
      <c r="A5920" t="s">
        <v>4324</v>
      </c>
      <c r="B5920" t="s">
        <v>15</v>
      </c>
      <c r="C5920" t="s">
        <v>32</v>
      </c>
      <c r="D5920" t="s">
        <v>17</v>
      </c>
      <c r="E5920" t="s">
        <v>18</v>
      </c>
      <c r="F5920" t="s">
        <v>19</v>
      </c>
      <c r="G5920" t="s">
        <v>20</v>
      </c>
      <c r="J5920" t="s">
        <v>17</v>
      </c>
      <c r="K5920" t="str">
        <f>"765632214"</f>
        <v>765632214</v>
      </c>
      <c r="L5920" t="str">
        <f>"765632214"</f>
        <v>765632214</v>
      </c>
      <c r="M5920" t="s">
        <v>75</v>
      </c>
      <c r="N5920" s="1">
        <v>42872.849305555559</v>
      </c>
      <c r="O5920" t="s">
        <v>19</v>
      </c>
    </row>
    <row r="5921" spans="1:15" x14ac:dyDescent="0.25">
      <c r="A5921" t="s">
        <v>4325</v>
      </c>
      <c r="B5921" t="s">
        <v>15</v>
      </c>
      <c r="C5921" t="s">
        <v>32</v>
      </c>
      <c r="D5921" t="s">
        <v>17</v>
      </c>
      <c r="E5921" t="s">
        <v>18</v>
      </c>
      <c r="F5921" t="s">
        <v>19</v>
      </c>
      <c r="G5921" t="s">
        <v>20</v>
      </c>
      <c r="J5921" t="s">
        <v>17</v>
      </c>
      <c r="K5921" t="str">
        <f>"76551465"</f>
        <v>76551465</v>
      </c>
      <c r="L5921" t="str">
        <f>"76551465"</f>
        <v>76551465</v>
      </c>
      <c r="M5921" t="s">
        <v>75</v>
      </c>
      <c r="N5921" s="1">
        <v>42872.847222222219</v>
      </c>
      <c r="O5921" t="s">
        <v>19</v>
      </c>
    </row>
    <row r="5922" spans="1:15" x14ac:dyDescent="0.25">
      <c r="A5922" t="s">
        <v>4326</v>
      </c>
      <c r="B5922" t="s">
        <v>15</v>
      </c>
      <c r="C5922" t="s">
        <v>32</v>
      </c>
      <c r="D5922" t="s">
        <v>17</v>
      </c>
      <c r="E5922" t="s">
        <v>18</v>
      </c>
      <c r="F5922" t="s">
        <v>19</v>
      </c>
      <c r="G5922" t="s">
        <v>20</v>
      </c>
      <c r="J5922" t="s">
        <v>17</v>
      </c>
      <c r="K5922" t="str">
        <f>"76430956"</f>
        <v>76430956</v>
      </c>
      <c r="L5922" t="str">
        <f>"76430956"</f>
        <v>76430956</v>
      </c>
      <c r="M5922" t="s">
        <v>75</v>
      </c>
      <c r="N5922" s="1">
        <v>42872.847222222219</v>
      </c>
      <c r="O5922" t="s">
        <v>19</v>
      </c>
    </row>
    <row r="5923" spans="1:15" x14ac:dyDescent="0.25">
      <c r="A5923" t="s">
        <v>4327</v>
      </c>
      <c r="B5923" t="s">
        <v>15</v>
      </c>
      <c r="C5923" t="s">
        <v>32</v>
      </c>
      <c r="D5923" t="s">
        <v>17</v>
      </c>
      <c r="E5923" t="s">
        <v>18</v>
      </c>
      <c r="F5923" t="s">
        <v>19</v>
      </c>
      <c r="G5923" t="s">
        <v>20</v>
      </c>
      <c r="J5923" t="s">
        <v>17</v>
      </c>
      <c r="K5923" t="str">
        <f>"764309154"</f>
        <v>764309154</v>
      </c>
      <c r="L5923" t="str">
        <f>"764309154"</f>
        <v>764309154</v>
      </c>
      <c r="M5923" t="s">
        <v>75</v>
      </c>
      <c r="N5923" s="1">
        <v>42872.849305555559</v>
      </c>
      <c r="O5923" t="s">
        <v>19</v>
      </c>
    </row>
    <row r="5924" spans="1:15" x14ac:dyDescent="0.25">
      <c r="A5924" t="s">
        <v>4328</v>
      </c>
      <c r="B5924" t="s">
        <v>15</v>
      </c>
      <c r="C5924" t="s">
        <v>32</v>
      </c>
      <c r="D5924" t="s">
        <v>17</v>
      </c>
      <c r="E5924" t="s">
        <v>18</v>
      </c>
      <c r="F5924" t="s">
        <v>19</v>
      </c>
      <c r="G5924" t="s">
        <v>20</v>
      </c>
      <c r="J5924" t="s">
        <v>17</v>
      </c>
      <c r="K5924" t="str">
        <f>"177109205"</f>
        <v>177109205</v>
      </c>
      <c r="L5924" t="str">
        <f>"177109205"</f>
        <v>177109205</v>
      </c>
      <c r="M5924" t="s">
        <v>75</v>
      </c>
      <c r="N5924" s="1">
        <v>42872.849305555559</v>
      </c>
      <c r="O5924" t="s">
        <v>19</v>
      </c>
    </row>
    <row r="5925" spans="1:15" x14ac:dyDescent="0.25">
      <c r="A5925" t="s">
        <v>4329</v>
      </c>
      <c r="B5925" t="s">
        <v>15</v>
      </c>
      <c r="C5925" t="s">
        <v>1607</v>
      </c>
      <c r="D5925" t="s">
        <v>17</v>
      </c>
      <c r="E5925" t="s">
        <v>18</v>
      </c>
      <c r="F5925" t="s">
        <v>19</v>
      </c>
      <c r="G5925" t="s">
        <v>20</v>
      </c>
      <c r="J5925" t="s">
        <v>17</v>
      </c>
      <c r="K5925" t="str">
        <f>"76560970"</f>
        <v>76560970</v>
      </c>
      <c r="L5925" t="str">
        <f>"76560970"</f>
        <v>76560970</v>
      </c>
      <c r="M5925" t="s">
        <v>75</v>
      </c>
      <c r="N5925" s="1">
        <v>42872.847222222219</v>
      </c>
      <c r="O5925" t="s">
        <v>19</v>
      </c>
    </row>
    <row r="5926" spans="1:15" x14ac:dyDescent="0.25">
      <c r="A5926" t="s">
        <v>4330</v>
      </c>
      <c r="B5926" t="s">
        <v>15</v>
      </c>
      <c r="C5926" t="s">
        <v>32</v>
      </c>
      <c r="D5926" t="s">
        <v>17</v>
      </c>
      <c r="E5926" t="s">
        <v>18</v>
      </c>
      <c r="F5926" t="s">
        <v>19</v>
      </c>
      <c r="G5926" t="s">
        <v>20</v>
      </c>
      <c r="J5926" t="s">
        <v>17</v>
      </c>
      <c r="K5926" t="str">
        <f>"344809221"</f>
        <v>344809221</v>
      </c>
      <c r="L5926" t="str">
        <f>"344809221"</f>
        <v>344809221</v>
      </c>
      <c r="M5926" t="s">
        <v>75</v>
      </c>
      <c r="N5926" s="1">
        <v>42872.849305555559</v>
      </c>
      <c r="O5926" t="s">
        <v>19</v>
      </c>
    </row>
    <row r="5927" spans="1:15" x14ac:dyDescent="0.25">
      <c r="A5927" t="s">
        <v>4330</v>
      </c>
      <c r="B5927" t="s">
        <v>15</v>
      </c>
      <c r="C5927" t="s">
        <v>32</v>
      </c>
      <c r="D5927" t="s">
        <v>17</v>
      </c>
      <c r="E5927" t="s">
        <v>18</v>
      </c>
      <c r="F5927" t="s">
        <v>19</v>
      </c>
      <c r="G5927" t="s">
        <v>20</v>
      </c>
      <c r="J5927" t="s">
        <v>17</v>
      </c>
      <c r="K5927" t="str">
        <f>"765609221"</f>
        <v>765609221</v>
      </c>
      <c r="L5927" t="str">
        <f>"765609221"</f>
        <v>765609221</v>
      </c>
      <c r="M5927" t="s">
        <v>75</v>
      </c>
      <c r="N5927" s="1">
        <v>42872.849305555559</v>
      </c>
      <c r="O5927" t="s">
        <v>19</v>
      </c>
    </row>
    <row r="5928" spans="1:15" x14ac:dyDescent="0.25">
      <c r="A5928" t="s">
        <v>4331</v>
      </c>
      <c r="B5928" t="s">
        <v>15</v>
      </c>
      <c r="C5928" t="s">
        <v>32</v>
      </c>
      <c r="D5928" t="s">
        <v>17</v>
      </c>
      <c r="E5928" t="s">
        <v>18</v>
      </c>
      <c r="F5928" t="s">
        <v>19</v>
      </c>
      <c r="G5928" t="s">
        <v>20</v>
      </c>
      <c r="J5928" t="s">
        <v>17</v>
      </c>
      <c r="K5928" t="str">
        <f>"764309293"</f>
        <v>764309293</v>
      </c>
      <c r="L5928" t="str">
        <f>"764309293"</f>
        <v>764309293</v>
      </c>
      <c r="M5928" t="s">
        <v>75</v>
      </c>
      <c r="N5928" s="1">
        <v>43148.645833333336</v>
      </c>
      <c r="O5928" t="s">
        <v>19</v>
      </c>
    </row>
    <row r="5929" spans="1:15" x14ac:dyDescent="0.25">
      <c r="A5929" t="s">
        <v>4331</v>
      </c>
      <c r="B5929" t="s">
        <v>15</v>
      </c>
      <c r="C5929" t="s">
        <v>32</v>
      </c>
      <c r="D5929" t="s">
        <v>17</v>
      </c>
      <c r="E5929" t="s">
        <v>18</v>
      </c>
      <c r="F5929" t="s">
        <v>19</v>
      </c>
      <c r="G5929" t="s">
        <v>20</v>
      </c>
      <c r="J5929" t="s">
        <v>17</v>
      </c>
      <c r="K5929" t="str">
        <f>"1578147495625"</f>
        <v>1578147495625</v>
      </c>
      <c r="L5929" t="str">
        <f>"61390061"</f>
        <v>61390061</v>
      </c>
      <c r="M5929" t="s">
        <v>21</v>
      </c>
      <c r="N5929" s="1">
        <v>43834.595833333333</v>
      </c>
      <c r="O5929" t="s">
        <v>19</v>
      </c>
    </row>
    <row r="5930" spans="1:15" x14ac:dyDescent="0.25">
      <c r="A5930" t="s">
        <v>4332</v>
      </c>
      <c r="B5930" t="s">
        <v>15</v>
      </c>
      <c r="C5930" t="s">
        <v>32</v>
      </c>
      <c r="D5930" t="s">
        <v>17</v>
      </c>
      <c r="E5930" t="s">
        <v>18</v>
      </c>
      <c r="F5930" t="s">
        <v>19</v>
      </c>
      <c r="G5930" t="s">
        <v>20</v>
      </c>
      <c r="J5930" t="s">
        <v>17</v>
      </c>
      <c r="K5930" t="str">
        <f>"764009327"</f>
        <v>764009327</v>
      </c>
      <c r="L5930" t="str">
        <f>"764009327"</f>
        <v>764009327</v>
      </c>
      <c r="M5930" t="s">
        <v>84</v>
      </c>
      <c r="N5930" s="1">
        <v>43409.726388888892</v>
      </c>
      <c r="O5930" t="s">
        <v>19</v>
      </c>
    </row>
    <row r="5931" spans="1:15" x14ac:dyDescent="0.25">
      <c r="A5931" t="s">
        <v>4333</v>
      </c>
      <c r="B5931" t="s">
        <v>15</v>
      </c>
      <c r="C5931" t="s">
        <v>32</v>
      </c>
      <c r="D5931" t="s">
        <v>17</v>
      </c>
      <c r="E5931" t="s">
        <v>18</v>
      </c>
      <c r="F5931" t="s">
        <v>19</v>
      </c>
      <c r="G5931" t="s">
        <v>20</v>
      </c>
      <c r="J5931" t="s">
        <v>17</v>
      </c>
      <c r="K5931" t="str">
        <f>"1578146776913"</f>
        <v>1578146776913</v>
      </c>
      <c r="L5931" t="str">
        <f>"61390045"</f>
        <v>61390045</v>
      </c>
      <c r="M5931" t="s">
        <v>21</v>
      </c>
      <c r="N5931" s="1">
        <v>43834.587500000001</v>
      </c>
      <c r="O5931" t="s">
        <v>19</v>
      </c>
    </row>
    <row r="5932" spans="1:15" x14ac:dyDescent="0.25">
      <c r="A5932" t="s">
        <v>4334</v>
      </c>
      <c r="B5932" t="s">
        <v>15</v>
      </c>
      <c r="C5932" t="s">
        <v>32</v>
      </c>
      <c r="D5932" t="s">
        <v>17</v>
      </c>
      <c r="E5932" t="s">
        <v>18</v>
      </c>
      <c r="F5932" t="s">
        <v>19</v>
      </c>
      <c r="G5932" t="s">
        <v>20</v>
      </c>
      <c r="J5932" t="s">
        <v>17</v>
      </c>
      <c r="K5932" t="str">
        <f>"344809214"</f>
        <v>344809214</v>
      </c>
      <c r="L5932" t="str">
        <f>"344809214"</f>
        <v>344809214</v>
      </c>
      <c r="M5932" t="s">
        <v>75</v>
      </c>
      <c r="N5932" s="1">
        <v>42872.849305555559</v>
      </c>
      <c r="O5932" t="s">
        <v>19</v>
      </c>
    </row>
    <row r="5933" spans="1:15" x14ac:dyDescent="0.25">
      <c r="A5933" t="s">
        <v>4334</v>
      </c>
      <c r="B5933" t="s">
        <v>15</v>
      </c>
      <c r="C5933" t="s">
        <v>32</v>
      </c>
      <c r="D5933" t="s">
        <v>17</v>
      </c>
      <c r="E5933" t="s">
        <v>18</v>
      </c>
      <c r="F5933" t="s">
        <v>19</v>
      </c>
      <c r="G5933" t="s">
        <v>20</v>
      </c>
      <c r="J5933" t="s">
        <v>17</v>
      </c>
      <c r="K5933" t="str">
        <f>"687109214"</f>
        <v>687109214</v>
      </c>
      <c r="L5933" t="str">
        <f>"687109214"</f>
        <v>687109214</v>
      </c>
      <c r="M5933" t="s">
        <v>75</v>
      </c>
      <c r="N5933" s="1">
        <v>42872.849305555559</v>
      </c>
      <c r="O5933" t="s">
        <v>19</v>
      </c>
    </row>
    <row r="5934" spans="1:15" x14ac:dyDescent="0.25">
      <c r="A5934" t="s">
        <v>4334</v>
      </c>
      <c r="B5934" t="s">
        <v>15</v>
      </c>
      <c r="C5934" t="s">
        <v>32</v>
      </c>
      <c r="D5934" t="s">
        <v>17</v>
      </c>
      <c r="E5934" t="s">
        <v>18</v>
      </c>
      <c r="F5934" t="s">
        <v>19</v>
      </c>
      <c r="G5934" t="s">
        <v>20</v>
      </c>
      <c r="J5934" t="s">
        <v>17</v>
      </c>
      <c r="K5934" t="str">
        <f>"765809214"</f>
        <v>765809214</v>
      </c>
      <c r="L5934" t="str">
        <f>"765809214"</f>
        <v>765809214</v>
      </c>
      <c r="M5934" t="s">
        <v>75</v>
      </c>
      <c r="N5934" s="1">
        <v>42872.849305555559</v>
      </c>
      <c r="O5934" t="s">
        <v>19</v>
      </c>
    </row>
    <row r="5935" spans="1:15" x14ac:dyDescent="0.25">
      <c r="A5935" t="s">
        <v>4335</v>
      </c>
      <c r="B5935" t="s">
        <v>15</v>
      </c>
      <c r="C5935" t="s">
        <v>32</v>
      </c>
      <c r="D5935" t="s">
        <v>17</v>
      </c>
      <c r="E5935" t="s">
        <v>18</v>
      </c>
      <c r="F5935" t="s">
        <v>19</v>
      </c>
      <c r="G5935" t="s">
        <v>20</v>
      </c>
      <c r="J5935" t="s">
        <v>17</v>
      </c>
      <c r="K5935" t="str">
        <f>"344809213"</f>
        <v>344809213</v>
      </c>
      <c r="L5935" t="str">
        <f>"344809213"</f>
        <v>344809213</v>
      </c>
      <c r="M5935" t="s">
        <v>75</v>
      </c>
      <c r="N5935" s="1">
        <v>42872.849305555559</v>
      </c>
      <c r="O5935" t="s">
        <v>19</v>
      </c>
    </row>
    <row r="5936" spans="1:15" x14ac:dyDescent="0.25">
      <c r="A5936" t="s">
        <v>4336</v>
      </c>
      <c r="B5936" t="s">
        <v>15</v>
      </c>
      <c r="C5936" t="s">
        <v>32</v>
      </c>
      <c r="D5936" t="s">
        <v>17</v>
      </c>
      <c r="E5936" t="s">
        <v>18</v>
      </c>
      <c r="F5936" t="s">
        <v>19</v>
      </c>
      <c r="G5936" t="s">
        <v>20</v>
      </c>
      <c r="J5936" t="s">
        <v>17</v>
      </c>
      <c r="K5936" t="str">
        <f>"76680971"</f>
        <v>76680971</v>
      </c>
      <c r="L5936" t="str">
        <f>"76680971"</f>
        <v>76680971</v>
      </c>
      <c r="M5936" t="s">
        <v>75</v>
      </c>
      <c r="N5936" s="1">
        <v>42872.847222222219</v>
      </c>
      <c r="O5936" t="s">
        <v>19</v>
      </c>
    </row>
    <row r="5937" spans="1:15" x14ac:dyDescent="0.25">
      <c r="A5937" t="s">
        <v>4337</v>
      </c>
      <c r="B5937" t="s">
        <v>15</v>
      </c>
      <c r="C5937" t="s">
        <v>1607</v>
      </c>
      <c r="D5937" t="s">
        <v>17</v>
      </c>
      <c r="E5937" t="s">
        <v>18</v>
      </c>
      <c r="F5937" t="s">
        <v>19</v>
      </c>
      <c r="G5937" t="s">
        <v>20</v>
      </c>
      <c r="J5937" t="s">
        <v>17</v>
      </c>
      <c r="K5937" t="str">
        <f>"76560934"</f>
        <v>76560934</v>
      </c>
      <c r="L5937" t="str">
        <f>"76560934"</f>
        <v>76560934</v>
      </c>
      <c r="M5937" t="s">
        <v>75</v>
      </c>
      <c r="N5937" s="1">
        <v>42872.847222222219</v>
      </c>
      <c r="O5937" t="s">
        <v>19</v>
      </c>
    </row>
    <row r="5938" spans="1:15" x14ac:dyDescent="0.25">
      <c r="A5938" t="s">
        <v>4338</v>
      </c>
      <c r="B5938" t="s">
        <v>15</v>
      </c>
      <c r="C5938" t="s">
        <v>32</v>
      </c>
      <c r="D5938" t="s">
        <v>17</v>
      </c>
      <c r="E5938" t="s">
        <v>18</v>
      </c>
      <c r="F5938" t="s">
        <v>19</v>
      </c>
      <c r="G5938" t="s">
        <v>20</v>
      </c>
      <c r="J5938" t="s">
        <v>17</v>
      </c>
      <c r="K5938" t="str">
        <f>"766809107"</f>
        <v>766809107</v>
      </c>
      <c r="L5938" t="str">
        <f>"766809107"</f>
        <v>766809107</v>
      </c>
      <c r="M5938" t="s">
        <v>75</v>
      </c>
      <c r="N5938" s="1">
        <v>42872.849305555559</v>
      </c>
      <c r="O5938" t="s">
        <v>19</v>
      </c>
    </row>
    <row r="5939" spans="1:15" x14ac:dyDescent="0.25">
      <c r="A5939" t="s">
        <v>4339</v>
      </c>
      <c r="B5939" t="s">
        <v>15</v>
      </c>
      <c r="C5939" t="s">
        <v>32</v>
      </c>
      <c r="D5939" t="s">
        <v>17</v>
      </c>
      <c r="E5939" t="s">
        <v>18</v>
      </c>
      <c r="F5939" t="s">
        <v>19</v>
      </c>
      <c r="G5939" t="s">
        <v>20</v>
      </c>
      <c r="J5939" t="s">
        <v>17</v>
      </c>
      <c r="K5939" t="str">
        <f>"764809235"</f>
        <v>764809235</v>
      </c>
      <c r="L5939" t="str">
        <f>"764809235"</f>
        <v>764809235</v>
      </c>
      <c r="M5939" t="s">
        <v>75</v>
      </c>
      <c r="N5939" s="1">
        <v>42872.849305555559</v>
      </c>
      <c r="O5939" t="s">
        <v>19</v>
      </c>
    </row>
    <row r="5940" spans="1:15" x14ac:dyDescent="0.25">
      <c r="A5940" t="s">
        <v>4340</v>
      </c>
      <c r="B5940" t="s">
        <v>15</v>
      </c>
      <c r="C5940" t="s">
        <v>32</v>
      </c>
      <c r="D5940" t="s">
        <v>17</v>
      </c>
      <c r="E5940" t="s">
        <v>18</v>
      </c>
      <c r="F5940" t="s">
        <v>19</v>
      </c>
      <c r="G5940" t="s">
        <v>20</v>
      </c>
      <c r="J5940" t="s">
        <v>17</v>
      </c>
      <c r="K5940" t="str">
        <f>"174709292"</f>
        <v>174709292</v>
      </c>
      <c r="L5940" t="str">
        <f>"174709292"</f>
        <v>174709292</v>
      </c>
      <c r="M5940" t="s">
        <v>75</v>
      </c>
      <c r="N5940" s="1">
        <v>43150.631944444445</v>
      </c>
      <c r="O5940" t="s">
        <v>19</v>
      </c>
    </row>
    <row r="5941" spans="1:15" x14ac:dyDescent="0.25">
      <c r="A5941" t="s">
        <v>4340</v>
      </c>
      <c r="B5941" t="s">
        <v>15</v>
      </c>
      <c r="C5941" t="s">
        <v>32</v>
      </c>
      <c r="D5941" t="s">
        <v>17</v>
      </c>
      <c r="E5941" t="s">
        <v>18</v>
      </c>
      <c r="F5941" t="s">
        <v>19</v>
      </c>
      <c r="G5941" t="s">
        <v>20</v>
      </c>
      <c r="J5941" t="s">
        <v>17</v>
      </c>
      <c r="K5941" t="str">
        <f>"677909292"</f>
        <v>677909292</v>
      </c>
      <c r="L5941" t="str">
        <f>"677909292"</f>
        <v>677909292</v>
      </c>
      <c r="M5941" t="s">
        <v>84</v>
      </c>
      <c r="N5941" s="1">
        <v>43502.658333333333</v>
      </c>
      <c r="O5941" t="s">
        <v>19</v>
      </c>
    </row>
    <row r="5942" spans="1:15" x14ac:dyDescent="0.25">
      <c r="A5942" t="s">
        <v>4340</v>
      </c>
      <c r="B5942" t="s">
        <v>15</v>
      </c>
      <c r="C5942" t="s">
        <v>32</v>
      </c>
      <c r="D5942" t="s">
        <v>17</v>
      </c>
      <c r="E5942" t="s">
        <v>18</v>
      </c>
      <c r="F5942" t="s">
        <v>19</v>
      </c>
      <c r="G5942" t="s">
        <v>20</v>
      </c>
      <c r="J5942" t="s">
        <v>17</v>
      </c>
      <c r="K5942" t="str">
        <f>"324009292"</f>
        <v>324009292</v>
      </c>
      <c r="L5942" t="str">
        <f>"324009292"</f>
        <v>324009292</v>
      </c>
      <c r="M5942" t="s">
        <v>84</v>
      </c>
      <c r="N5942" s="1">
        <v>43502.782638888886</v>
      </c>
      <c r="O5942" t="s">
        <v>19</v>
      </c>
    </row>
    <row r="5943" spans="1:15" x14ac:dyDescent="0.25">
      <c r="A5943" t="s">
        <v>4341</v>
      </c>
      <c r="B5943" t="s">
        <v>15</v>
      </c>
      <c r="C5943" t="s">
        <v>32</v>
      </c>
      <c r="D5943" t="s">
        <v>17</v>
      </c>
      <c r="E5943" t="s">
        <v>18</v>
      </c>
      <c r="F5943" t="s">
        <v>19</v>
      </c>
      <c r="G5943" t="s">
        <v>20</v>
      </c>
      <c r="J5943" t="s">
        <v>17</v>
      </c>
      <c r="K5943" t="str">
        <f>"174710297"</f>
        <v>174710297</v>
      </c>
      <c r="L5943" t="str">
        <f>"174710297"</f>
        <v>174710297</v>
      </c>
      <c r="M5943" t="s">
        <v>75</v>
      </c>
      <c r="N5943" s="1">
        <v>43133.671527777777</v>
      </c>
      <c r="O5943" t="s">
        <v>19</v>
      </c>
    </row>
    <row r="5944" spans="1:15" x14ac:dyDescent="0.25">
      <c r="A5944" t="s">
        <v>4341</v>
      </c>
      <c r="B5944" t="s">
        <v>15</v>
      </c>
      <c r="C5944" t="s">
        <v>32</v>
      </c>
      <c r="D5944" t="s">
        <v>17</v>
      </c>
      <c r="E5944" t="s">
        <v>18</v>
      </c>
      <c r="F5944" t="s">
        <v>19</v>
      </c>
      <c r="G5944" t="s">
        <v>20</v>
      </c>
      <c r="J5944" t="s">
        <v>17</v>
      </c>
      <c r="K5944" t="str">
        <f>"764010297"</f>
        <v>764010297</v>
      </c>
      <c r="L5944" t="str">
        <f>"764010297"</f>
        <v>764010297</v>
      </c>
      <c r="M5944" t="s">
        <v>84</v>
      </c>
      <c r="N5944" s="1">
        <v>43409.729861111111</v>
      </c>
      <c r="O5944" t="s">
        <v>19</v>
      </c>
    </row>
    <row r="5945" spans="1:15" x14ac:dyDescent="0.25">
      <c r="A5945" t="s">
        <v>4342</v>
      </c>
      <c r="B5945" t="s">
        <v>15</v>
      </c>
      <c r="C5945" t="s">
        <v>32</v>
      </c>
      <c r="D5945" t="s">
        <v>17</v>
      </c>
      <c r="E5945" t="s">
        <v>18</v>
      </c>
      <c r="F5945" t="s">
        <v>19</v>
      </c>
      <c r="G5945" t="s">
        <v>20</v>
      </c>
      <c r="J5945" t="s">
        <v>17</v>
      </c>
      <c r="K5945" t="str">
        <f>"767710301"</f>
        <v>767710301</v>
      </c>
      <c r="L5945" t="str">
        <f>"767710301"</f>
        <v>767710301</v>
      </c>
      <c r="M5945" t="s">
        <v>75</v>
      </c>
      <c r="N5945" s="1">
        <v>42987.904166666667</v>
      </c>
      <c r="O5945" t="s">
        <v>19</v>
      </c>
    </row>
    <row r="5946" spans="1:15" x14ac:dyDescent="0.25">
      <c r="A5946" t="s">
        <v>4342</v>
      </c>
      <c r="B5946" t="s">
        <v>15</v>
      </c>
      <c r="C5946" t="s">
        <v>32</v>
      </c>
      <c r="D5946" t="s">
        <v>17</v>
      </c>
      <c r="E5946" t="s">
        <v>18</v>
      </c>
      <c r="F5946" t="s">
        <v>19</v>
      </c>
      <c r="G5946" t="s">
        <v>20</v>
      </c>
      <c r="J5946" t="s">
        <v>17</v>
      </c>
      <c r="K5946" t="str">
        <f>"764010301"</f>
        <v>764010301</v>
      </c>
      <c r="L5946" t="str">
        <f>"764010301"</f>
        <v>764010301</v>
      </c>
      <c r="M5946" t="s">
        <v>84</v>
      </c>
      <c r="N5946" s="1">
        <v>43409.730555555558</v>
      </c>
      <c r="O5946" t="s">
        <v>19</v>
      </c>
    </row>
    <row r="5947" spans="1:15" x14ac:dyDescent="0.25">
      <c r="A5947" t="s">
        <v>4343</v>
      </c>
      <c r="B5947" t="s">
        <v>15</v>
      </c>
      <c r="C5947" t="s">
        <v>32</v>
      </c>
      <c r="D5947" t="s">
        <v>17</v>
      </c>
      <c r="E5947" t="s">
        <v>18</v>
      </c>
      <c r="F5947" t="s">
        <v>19</v>
      </c>
      <c r="G5947" t="s">
        <v>20</v>
      </c>
      <c r="J5947" t="s">
        <v>17</v>
      </c>
      <c r="K5947" t="str">
        <f>"17561019"</f>
        <v>17561019</v>
      </c>
      <c r="L5947" t="str">
        <f>"17561019"</f>
        <v>17561019</v>
      </c>
      <c r="M5947" t="s">
        <v>75</v>
      </c>
      <c r="N5947" s="1">
        <v>42984.901388888888</v>
      </c>
      <c r="O5947" t="s">
        <v>19</v>
      </c>
    </row>
    <row r="5948" spans="1:15" x14ac:dyDescent="0.25">
      <c r="A5948" t="s">
        <v>4344</v>
      </c>
      <c r="B5948" t="s">
        <v>15</v>
      </c>
      <c r="C5948" t="s">
        <v>32</v>
      </c>
      <c r="D5948" t="s">
        <v>17</v>
      </c>
      <c r="E5948" t="s">
        <v>18</v>
      </c>
      <c r="F5948" t="s">
        <v>19</v>
      </c>
      <c r="G5948" t="s">
        <v>20</v>
      </c>
      <c r="J5948" t="s">
        <v>17</v>
      </c>
      <c r="K5948" t="str">
        <f>"767710304"</f>
        <v>767710304</v>
      </c>
      <c r="L5948" t="str">
        <f>"767710304"</f>
        <v>767710304</v>
      </c>
      <c r="M5948" t="s">
        <v>75</v>
      </c>
      <c r="N5948" s="1">
        <v>42987.902777777781</v>
      </c>
      <c r="O5948" t="s">
        <v>19</v>
      </c>
    </row>
    <row r="5949" spans="1:15" x14ac:dyDescent="0.25">
      <c r="A5949" t="s">
        <v>4344</v>
      </c>
      <c r="B5949" t="s">
        <v>15</v>
      </c>
      <c r="C5949" t="s">
        <v>32</v>
      </c>
      <c r="D5949" t="s">
        <v>17</v>
      </c>
      <c r="E5949" t="s">
        <v>18</v>
      </c>
      <c r="F5949" t="s">
        <v>19</v>
      </c>
      <c r="G5949" t="s">
        <v>20</v>
      </c>
      <c r="J5949" t="s">
        <v>17</v>
      </c>
      <c r="K5949" t="str">
        <f>"764810304"</f>
        <v>764810304</v>
      </c>
      <c r="L5949" t="str">
        <f>"764810304"</f>
        <v>764810304</v>
      </c>
      <c r="M5949" t="s">
        <v>75</v>
      </c>
      <c r="N5949" s="1">
        <v>43174.838888888888</v>
      </c>
      <c r="O5949" t="s">
        <v>19</v>
      </c>
    </row>
    <row r="5950" spans="1:15" x14ac:dyDescent="0.25">
      <c r="A5950" t="s">
        <v>4344</v>
      </c>
      <c r="B5950" t="s">
        <v>15</v>
      </c>
      <c r="C5950" t="s">
        <v>32</v>
      </c>
      <c r="D5950" t="s">
        <v>17</v>
      </c>
      <c r="E5950" t="s">
        <v>18</v>
      </c>
      <c r="F5950" t="s">
        <v>19</v>
      </c>
      <c r="G5950" t="s">
        <v>20</v>
      </c>
      <c r="J5950" t="s">
        <v>17</v>
      </c>
      <c r="K5950" t="str">
        <f>"764010304"</f>
        <v>764010304</v>
      </c>
      <c r="L5950" t="str">
        <f>"764010304"</f>
        <v>764010304</v>
      </c>
      <c r="M5950" t="s">
        <v>84</v>
      </c>
      <c r="N5950" s="1">
        <v>43251.888194444444</v>
      </c>
      <c r="O5950" t="s">
        <v>19</v>
      </c>
    </row>
    <row r="5951" spans="1:15" x14ac:dyDescent="0.25">
      <c r="A5951" t="s">
        <v>4345</v>
      </c>
      <c r="B5951" t="s">
        <v>15</v>
      </c>
      <c r="C5951" t="s">
        <v>32</v>
      </c>
      <c r="D5951" t="s">
        <v>17</v>
      </c>
      <c r="E5951" t="s">
        <v>18</v>
      </c>
      <c r="F5951" t="s">
        <v>19</v>
      </c>
      <c r="G5951" t="s">
        <v>20</v>
      </c>
      <c r="J5951" t="s">
        <v>17</v>
      </c>
      <c r="K5951" t="str">
        <f>"764010309"</f>
        <v>764010309</v>
      </c>
      <c r="L5951" t="str">
        <f>"764010309"</f>
        <v>764010309</v>
      </c>
      <c r="M5951" t="s">
        <v>84</v>
      </c>
      <c r="N5951" s="1">
        <v>43251.887499999997</v>
      </c>
      <c r="O5951" t="s">
        <v>19</v>
      </c>
    </row>
    <row r="5952" spans="1:15" x14ac:dyDescent="0.25">
      <c r="A5952" t="s">
        <v>4346</v>
      </c>
      <c r="B5952" t="s">
        <v>15</v>
      </c>
      <c r="C5952" t="s">
        <v>32</v>
      </c>
      <c r="D5952" t="s">
        <v>17</v>
      </c>
      <c r="E5952" t="s">
        <v>18</v>
      </c>
      <c r="F5952" t="s">
        <v>19</v>
      </c>
      <c r="G5952" t="s">
        <v>20</v>
      </c>
      <c r="J5952" t="s">
        <v>17</v>
      </c>
      <c r="K5952" t="str">
        <f>"1578147202525"</f>
        <v>1578147202525</v>
      </c>
      <c r="L5952" t="str">
        <f>"61390093"</f>
        <v>61390093</v>
      </c>
      <c r="M5952" t="s">
        <v>21</v>
      </c>
      <c r="N5952" s="1">
        <v>43834.592361111114</v>
      </c>
      <c r="O5952" t="s">
        <v>19</v>
      </c>
    </row>
    <row r="5953" spans="1:15" x14ac:dyDescent="0.25">
      <c r="A5953" t="s">
        <v>4346</v>
      </c>
      <c r="B5953" t="s">
        <v>15</v>
      </c>
      <c r="C5953" t="s">
        <v>32</v>
      </c>
      <c r="D5953" t="s">
        <v>17</v>
      </c>
      <c r="E5953" t="s">
        <v>18</v>
      </c>
      <c r="F5953" t="s">
        <v>19</v>
      </c>
      <c r="G5953" t="s">
        <v>20</v>
      </c>
      <c r="J5953" t="s">
        <v>17</v>
      </c>
      <c r="K5953" t="str">
        <f>"674810318"</f>
        <v>674810318</v>
      </c>
      <c r="L5953" t="str">
        <f>"674810318"</f>
        <v>674810318</v>
      </c>
      <c r="M5953" t="s">
        <v>21</v>
      </c>
      <c r="N5953" s="1">
        <v>43873.77847222222</v>
      </c>
      <c r="O5953" t="s">
        <v>19</v>
      </c>
    </row>
    <row r="5954" spans="1:15" x14ac:dyDescent="0.25">
      <c r="A5954" t="s">
        <v>4347</v>
      </c>
      <c r="B5954" t="s">
        <v>15</v>
      </c>
      <c r="C5954" t="s">
        <v>32</v>
      </c>
      <c r="D5954" t="s">
        <v>17</v>
      </c>
      <c r="E5954" t="s">
        <v>18</v>
      </c>
      <c r="F5954" t="s">
        <v>19</v>
      </c>
      <c r="G5954" t="s">
        <v>20</v>
      </c>
      <c r="J5954" t="s">
        <v>17</v>
      </c>
      <c r="K5954" t="str">
        <f>"68711059"</f>
        <v>68711059</v>
      </c>
      <c r="L5954" t="str">
        <f>"68711059"</f>
        <v>68711059</v>
      </c>
      <c r="M5954" t="s">
        <v>75</v>
      </c>
      <c r="N5954" s="1">
        <v>42872.847222222219</v>
      </c>
      <c r="O5954" t="s">
        <v>19</v>
      </c>
    </row>
    <row r="5955" spans="1:15" x14ac:dyDescent="0.25">
      <c r="A5955" t="s">
        <v>4348</v>
      </c>
      <c r="B5955" t="s">
        <v>15</v>
      </c>
      <c r="C5955" t="s">
        <v>32</v>
      </c>
      <c r="D5955" t="s">
        <v>17</v>
      </c>
      <c r="E5955" t="s">
        <v>18</v>
      </c>
      <c r="F5955" t="s">
        <v>19</v>
      </c>
      <c r="G5955" t="s">
        <v>20</v>
      </c>
      <c r="J5955" t="s">
        <v>17</v>
      </c>
      <c r="K5955" t="str">
        <f>"68711062"</f>
        <v>68711062</v>
      </c>
      <c r="L5955" t="str">
        <f>"68711062"</f>
        <v>68711062</v>
      </c>
      <c r="M5955" t="s">
        <v>75</v>
      </c>
      <c r="N5955" s="1">
        <v>42872.847222222219</v>
      </c>
      <c r="O5955" t="s">
        <v>19</v>
      </c>
    </row>
    <row r="5956" spans="1:15" x14ac:dyDescent="0.25">
      <c r="A5956" t="s">
        <v>4348</v>
      </c>
      <c r="B5956" t="s">
        <v>15</v>
      </c>
      <c r="C5956" t="s">
        <v>1607</v>
      </c>
      <c r="D5956" t="s">
        <v>17</v>
      </c>
      <c r="E5956" t="s">
        <v>18</v>
      </c>
      <c r="F5956" t="s">
        <v>19</v>
      </c>
      <c r="G5956" t="s">
        <v>20</v>
      </c>
      <c r="J5956" t="s">
        <v>17</v>
      </c>
      <c r="K5956" t="str">
        <f>"76261062"</f>
        <v>76261062</v>
      </c>
      <c r="L5956" t="str">
        <f>"76261062"</f>
        <v>76261062</v>
      </c>
      <c r="M5956" t="s">
        <v>75</v>
      </c>
      <c r="N5956" s="1">
        <v>42872.847222222219</v>
      </c>
      <c r="O5956" t="s">
        <v>19</v>
      </c>
    </row>
    <row r="5957" spans="1:15" x14ac:dyDescent="0.25">
      <c r="A5957" t="s">
        <v>4348</v>
      </c>
      <c r="B5957" t="s">
        <v>15</v>
      </c>
      <c r="C5957" t="s">
        <v>1607</v>
      </c>
      <c r="D5957" t="s">
        <v>17</v>
      </c>
      <c r="E5957" t="s">
        <v>18</v>
      </c>
      <c r="F5957" t="s">
        <v>19</v>
      </c>
      <c r="G5957" t="s">
        <v>20</v>
      </c>
      <c r="J5957" t="s">
        <v>17</v>
      </c>
      <c r="K5957" t="str">
        <f>"76561062"</f>
        <v>76561062</v>
      </c>
      <c r="L5957" t="str">
        <f>"76561062"</f>
        <v>76561062</v>
      </c>
      <c r="M5957" t="s">
        <v>75</v>
      </c>
      <c r="N5957" s="1">
        <v>42872.847222222219</v>
      </c>
      <c r="O5957" t="s">
        <v>19</v>
      </c>
    </row>
    <row r="5958" spans="1:15" x14ac:dyDescent="0.25">
      <c r="A5958" t="s">
        <v>4348</v>
      </c>
      <c r="B5958" t="s">
        <v>15</v>
      </c>
      <c r="C5958" t="s">
        <v>1607</v>
      </c>
      <c r="D5958" t="s">
        <v>17</v>
      </c>
      <c r="E5958" t="s">
        <v>18</v>
      </c>
      <c r="F5958" t="s">
        <v>19</v>
      </c>
      <c r="G5958" t="s">
        <v>20</v>
      </c>
      <c r="J5958" t="s">
        <v>17</v>
      </c>
      <c r="K5958" t="str">
        <f>"76566262"</f>
        <v>76566262</v>
      </c>
      <c r="L5958" t="str">
        <f>"76566262"</f>
        <v>76566262</v>
      </c>
      <c r="M5958" t="s">
        <v>75</v>
      </c>
      <c r="N5958" s="1">
        <v>42872.847222222219</v>
      </c>
      <c r="O5958" t="s">
        <v>19</v>
      </c>
    </row>
    <row r="5959" spans="1:15" x14ac:dyDescent="0.25">
      <c r="A5959" t="s">
        <v>4349</v>
      </c>
      <c r="B5959" t="s">
        <v>15</v>
      </c>
      <c r="C5959" t="s">
        <v>32</v>
      </c>
      <c r="D5959" t="s">
        <v>17</v>
      </c>
      <c r="E5959" t="s">
        <v>18</v>
      </c>
      <c r="F5959" t="s">
        <v>19</v>
      </c>
      <c r="G5959" t="s">
        <v>20</v>
      </c>
      <c r="J5959" t="s">
        <v>17</v>
      </c>
      <c r="K5959" t="str">
        <f>"765610231"</f>
        <v>765610231</v>
      </c>
      <c r="L5959" t="str">
        <f>"765610231"</f>
        <v>765610231</v>
      </c>
      <c r="M5959" t="s">
        <v>75</v>
      </c>
      <c r="N5959" s="1">
        <v>42872.849305555559</v>
      </c>
      <c r="O5959" t="s">
        <v>19</v>
      </c>
    </row>
    <row r="5960" spans="1:15" x14ac:dyDescent="0.25">
      <c r="A5960" t="s">
        <v>4350</v>
      </c>
      <c r="B5960" t="s">
        <v>15</v>
      </c>
      <c r="C5960" t="s">
        <v>32</v>
      </c>
      <c r="D5960" t="s">
        <v>17</v>
      </c>
      <c r="E5960" t="s">
        <v>18</v>
      </c>
      <c r="F5960" t="s">
        <v>19</v>
      </c>
      <c r="G5960" t="s">
        <v>20</v>
      </c>
      <c r="J5960" t="s">
        <v>17</v>
      </c>
      <c r="K5960" t="str">
        <f>"178610268"</f>
        <v>178610268</v>
      </c>
      <c r="L5960" t="str">
        <f>"178610268"</f>
        <v>178610268</v>
      </c>
      <c r="M5960" t="s">
        <v>75</v>
      </c>
      <c r="N5960" s="1">
        <v>42872.849305555559</v>
      </c>
      <c r="O5960" t="s">
        <v>19</v>
      </c>
    </row>
    <row r="5961" spans="1:15" x14ac:dyDescent="0.25">
      <c r="A5961" t="s">
        <v>4351</v>
      </c>
      <c r="B5961" t="s">
        <v>15</v>
      </c>
      <c r="C5961" t="s">
        <v>32</v>
      </c>
      <c r="D5961" t="s">
        <v>17</v>
      </c>
      <c r="E5961" t="s">
        <v>18</v>
      </c>
      <c r="F5961" t="s">
        <v>19</v>
      </c>
      <c r="G5961" t="s">
        <v>20</v>
      </c>
      <c r="J5961" t="s">
        <v>17</v>
      </c>
      <c r="K5961" t="str">
        <f>"764810234"</f>
        <v>764810234</v>
      </c>
      <c r="L5961" t="str">
        <f>"764810234"</f>
        <v>764810234</v>
      </c>
      <c r="M5961" t="s">
        <v>75</v>
      </c>
      <c r="N5961" s="1">
        <v>42872.849305555559</v>
      </c>
      <c r="O5961" t="s">
        <v>19</v>
      </c>
    </row>
    <row r="5962" spans="1:15" x14ac:dyDescent="0.25">
      <c r="A5962" t="s">
        <v>4352</v>
      </c>
      <c r="B5962" t="s">
        <v>15</v>
      </c>
      <c r="C5962" t="s">
        <v>32</v>
      </c>
      <c r="D5962" t="s">
        <v>17</v>
      </c>
      <c r="E5962" t="s">
        <v>18</v>
      </c>
      <c r="F5962" t="s">
        <v>19</v>
      </c>
      <c r="G5962" t="s">
        <v>20</v>
      </c>
      <c r="J5962" t="s">
        <v>17</v>
      </c>
      <c r="K5962" t="str">
        <f>"174010295"</f>
        <v>174010295</v>
      </c>
      <c r="L5962" t="str">
        <f>"174010295"</f>
        <v>174010295</v>
      </c>
      <c r="M5962" t="s">
        <v>84</v>
      </c>
      <c r="N5962" s="1">
        <v>43308.884722222225</v>
      </c>
      <c r="O5962" t="s">
        <v>19</v>
      </c>
    </row>
    <row r="5963" spans="1:15" x14ac:dyDescent="0.25">
      <c r="A5963" t="s">
        <v>4353</v>
      </c>
      <c r="B5963" t="s">
        <v>15</v>
      </c>
      <c r="C5963" t="s">
        <v>32</v>
      </c>
      <c r="D5963" t="s">
        <v>17</v>
      </c>
      <c r="E5963" t="s">
        <v>18</v>
      </c>
      <c r="F5963" t="s">
        <v>19</v>
      </c>
      <c r="G5963" t="s">
        <v>20</v>
      </c>
      <c r="J5963" t="s">
        <v>17</v>
      </c>
      <c r="K5963" t="str">
        <f>"764810299"</f>
        <v>764810299</v>
      </c>
      <c r="L5963" t="str">
        <f>"764810299"</f>
        <v>764810299</v>
      </c>
      <c r="M5963" t="s">
        <v>75</v>
      </c>
      <c r="N5963" s="1">
        <v>43174.838194444441</v>
      </c>
      <c r="O5963" t="s">
        <v>19</v>
      </c>
    </row>
    <row r="5964" spans="1:15" x14ac:dyDescent="0.25">
      <c r="A5964" t="s">
        <v>4353</v>
      </c>
      <c r="B5964" t="s">
        <v>15</v>
      </c>
      <c r="C5964" t="s">
        <v>32</v>
      </c>
      <c r="D5964" t="s">
        <v>17</v>
      </c>
      <c r="E5964" t="s">
        <v>18</v>
      </c>
      <c r="F5964" t="s">
        <v>19</v>
      </c>
      <c r="G5964" t="s">
        <v>20</v>
      </c>
      <c r="J5964" t="s">
        <v>17</v>
      </c>
      <c r="K5964" t="str">
        <f>"764010299"</f>
        <v>764010299</v>
      </c>
      <c r="L5964" t="str">
        <f>"764010299"</f>
        <v>764010299</v>
      </c>
      <c r="M5964" t="s">
        <v>75</v>
      </c>
      <c r="N5964" s="1">
        <v>43196.836111111108</v>
      </c>
      <c r="O5964" t="s">
        <v>19</v>
      </c>
    </row>
    <row r="5965" spans="1:15" x14ac:dyDescent="0.25">
      <c r="A5965" t="s">
        <v>4354</v>
      </c>
      <c r="B5965" t="s">
        <v>15</v>
      </c>
      <c r="C5965" t="s">
        <v>32</v>
      </c>
      <c r="D5965" t="s">
        <v>17</v>
      </c>
      <c r="E5965" t="s">
        <v>18</v>
      </c>
      <c r="F5965" t="s">
        <v>19</v>
      </c>
      <c r="G5965" t="s">
        <v>20</v>
      </c>
      <c r="J5965" t="s">
        <v>17</v>
      </c>
      <c r="K5965" t="str">
        <f>"764010298"</f>
        <v>764010298</v>
      </c>
      <c r="L5965" t="str">
        <f>"764010298"</f>
        <v>764010298</v>
      </c>
      <c r="M5965" t="s">
        <v>75</v>
      </c>
      <c r="N5965" s="1">
        <v>43196.836111111108</v>
      </c>
      <c r="O5965" t="s">
        <v>19</v>
      </c>
    </row>
    <row r="5966" spans="1:15" x14ac:dyDescent="0.25">
      <c r="A5966" t="s">
        <v>4355</v>
      </c>
      <c r="B5966" t="s">
        <v>15</v>
      </c>
      <c r="C5966" t="s">
        <v>32</v>
      </c>
      <c r="D5966" t="s">
        <v>17</v>
      </c>
      <c r="E5966" t="s">
        <v>18</v>
      </c>
      <c r="F5966" t="s">
        <v>19</v>
      </c>
      <c r="G5966" t="s">
        <v>20</v>
      </c>
      <c r="J5966" t="s">
        <v>17</v>
      </c>
      <c r="K5966" t="str">
        <f>"764010308"</f>
        <v>764010308</v>
      </c>
      <c r="L5966" t="str">
        <f>"764010308"</f>
        <v>764010308</v>
      </c>
      <c r="M5966" t="s">
        <v>84</v>
      </c>
      <c r="N5966" s="1">
        <v>43307.720833333333</v>
      </c>
      <c r="O5966" t="s">
        <v>19</v>
      </c>
    </row>
    <row r="5967" spans="1:15" x14ac:dyDescent="0.25">
      <c r="A5967" t="s">
        <v>4356</v>
      </c>
      <c r="B5967" t="s">
        <v>15</v>
      </c>
      <c r="C5967" t="s">
        <v>32</v>
      </c>
      <c r="D5967" t="s">
        <v>17</v>
      </c>
      <c r="E5967" t="s">
        <v>18</v>
      </c>
      <c r="F5967" t="s">
        <v>19</v>
      </c>
      <c r="G5967" t="s">
        <v>20</v>
      </c>
      <c r="J5967" t="s">
        <v>17</v>
      </c>
      <c r="K5967" t="str">
        <f>"764010312"</f>
        <v>764010312</v>
      </c>
      <c r="L5967" t="str">
        <f>"764010312"</f>
        <v>764010312</v>
      </c>
      <c r="M5967" t="s">
        <v>84</v>
      </c>
      <c r="N5967" s="1">
        <v>43409.645833333336</v>
      </c>
      <c r="O5967" t="s">
        <v>19</v>
      </c>
    </row>
    <row r="5968" spans="1:15" x14ac:dyDescent="0.25">
      <c r="A5968" t="s">
        <v>4356</v>
      </c>
      <c r="B5968" t="s">
        <v>15</v>
      </c>
      <c r="C5968" t="s">
        <v>32</v>
      </c>
      <c r="D5968" t="s">
        <v>17</v>
      </c>
      <c r="E5968" t="s">
        <v>18</v>
      </c>
      <c r="F5968" t="s">
        <v>19</v>
      </c>
      <c r="G5968" t="s">
        <v>20</v>
      </c>
      <c r="J5968" t="s">
        <v>17</v>
      </c>
      <c r="K5968" t="str">
        <f>"677910312"</f>
        <v>677910312</v>
      </c>
      <c r="L5968" t="str">
        <f>"677910312"</f>
        <v>677910312</v>
      </c>
      <c r="M5968" t="s">
        <v>84</v>
      </c>
      <c r="N5968" s="1">
        <v>43502.65902777778</v>
      </c>
      <c r="O5968" t="s">
        <v>19</v>
      </c>
    </row>
    <row r="5969" spans="1:15" x14ac:dyDescent="0.25">
      <c r="A5969" t="s">
        <v>4357</v>
      </c>
      <c r="B5969" t="s">
        <v>15</v>
      </c>
      <c r="C5969" t="s">
        <v>32</v>
      </c>
      <c r="D5969" t="s">
        <v>17</v>
      </c>
      <c r="E5969" t="s">
        <v>18</v>
      </c>
      <c r="F5969" t="s">
        <v>19</v>
      </c>
      <c r="G5969" t="s">
        <v>20</v>
      </c>
      <c r="J5969" t="s">
        <v>17</v>
      </c>
      <c r="K5969" t="str">
        <f>"674810320"</f>
        <v>674810320</v>
      </c>
      <c r="L5969" t="str">
        <f>"674810320"</f>
        <v>674810320</v>
      </c>
      <c r="M5969" t="s">
        <v>21</v>
      </c>
      <c r="N5969" s="1">
        <v>43873.776388888888</v>
      </c>
      <c r="O5969" t="s">
        <v>19</v>
      </c>
    </row>
    <row r="5970" spans="1:15" x14ac:dyDescent="0.25">
      <c r="A5970" t="s">
        <v>4358</v>
      </c>
      <c r="B5970" t="s">
        <v>15</v>
      </c>
      <c r="C5970" t="s">
        <v>32</v>
      </c>
      <c r="D5970" t="s">
        <v>17</v>
      </c>
      <c r="E5970" t="s">
        <v>18</v>
      </c>
      <c r="F5970" t="s">
        <v>19</v>
      </c>
      <c r="G5970" t="s">
        <v>20</v>
      </c>
      <c r="J5970" t="s">
        <v>17</v>
      </c>
      <c r="K5970" t="str">
        <f>"1578146016531"</f>
        <v>1578146016531</v>
      </c>
      <c r="L5970" t="str">
        <f>"61390047"</f>
        <v>61390047</v>
      </c>
      <c r="M5970" t="s">
        <v>21</v>
      </c>
      <c r="N5970" s="1">
        <v>43834.578472222223</v>
      </c>
      <c r="O5970" t="s">
        <v>19</v>
      </c>
    </row>
    <row r="5971" spans="1:15" x14ac:dyDescent="0.25">
      <c r="A5971" t="s">
        <v>4359</v>
      </c>
      <c r="B5971" t="s">
        <v>15</v>
      </c>
      <c r="C5971" t="s">
        <v>27</v>
      </c>
      <c r="D5971" t="s">
        <v>17</v>
      </c>
      <c r="E5971" t="s">
        <v>18</v>
      </c>
      <c r="F5971" t="s">
        <v>19</v>
      </c>
      <c r="G5971" t="s">
        <v>20</v>
      </c>
      <c r="J5971" t="s">
        <v>17</v>
      </c>
      <c r="K5971" t="str">
        <f>"110761224"</f>
        <v>110761224</v>
      </c>
      <c r="L5971" t="str">
        <f>"110761224"</f>
        <v>110761224</v>
      </c>
      <c r="M5971" t="s">
        <v>75</v>
      </c>
      <c r="N5971" s="1">
        <v>42872.847222222219</v>
      </c>
      <c r="O5971" t="s">
        <v>19</v>
      </c>
    </row>
    <row r="5972" spans="1:15" x14ac:dyDescent="0.25">
      <c r="A5972" t="s">
        <v>4360</v>
      </c>
      <c r="B5972" t="s">
        <v>15</v>
      </c>
      <c r="C5972" t="s">
        <v>32</v>
      </c>
      <c r="D5972" t="s">
        <v>17</v>
      </c>
      <c r="E5972" t="s">
        <v>18</v>
      </c>
      <c r="F5972" t="s">
        <v>19</v>
      </c>
      <c r="G5972" t="s">
        <v>20</v>
      </c>
      <c r="J5972" t="s">
        <v>17</v>
      </c>
      <c r="K5972" t="str">
        <f>"1578146968078"</f>
        <v>1578146968078</v>
      </c>
      <c r="L5972" t="str">
        <f>"61390075"</f>
        <v>61390075</v>
      </c>
      <c r="M5972" t="s">
        <v>21</v>
      </c>
      <c r="N5972" s="1">
        <v>43834.589583333334</v>
      </c>
      <c r="O5972" t="s">
        <v>19</v>
      </c>
    </row>
    <row r="5973" spans="1:15" x14ac:dyDescent="0.25">
      <c r="A5973" t="s">
        <v>4361</v>
      </c>
      <c r="B5973" t="s">
        <v>15</v>
      </c>
      <c r="C5973" t="s">
        <v>1607</v>
      </c>
      <c r="D5973" t="s">
        <v>17</v>
      </c>
      <c r="E5973" t="s">
        <v>18</v>
      </c>
      <c r="F5973" t="s">
        <v>19</v>
      </c>
      <c r="G5973" t="s">
        <v>20</v>
      </c>
      <c r="J5973" t="s">
        <v>17</v>
      </c>
      <c r="K5973" t="str">
        <f>"76261082"</f>
        <v>76261082</v>
      </c>
      <c r="L5973" t="str">
        <f>"76261082"</f>
        <v>76261082</v>
      </c>
      <c r="M5973" t="s">
        <v>75</v>
      </c>
      <c r="N5973" s="1">
        <v>42872.847222222219</v>
      </c>
      <c r="O5973" t="s">
        <v>19</v>
      </c>
    </row>
    <row r="5974" spans="1:15" x14ac:dyDescent="0.25">
      <c r="A5974" t="s">
        <v>4362</v>
      </c>
      <c r="B5974" t="s">
        <v>15</v>
      </c>
      <c r="C5974" t="s">
        <v>32</v>
      </c>
      <c r="D5974" t="s">
        <v>17</v>
      </c>
      <c r="E5974" t="s">
        <v>18</v>
      </c>
      <c r="F5974" t="s">
        <v>19</v>
      </c>
      <c r="G5974" t="s">
        <v>20</v>
      </c>
      <c r="J5974" t="s">
        <v>17</v>
      </c>
      <c r="K5974" t="str">
        <f>"76481082"</f>
        <v>76481082</v>
      </c>
      <c r="L5974" t="str">
        <f>"76481082"</f>
        <v>76481082</v>
      </c>
      <c r="M5974" t="s">
        <v>75</v>
      </c>
      <c r="N5974" s="1">
        <v>42872.847222222219</v>
      </c>
      <c r="O5974" t="s">
        <v>19</v>
      </c>
    </row>
    <row r="5975" spans="1:15" x14ac:dyDescent="0.25">
      <c r="A5975" t="s">
        <v>4362</v>
      </c>
      <c r="B5975" t="s">
        <v>15</v>
      </c>
      <c r="C5975" t="s">
        <v>27</v>
      </c>
      <c r="D5975" t="s">
        <v>17</v>
      </c>
      <c r="E5975" t="s">
        <v>18</v>
      </c>
      <c r="F5975" t="s">
        <v>19</v>
      </c>
      <c r="G5975" t="s">
        <v>20</v>
      </c>
      <c r="J5975" t="s">
        <v>17</v>
      </c>
      <c r="K5975" t="str">
        <f>"110761098"</f>
        <v>110761098</v>
      </c>
      <c r="L5975" t="str">
        <f>"110761098"</f>
        <v>110761098</v>
      </c>
      <c r="M5975" t="s">
        <v>75</v>
      </c>
      <c r="N5975" s="1">
        <v>42872.847222222219</v>
      </c>
      <c r="O5975" t="s">
        <v>19</v>
      </c>
    </row>
    <row r="5976" spans="1:15" x14ac:dyDescent="0.25">
      <c r="A5976" t="s">
        <v>4363</v>
      </c>
      <c r="B5976" t="s">
        <v>15</v>
      </c>
      <c r="C5976" t="s">
        <v>32</v>
      </c>
      <c r="D5976" t="s">
        <v>17</v>
      </c>
      <c r="E5976" t="s">
        <v>18</v>
      </c>
      <c r="F5976" t="s">
        <v>19</v>
      </c>
      <c r="G5976" t="s">
        <v>20</v>
      </c>
      <c r="J5976" t="s">
        <v>17</v>
      </c>
      <c r="K5976" t="str">
        <f>"76473163"</f>
        <v>76473163</v>
      </c>
      <c r="L5976" t="str">
        <f>"76473163"</f>
        <v>76473163</v>
      </c>
      <c r="M5976" t="s">
        <v>75</v>
      </c>
      <c r="N5976" s="1">
        <v>43132.745833333334</v>
      </c>
      <c r="O5976" t="s">
        <v>19</v>
      </c>
    </row>
    <row r="5977" spans="1:15" x14ac:dyDescent="0.25">
      <c r="A5977" t="s">
        <v>4363</v>
      </c>
      <c r="B5977" t="s">
        <v>15</v>
      </c>
      <c r="C5977" t="s">
        <v>32</v>
      </c>
      <c r="D5977" t="s">
        <v>17</v>
      </c>
      <c r="E5977" t="s">
        <v>18</v>
      </c>
      <c r="F5977" t="s">
        <v>19</v>
      </c>
      <c r="G5977" t="s">
        <v>20</v>
      </c>
      <c r="J5977" t="s">
        <v>17</v>
      </c>
      <c r="K5977" t="str">
        <f>"76403163"</f>
        <v>76403163</v>
      </c>
      <c r="L5977" t="str">
        <f>"76403163"</f>
        <v>76403163</v>
      </c>
      <c r="M5977" t="s">
        <v>75</v>
      </c>
      <c r="N5977" s="1">
        <v>43196.886805555558</v>
      </c>
      <c r="O5977" t="s">
        <v>19</v>
      </c>
    </row>
    <row r="5978" spans="1:15" x14ac:dyDescent="0.25">
      <c r="A5978" t="s">
        <v>4364</v>
      </c>
      <c r="B5978" t="s">
        <v>15</v>
      </c>
      <c r="C5978" t="s">
        <v>32</v>
      </c>
      <c r="D5978" t="s">
        <v>17</v>
      </c>
      <c r="E5978" t="s">
        <v>18</v>
      </c>
      <c r="F5978" t="s">
        <v>19</v>
      </c>
      <c r="G5978" t="s">
        <v>20</v>
      </c>
      <c r="J5978" t="s">
        <v>17</v>
      </c>
      <c r="K5978" t="str">
        <f>"1578147332081"</f>
        <v>1578147332081</v>
      </c>
      <c r="L5978" t="str">
        <f>"61390058"</f>
        <v>61390058</v>
      </c>
      <c r="M5978" t="s">
        <v>21</v>
      </c>
      <c r="N5978" s="1">
        <v>43834.59375</v>
      </c>
      <c r="O5978" t="s">
        <v>19</v>
      </c>
    </row>
    <row r="5979" spans="1:15" x14ac:dyDescent="0.25">
      <c r="A5979" t="s">
        <v>4365</v>
      </c>
      <c r="B5979" t="s">
        <v>15</v>
      </c>
      <c r="C5979" t="s">
        <v>32</v>
      </c>
      <c r="D5979" t="s">
        <v>17</v>
      </c>
      <c r="E5979" t="s">
        <v>18</v>
      </c>
      <c r="F5979" t="s">
        <v>19</v>
      </c>
      <c r="G5979" t="s">
        <v>20</v>
      </c>
      <c r="J5979" t="s">
        <v>17</v>
      </c>
      <c r="K5979" t="str">
        <f>"1578147265753"</f>
        <v>1578147265753</v>
      </c>
      <c r="L5979" t="str">
        <f>"61390021"</f>
        <v>61390021</v>
      </c>
      <c r="M5979" t="s">
        <v>21</v>
      </c>
      <c r="N5979" s="1">
        <v>43834.593055555553</v>
      </c>
      <c r="O5979" t="s">
        <v>19</v>
      </c>
    </row>
    <row r="5980" spans="1:15" x14ac:dyDescent="0.25">
      <c r="A5980" t="s">
        <v>4366</v>
      </c>
      <c r="B5980" t="s">
        <v>15</v>
      </c>
      <c r="C5980" t="s">
        <v>32</v>
      </c>
      <c r="D5980" t="s">
        <v>17</v>
      </c>
      <c r="E5980" t="s">
        <v>18</v>
      </c>
      <c r="F5980" t="s">
        <v>19</v>
      </c>
      <c r="G5980" t="s">
        <v>20</v>
      </c>
      <c r="J5980" t="s">
        <v>17</v>
      </c>
      <c r="K5980" t="str">
        <f>"76403166"</f>
        <v>76403166</v>
      </c>
      <c r="L5980" t="str">
        <f>"76403166"</f>
        <v>76403166</v>
      </c>
      <c r="M5980" t="s">
        <v>75</v>
      </c>
      <c r="N5980" s="1">
        <v>43196.837500000001</v>
      </c>
      <c r="O5980" t="s">
        <v>19</v>
      </c>
    </row>
    <row r="5981" spans="1:15" x14ac:dyDescent="0.25">
      <c r="A5981" t="s">
        <v>4367</v>
      </c>
      <c r="B5981" t="s">
        <v>15</v>
      </c>
      <c r="C5981" t="s">
        <v>32</v>
      </c>
      <c r="D5981" t="s">
        <v>17</v>
      </c>
      <c r="E5981" t="s">
        <v>18</v>
      </c>
      <c r="F5981" t="s">
        <v>19</v>
      </c>
      <c r="G5981" t="s">
        <v>20</v>
      </c>
      <c r="J5981" t="s">
        <v>17</v>
      </c>
      <c r="K5981" t="str">
        <f>"764031661"</f>
        <v>764031661</v>
      </c>
      <c r="L5981" t="str">
        <f>"764031661"</f>
        <v>764031661</v>
      </c>
      <c r="M5981" t="s">
        <v>84</v>
      </c>
      <c r="N5981" s="1">
        <v>43409.645138888889</v>
      </c>
      <c r="O5981" t="s">
        <v>19</v>
      </c>
    </row>
    <row r="5982" spans="1:15" x14ac:dyDescent="0.25">
      <c r="A5982" t="s">
        <v>4368</v>
      </c>
      <c r="B5982" t="s">
        <v>15</v>
      </c>
      <c r="C5982" t="s">
        <v>32</v>
      </c>
      <c r="D5982" t="s">
        <v>17</v>
      </c>
      <c r="E5982" t="s">
        <v>18</v>
      </c>
      <c r="F5982" t="s">
        <v>19</v>
      </c>
      <c r="G5982" t="s">
        <v>20</v>
      </c>
      <c r="J5982" t="s">
        <v>17</v>
      </c>
      <c r="K5982" t="str">
        <f>"77343405"</f>
        <v>77343405</v>
      </c>
      <c r="L5982" t="str">
        <f>"77343405"</f>
        <v>77343405</v>
      </c>
      <c r="M5982" t="s">
        <v>75</v>
      </c>
      <c r="N5982" s="1">
        <v>42872.847222222219</v>
      </c>
      <c r="O5982" t="s">
        <v>19</v>
      </c>
    </row>
    <row r="5983" spans="1:15" x14ac:dyDescent="0.25">
      <c r="A5983" t="s">
        <v>4369</v>
      </c>
      <c r="B5983" t="s">
        <v>15</v>
      </c>
      <c r="C5983" t="s">
        <v>1607</v>
      </c>
      <c r="D5983" t="s">
        <v>17</v>
      </c>
      <c r="E5983" t="s">
        <v>18</v>
      </c>
      <c r="F5983" t="s">
        <v>19</v>
      </c>
      <c r="G5983" t="s">
        <v>20</v>
      </c>
      <c r="J5983" t="s">
        <v>17</v>
      </c>
      <c r="K5983" t="str">
        <f>"762620139"</f>
        <v>762620139</v>
      </c>
      <c r="L5983" t="str">
        <f>"762620139"</f>
        <v>762620139</v>
      </c>
      <c r="M5983" t="s">
        <v>75</v>
      </c>
      <c r="N5983" s="1">
        <v>42872.849305555559</v>
      </c>
      <c r="O5983" t="s">
        <v>19</v>
      </c>
    </row>
    <row r="5984" spans="1:15" x14ac:dyDescent="0.25">
      <c r="A5984" t="s">
        <v>4370</v>
      </c>
      <c r="B5984" t="s">
        <v>15</v>
      </c>
      <c r="C5984" t="s">
        <v>32</v>
      </c>
      <c r="D5984" t="s">
        <v>17</v>
      </c>
      <c r="E5984" t="s">
        <v>18</v>
      </c>
      <c r="F5984" t="s">
        <v>19</v>
      </c>
      <c r="G5984" t="s">
        <v>20</v>
      </c>
      <c r="J5984" t="s">
        <v>17</v>
      </c>
      <c r="K5984" t="str">
        <f>"176820115"</f>
        <v>176820115</v>
      </c>
      <c r="L5984" t="str">
        <f>"176820115"</f>
        <v>176820115</v>
      </c>
      <c r="M5984" t="s">
        <v>75</v>
      </c>
      <c r="N5984" s="1">
        <v>42872.849305555559</v>
      </c>
      <c r="O5984" t="s">
        <v>19</v>
      </c>
    </row>
    <row r="5985" spans="1:15" x14ac:dyDescent="0.25">
      <c r="A5985" t="s">
        <v>4370</v>
      </c>
      <c r="B5985" t="s">
        <v>15</v>
      </c>
      <c r="C5985" t="s">
        <v>32</v>
      </c>
      <c r="D5985" t="s">
        <v>17</v>
      </c>
      <c r="E5985" t="s">
        <v>18</v>
      </c>
      <c r="F5985" t="s">
        <v>19</v>
      </c>
      <c r="G5985" t="s">
        <v>20</v>
      </c>
      <c r="J5985" t="s">
        <v>17</v>
      </c>
      <c r="K5985" t="str">
        <f>"762620114"</f>
        <v>762620114</v>
      </c>
      <c r="L5985" t="str">
        <f>"762620114"</f>
        <v>762620114</v>
      </c>
      <c r="M5985" t="s">
        <v>75</v>
      </c>
      <c r="N5985" s="1">
        <v>42872.849305555559</v>
      </c>
      <c r="O5985" t="s">
        <v>19</v>
      </c>
    </row>
    <row r="5986" spans="1:15" x14ac:dyDescent="0.25">
      <c r="A5986" t="s">
        <v>4371</v>
      </c>
      <c r="B5986" t="s">
        <v>15</v>
      </c>
      <c r="C5986" t="s">
        <v>32</v>
      </c>
      <c r="D5986" t="s">
        <v>17</v>
      </c>
      <c r="E5986" t="s">
        <v>18</v>
      </c>
      <c r="F5986" t="s">
        <v>19</v>
      </c>
      <c r="G5986" t="s">
        <v>20</v>
      </c>
      <c r="J5986" t="s">
        <v>17</v>
      </c>
      <c r="K5986" t="str">
        <f>"766820181"</f>
        <v>766820181</v>
      </c>
      <c r="L5986" t="str">
        <f>"766820181"</f>
        <v>766820181</v>
      </c>
      <c r="M5986" t="s">
        <v>75</v>
      </c>
      <c r="N5986" s="1">
        <v>42872.849305555559</v>
      </c>
      <c r="O5986" t="s">
        <v>19</v>
      </c>
    </row>
    <row r="5987" spans="1:15" x14ac:dyDescent="0.25">
      <c r="A5987" t="s">
        <v>4372</v>
      </c>
      <c r="B5987" t="s">
        <v>15</v>
      </c>
      <c r="C5987" t="s">
        <v>32</v>
      </c>
      <c r="D5987" t="s">
        <v>17</v>
      </c>
      <c r="E5987" t="s">
        <v>18</v>
      </c>
      <c r="F5987" t="s">
        <v>19</v>
      </c>
      <c r="G5987" t="s">
        <v>20</v>
      </c>
      <c r="J5987" t="s">
        <v>17</v>
      </c>
      <c r="K5987" t="str">
        <f>"764820242"</f>
        <v>764820242</v>
      </c>
      <c r="L5987" t="str">
        <f>"764820242"</f>
        <v>764820242</v>
      </c>
      <c r="M5987" t="s">
        <v>75</v>
      </c>
      <c r="N5987" s="1">
        <v>42872.849305555559</v>
      </c>
      <c r="O5987" t="s">
        <v>19</v>
      </c>
    </row>
    <row r="5988" spans="1:15" x14ac:dyDescent="0.25">
      <c r="A5988" t="s">
        <v>4373</v>
      </c>
      <c r="B5988" t="s">
        <v>15</v>
      </c>
      <c r="C5988" t="s">
        <v>32</v>
      </c>
      <c r="D5988" t="s">
        <v>17</v>
      </c>
      <c r="E5988" t="s">
        <v>18</v>
      </c>
      <c r="F5988" t="s">
        <v>19</v>
      </c>
      <c r="G5988" t="s">
        <v>20</v>
      </c>
      <c r="J5988" t="s">
        <v>17</v>
      </c>
      <c r="K5988" t="str">
        <f>"764320180"</f>
        <v>764320180</v>
      </c>
      <c r="L5988" t="str">
        <f>"764320180"</f>
        <v>764320180</v>
      </c>
      <c r="M5988" t="s">
        <v>75</v>
      </c>
      <c r="N5988" s="1">
        <v>42872.849305555559</v>
      </c>
      <c r="O5988" t="s">
        <v>19</v>
      </c>
    </row>
    <row r="5989" spans="1:15" x14ac:dyDescent="0.25">
      <c r="A5989" t="s">
        <v>4374</v>
      </c>
      <c r="B5989" t="s">
        <v>15</v>
      </c>
      <c r="C5989" t="s">
        <v>32</v>
      </c>
      <c r="D5989" t="s">
        <v>17</v>
      </c>
      <c r="E5989" t="s">
        <v>18</v>
      </c>
      <c r="F5989" t="s">
        <v>19</v>
      </c>
      <c r="G5989" t="s">
        <v>20</v>
      </c>
      <c r="J5989" t="s">
        <v>17</v>
      </c>
      <c r="K5989" t="str">
        <f>"34711454"</f>
        <v>34711454</v>
      </c>
      <c r="L5989" t="str">
        <f>"34711454"</f>
        <v>34711454</v>
      </c>
      <c r="M5989" t="s">
        <v>75</v>
      </c>
      <c r="N5989" s="1">
        <v>42872.849305555559</v>
      </c>
      <c r="O5989" t="s">
        <v>19</v>
      </c>
    </row>
    <row r="5990" spans="1:15" x14ac:dyDescent="0.25">
      <c r="A5990" t="s">
        <v>4375</v>
      </c>
      <c r="B5990" t="s">
        <v>15</v>
      </c>
      <c r="C5990" t="s">
        <v>32</v>
      </c>
      <c r="D5990" t="s">
        <v>17</v>
      </c>
      <c r="E5990" t="s">
        <v>18</v>
      </c>
      <c r="F5990" t="s">
        <v>19</v>
      </c>
      <c r="G5990" t="s">
        <v>20</v>
      </c>
      <c r="J5990" t="s">
        <v>17</v>
      </c>
      <c r="K5990" t="str">
        <f>"1578147158147"</f>
        <v>1578147158147</v>
      </c>
      <c r="L5990" t="str">
        <f>"61390095"</f>
        <v>61390095</v>
      </c>
      <c r="M5990" t="s">
        <v>21</v>
      </c>
      <c r="N5990" s="1">
        <v>43834.591666666667</v>
      </c>
      <c r="O5990" t="s">
        <v>19</v>
      </c>
    </row>
    <row r="5991" spans="1:15" x14ac:dyDescent="0.25">
      <c r="A5991" t="s">
        <v>4375</v>
      </c>
      <c r="B5991" t="s">
        <v>15</v>
      </c>
      <c r="C5991" t="s">
        <v>32</v>
      </c>
      <c r="D5991" t="s">
        <v>17</v>
      </c>
      <c r="E5991" t="s">
        <v>18</v>
      </c>
      <c r="F5991" t="s">
        <v>19</v>
      </c>
      <c r="G5991" t="s">
        <v>20</v>
      </c>
      <c r="J5991" t="s">
        <v>17</v>
      </c>
      <c r="K5991" t="str">
        <f>"674814284"</f>
        <v>674814284</v>
      </c>
      <c r="L5991" t="str">
        <f>"674814284"</f>
        <v>674814284</v>
      </c>
      <c r="M5991" t="s">
        <v>21</v>
      </c>
      <c r="N5991" s="1">
        <v>43873.785416666666</v>
      </c>
      <c r="O5991" t="s">
        <v>19</v>
      </c>
    </row>
    <row r="5992" spans="1:15" x14ac:dyDescent="0.25">
      <c r="A5992" t="s">
        <v>4376</v>
      </c>
      <c r="B5992" t="s">
        <v>15</v>
      </c>
      <c r="C5992" t="s">
        <v>32</v>
      </c>
      <c r="D5992" t="s">
        <v>17</v>
      </c>
      <c r="E5992" t="s">
        <v>18</v>
      </c>
      <c r="F5992" t="s">
        <v>19</v>
      </c>
      <c r="G5992" t="s">
        <v>20</v>
      </c>
      <c r="J5992" t="s">
        <v>17</v>
      </c>
      <c r="K5992" t="str">
        <f>"1578146924101"</f>
        <v>1578146924101</v>
      </c>
      <c r="L5992" t="str">
        <f>"61390085"</f>
        <v>61390085</v>
      </c>
      <c r="M5992" t="s">
        <v>21</v>
      </c>
      <c r="N5992" s="1">
        <v>43834.588888888888</v>
      </c>
      <c r="O5992" t="s">
        <v>19</v>
      </c>
    </row>
    <row r="5993" spans="1:15" x14ac:dyDescent="0.25">
      <c r="A5993" t="s">
        <v>4377</v>
      </c>
      <c r="B5993" t="s">
        <v>15</v>
      </c>
      <c r="C5993" t="s">
        <v>32</v>
      </c>
      <c r="D5993" t="s">
        <v>17</v>
      </c>
      <c r="E5993" t="s">
        <v>18</v>
      </c>
      <c r="F5993" t="s">
        <v>19</v>
      </c>
      <c r="G5993" t="s">
        <v>20</v>
      </c>
      <c r="J5993" t="s">
        <v>17</v>
      </c>
      <c r="K5993" t="str">
        <f>"764814285"</f>
        <v>764814285</v>
      </c>
      <c r="L5993" t="str">
        <f>"764814285"</f>
        <v>764814285</v>
      </c>
      <c r="M5993" t="s">
        <v>21</v>
      </c>
      <c r="N5993" s="1">
        <v>42872.839583333334</v>
      </c>
      <c r="O5993" t="s">
        <v>19</v>
      </c>
    </row>
    <row r="5994" spans="1:15" x14ac:dyDescent="0.25">
      <c r="A5994" t="s">
        <v>4377</v>
      </c>
      <c r="B5994" t="s">
        <v>15</v>
      </c>
      <c r="C5994" t="s">
        <v>32</v>
      </c>
      <c r="D5994" t="s">
        <v>17</v>
      </c>
      <c r="E5994" t="s">
        <v>18</v>
      </c>
      <c r="F5994" t="s">
        <v>19</v>
      </c>
      <c r="G5994" t="s">
        <v>20</v>
      </c>
      <c r="J5994" t="s">
        <v>17</v>
      </c>
      <c r="K5994" t="str">
        <f>"1578147419118"</f>
        <v>1578147419118</v>
      </c>
      <c r="L5994" t="str">
        <f>"61390046"</f>
        <v>61390046</v>
      </c>
      <c r="M5994" t="s">
        <v>21</v>
      </c>
      <c r="N5994" s="1">
        <v>43834.594444444447</v>
      </c>
      <c r="O5994" t="s">
        <v>19</v>
      </c>
    </row>
    <row r="5995" spans="1:15" x14ac:dyDescent="0.25">
      <c r="A5995" t="s">
        <v>4377</v>
      </c>
      <c r="B5995" t="s">
        <v>15</v>
      </c>
      <c r="C5995" t="s">
        <v>32</v>
      </c>
      <c r="D5995" t="s">
        <v>17</v>
      </c>
      <c r="E5995" t="s">
        <v>18</v>
      </c>
      <c r="F5995" t="s">
        <v>19</v>
      </c>
      <c r="G5995" t="s">
        <v>20</v>
      </c>
      <c r="J5995" t="s">
        <v>17</v>
      </c>
      <c r="K5995" t="str">
        <f>"674814285"</f>
        <v>674814285</v>
      </c>
      <c r="L5995" t="str">
        <f>"674814285"</f>
        <v>674814285</v>
      </c>
      <c r="M5995" t="s">
        <v>21</v>
      </c>
      <c r="N5995" s="1">
        <v>43873.777083333334</v>
      </c>
      <c r="O5995" t="s">
        <v>19</v>
      </c>
    </row>
    <row r="5996" spans="1:15" x14ac:dyDescent="0.25">
      <c r="A5996" t="s">
        <v>4377</v>
      </c>
      <c r="B5996" t="s">
        <v>15</v>
      </c>
      <c r="C5996" t="s">
        <v>32</v>
      </c>
      <c r="D5996" t="s">
        <v>17</v>
      </c>
      <c r="E5996" t="s">
        <v>18</v>
      </c>
      <c r="F5996" t="s">
        <v>19</v>
      </c>
      <c r="G5996" t="s">
        <v>20</v>
      </c>
      <c r="J5996" t="s">
        <v>17</v>
      </c>
      <c r="K5996" t="str">
        <f>"677514285"</f>
        <v>677514285</v>
      </c>
      <c r="L5996" t="str">
        <f>"677514285"</f>
        <v>677514285</v>
      </c>
      <c r="M5996" t="s">
        <v>21</v>
      </c>
      <c r="N5996" s="1">
        <v>43873.78402777778</v>
      </c>
      <c r="O5996" t="s">
        <v>19</v>
      </c>
    </row>
    <row r="5997" spans="1:15" x14ac:dyDescent="0.25">
      <c r="A5997" t="s">
        <v>4377</v>
      </c>
      <c r="B5997" t="s">
        <v>15</v>
      </c>
      <c r="C5997" t="s">
        <v>32</v>
      </c>
      <c r="D5997" t="s">
        <v>17</v>
      </c>
      <c r="E5997" t="s">
        <v>18</v>
      </c>
      <c r="F5997" t="s">
        <v>19</v>
      </c>
      <c r="G5997" t="s">
        <v>20</v>
      </c>
      <c r="J5997" t="s">
        <v>17</v>
      </c>
      <c r="K5997" t="str">
        <f>"2019120500022"</f>
        <v>2019120500022</v>
      </c>
      <c r="L5997" t="str">
        <f>"177705285"</f>
        <v>177705285</v>
      </c>
      <c r="M5997" t="s">
        <v>21</v>
      </c>
      <c r="N5997" s="1">
        <v>43890.581250000003</v>
      </c>
      <c r="O5997" t="s">
        <v>19</v>
      </c>
    </row>
    <row r="5998" spans="1:15" x14ac:dyDescent="0.25">
      <c r="A5998" t="s">
        <v>4378</v>
      </c>
      <c r="B5998" t="s">
        <v>15</v>
      </c>
      <c r="C5998" t="s">
        <v>32</v>
      </c>
      <c r="D5998" t="s">
        <v>17</v>
      </c>
      <c r="E5998" t="s">
        <v>18</v>
      </c>
      <c r="F5998" t="s">
        <v>19</v>
      </c>
      <c r="G5998" t="s">
        <v>20</v>
      </c>
      <c r="J5998" t="s">
        <v>17</v>
      </c>
      <c r="K5998" t="str">
        <f>"177114197"</f>
        <v>177114197</v>
      </c>
      <c r="L5998" t="str">
        <f>"177114197"</f>
        <v>177114197</v>
      </c>
      <c r="M5998" t="s">
        <v>75</v>
      </c>
      <c r="N5998" s="1">
        <v>42872.849305555559</v>
      </c>
      <c r="O5998" t="s">
        <v>19</v>
      </c>
    </row>
    <row r="5999" spans="1:15" x14ac:dyDescent="0.25">
      <c r="A5999" t="s">
        <v>4379</v>
      </c>
      <c r="B5999" t="s">
        <v>15</v>
      </c>
      <c r="C5999" t="s">
        <v>32</v>
      </c>
      <c r="D5999" t="s">
        <v>17</v>
      </c>
      <c r="E5999" t="s">
        <v>18</v>
      </c>
      <c r="F5999" t="s">
        <v>19</v>
      </c>
      <c r="G5999" t="s">
        <v>20</v>
      </c>
      <c r="J5999" t="s">
        <v>17</v>
      </c>
      <c r="K5999" t="str">
        <f>"674814274"</f>
        <v>674814274</v>
      </c>
      <c r="L5999" t="str">
        <f>"674814274"</f>
        <v>674814274</v>
      </c>
      <c r="M5999" t="s">
        <v>21</v>
      </c>
      <c r="N5999" s="1">
        <v>43873.777777777781</v>
      </c>
      <c r="O5999" t="s">
        <v>19</v>
      </c>
    </row>
    <row r="6000" spans="1:15" x14ac:dyDescent="0.25">
      <c r="A6000" t="s">
        <v>4380</v>
      </c>
      <c r="B6000" t="s">
        <v>15</v>
      </c>
      <c r="C6000" t="s">
        <v>32</v>
      </c>
      <c r="D6000" t="s">
        <v>17</v>
      </c>
      <c r="E6000" t="s">
        <v>18</v>
      </c>
      <c r="F6000" t="s">
        <v>19</v>
      </c>
      <c r="G6000" t="s">
        <v>20</v>
      </c>
      <c r="J6000" t="s">
        <v>17</v>
      </c>
      <c r="K6000" t="str">
        <f>"1578146831560"</f>
        <v>1578146831560</v>
      </c>
      <c r="L6000" t="str">
        <f>"61390078"</f>
        <v>61390078</v>
      </c>
      <c r="M6000" t="s">
        <v>21</v>
      </c>
      <c r="N6000" s="1">
        <v>43834.588194444441</v>
      </c>
      <c r="O6000" t="s">
        <v>19</v>
      </c>
    </row>
    <row r="6001" spans="1:15" x14ac:dyDescent="0.25">
      <c r="A6001" t="s">
        <v>4381</v>
      </c>
      <c r="B6001" t="s">
        <v>15</v>
      </c>
      <c r="C6001" t="s">
        <v>32</v>
      </c>
      <c r="D6001" t="s">
        <v>17</v>
      </c>
      <c r="E6001" t="s">
        <v>18</v>
      </c>
      <c r="F6001" t="s">
        <v>19</v>
      </c>
      <c r="G6001" t="s">
        <v>20</v>
      </c>
      <c r="J6001" t="s">
        <v>17</v>
      </c>
      <c r="K6001" t="str">
        <f>"177114179"</f>
        <v>177114179</v>
      </c>
      <c r="L6001" t="str">
        <f>"177114179"</f>
        <v>177114179</v>
      </c>
      <c r="M6001" t="s">
        <v>75</v>
      </c>
      <c r="N6001" s="1">
        <v>42872.849305555559</v>
      </c>
      <c r="O6001" t="s">
        <v>19</v>
      </c>
    </row>
    <row r="6002" spans="1:15" x14ac:dyDescent="0.25">
      <c r="A6002" t="s">
        <v>4382</v>
      </c>
      <c r="B6002" t="s">
        <v>15</v>
      </c>
      <c r="C6002" t="s">
        <v>32</v>
      </c>
      <c r="D6002" t="s">
        <v>17</v>
      </c>
      <c r="E6002" t="s">
        <v>18</v>
      </c>
      <c r="F6002" t="s">
        <v>19</v>
      </c>
      <c r="G6002" t="s">
        <v>20</v>
      </c>
      <c r="J6002" t="s">
        <v>17</v>
      </c>
      <c r="K6002" t="str">
        <f>"174714293"</f>
        <v>174714293</v>
      </c>
      <c r="L6002" t="str">
        <f>"174714293"</f>
        <v>174714293</v>
      </c>
      <c r="M6002" t="s">
        <v>75</v>
      </c>
      <c r="N6002" s="1">
        <v>43150.631249999999</v>
      </c>
      <c r="O6002" t="s">
        <v>19</v>
      </c>
    </row>
    <row r="6003" spans="1:15" x14ac:dyDescent="0.25">
      <c r="A6003" t="s">
        <v>4383</v>
      </c>
      <c r="B6003" t="s">
        <v>15</v>
      </c>
      <c r="C6003" t="s">
        <v>32</v>
      </c>
      <c r="D6003" t="s">
        <v>17</v>
      </c>
      <c r="E6003" t="s">
        <v>18</v>
      </c>
      <c r="F6003" t="s">
        <v>19</v>
      </c>
      <c r="G6003" t="s">
        <v>20</v>
      </c>
      <c r="J6003" t="s">
        <v>17</v>
      </c>
      <c r="K6003" t="str">
        <f>"1578146873102"</f>
        <v>1578146873102</v>
      </c>
      <c r="L6003" t="str">
        <f>"61390056"</f>
        <v>61390056</v>
      </c>
      <c r="M6003" t="s">
        <v>21</v>
      </c>
      <c r="N6003" s="1">
        <v>43834.588194444441</v>
      </c>
      <c r="O6003" t="s">
        <v>19</v>
      </c>
    </row>
    <row r="6004" spans="1:15" x14ac:dyDescent="0.25">
      <c r="A6004" t="s">
        <v>4384</v>
      </c>
      <c r="B6004" t="s">
        <v>15</v>
      </c>
      <c r="C6004" t="s">
        <v>32</v>
      </c>
      <c r="D6004" t="s">
        <v>17</v>
      </c>
      <c r="E6004" t="s">
        <v>18</v>
      </c>
      <c r="F6004" t="s">
        <v>19</v>
      </c>
      <c r="G6004" t="s">
        <v>20</v>
      </c>
      <c r="J6004" t="s">
        <v>17</v>
      </c>
      <c r="K6004" t="str">
        <f>"177114177"</f>
        <v>177114177</v>
      </c>
      <c r="L6004" t="str">
        <f>"177114177"</f>
        <v>177114177</v>
      </c>
      <c r="M6004" t="s">
        <v>75</v>
      </c>
      <c r="N6004" s="1">
        <v>42872.849305555559</v>
      </c>
      <c r="O6004" t="s">
        <v>19</v>
      </c>
    </row>
    <row r="6005" spans="1:15" x14ac:dyDescent="0.25">
      <c r="A6005" t="s">
        <v>4385</v>
      </c>
      <c r="B6005" t="s">
        <v>15</v>
      </c>
      <c r="C6005" t="s">
        <v>32</v>
      </c>
      <c r="D6005" t="s">
        <v>17</v>
      </c>
      <c r="E6005" t="s">
        <v>18</v>
      </c>
      <c r="F6005" t="s">
        <v>19</v>
      </c>
      <c r="G6005" t="s">
        <v>20</v>
      </c>
      <c r="J6005" t="s">
        <v>17</v>
      </c>
      <c r="K6005" t="str">
        <f>"174714294"</f>
        <v>174714294</v>
      </c>
      <c r="L6005" t="str">
        <f>"174714294"</f>
        <v>174714294</v>
      </c>
      <c r="M6005" t="s">
        <v>75</v>
      </c>
      <c r="N6005" s="1">
        <v>43150.631944444445</v>
      </c>
      <c r="O6005" t="s">
        <v>19</v>
      </c>
    </row>
    <row r="6006" spans="1:15" x14ac:dyDescent="0.25">
      <c r="A6006" t="s">
        <v>4386</v>
      </c>
      <c r="B6006" t="s">
        <v>15</v>
      </c>
      <c r="C6006" t="s">
        <v>32</v>
      </c>
      <c r="D6006" t="s">
        <v>17</v>
      </c>
      <c r="E6006" t="s">
        <v>18</v>
      </c>
      <c r="F6006" t="s">
        <v>19</v>
      </c>
      <c r="G6006" t="s">
        <v>20</v>
      </c>
      <c r="J6006" t="s">
        <v>17</v>
      </c>
      <c r="K6006" t="str">
        <f>"1578146445160"</f>
        <v>1578146445160</v>
      </c>
      <c r="L6006" t="str">
        <f>"61390089"</f>
        <v>61390089</v>
      </c>
      <c r="M6006" t="s">
        <v>21</v>
      </c>
      <c r="N6006" s="1">
        <v>43834.583333333336</v>
      </c>
      <c r="O6006" t="s">
        <v>19</v>
      </c>
    </row>
    <row r="6007" spans="1:15" x14ac:dyDescent="0.25">
      <c r="A6007" t="s">
        <v>4387</v>
      </c>
      <c r="B6007" t="s">
        <v>15</v>
      </c>
      <c r="C6007" t="s">
        <v>32</v>
      </c>
      <c r="D6007" t="s">
        <v>17</v>
      </c>
      <c r="E6007" t="s">
        <v>18</v>
      </c>
      <c r="F6007" t="s">
        <v>19</v>
      </c>
      <c r="G6007" t="s">
        <v>20</v>
      </c>
      <c r="J6007" t="s">
        <v>17</v>
      </c>
      <c r="K6007" t="str">
        <f>"764714238"</f>
        <v>764714238</v>
      </c>
      <c r="L6007" t="str">
        <f>"764714238"</f>
        <v>764714238</v>
      </c>
      <c r="M6007" t="s">
        <v>75</v>
      </c>
      <c r="N6007" s="1">
        <v>43196.7</v>
      </c>
      <c r="O6007" t="s">
        <v>19</v>
      </c>
    </row>
    <row r="6008" spans="1:15" x14ac:dyDescent="0.25">
      <c r="A6008" t="s">
        <v>4388</v>
      </c>
      <c r="B6008" t="s">
        <v>15</v>
      </c>
      <c r="C6008" t="s">
        <v>32</v>
      </c>
      <c r="D6008" t="s">
        <v>17</v>
      </c>
      <c r="E6008" t="s">
        <v>18</v>
      </c>
      <c r="F6008" t="s">
        <v>19</v>
      </c>
      <c r="G6008" t="s">
        <v>20</v>
      </c>
      <c r="J6008" t="s">
        <v>17</v>
      </c>
      <c r="K6008" t="str">
        <f>"764714138"</f>
        <v>764714138</v>
      </c>
      <c r="L6008" t="str">
        <f>"764714138"</f>
        <v>764714138</v>
      </c>
      <c r="M6008" t="s">
        <v>75</v>
      </c>
      <c r="N6008" s="1">
        <v>43196.699305555558</v>
      </c>
      <c r="O6008" t="s">
        <v>19</v>
      </c>
    </row>
    <row r="6009" spans="1:15" x14ac:dyDescent="0.25">
      <c r="A6009" t="s">
        <v>4389</v>
      </c>
      <c r="B6009" t="s">
        <v>15</v>
      </c>
      <c r="C6009" t="s">
        <v>1607</v>
      </c>
      <c r="D6009" t="s">
        <v>17</v>
      </c>
      <c r="E6009" t="s">
        <v>18</v>
      </c>
      <c r="F6009" t="s">
        <v>19</v>
      </c>
      <c r="G6009" t="s">
        <v>20</v>
      </c>
      <c r="J6009" t="s">
        <v>17</v>
      </c>
      <c r="K6009" t="str">
        <f>"76561413"</f>
        <v>76561413</v>
      </c>
      <c r="L6009" t="str">
        <f>"76561413"</f>
        <v>76561413</v>
      </c>
      <c r="M6009" t="s">
        <v>75</v>
      </c>
      <c r="N6009" s="1">
        <v>42872.847222222219</v>
      </c>
      <c r="O6009" t="s">
        <v>19</v>
      </c>
    </row>
    <row r="6010" spans="1:15" x14ac:dyDescent="0.25">
      <c r="A6010" t="s">
        <v>4390</v>
      </c>
      <c r="B6010" t="s">
        <v>15</v>
      </c>
      <c r="C6010" t="s">
        <v>32</v>
      </c>
      <c r="D6010" t="s">
        <v>17</v>
      </c>
      <c r="E6010" t="s">
        <v>18</v>
      </c>
      <c r="F6010" t="s">
        <v>19</v>
      </c>
      <c r="G6010" t="s">
        <v>20</v>
      </c>
      <c r="J6010" t="s">
        <v>17</v>
      </c>
      <c r="K6010" t="str">
        <f>"76551425"</f>
        <v>76551425</v>
      </c>
      <c r="L6010" t="str">
        <f>"76551425"</f>
        <v>76551425</v>
      </c>
      <c r="M6010" t="s">
        <v>75</v>
      </c>
      <c r="N6010" s="1">
        <v>42872.847222222219</v>
      </c>
      <c r="O6010" t="s">
        <v>19</v>
      </c>
    </row>
    <row r="6011" spans="1:15" x14ac:dyDescent="0.25">
      <c r="A6011" t="s">
        <v>4390</v>
      </c>
      <c r="B6011" t="s">
        <v>15</v>
      </c>
      <c r="C6011" t="s">
        <v>1607</v>
      </c>
      <c r="D6011" t="s">
        <v>17</v>
      </c>
      <c r="E6011" t="s">
        <v>18</v>
      </c>
      <c r="F6011" t="s">
        <v>19</v>
      </c>
      <c r="G6011" t="s">
        <v>20</v>
      </c>
      <c r="J6011" t="s">
        <v>17</v>
      </c>
      <c r="K6011" t="str">
        <f>"76561425"</f>
        <v>76561425</v>
      </c>
      <c r="L6011" t="str">
        <f>"76561425"</f>
        <v>76561425</v>
      </c>
      <c r="M6011" t="s">
        <v>75</v>
      </c>
      <c r="N6011" s="1">
        <v>42872.847222222219</v>
      </c>
      <c r="O6011" t="s">
        <v>19</v>
      </c>
    </row>
    <row r="6012" spans="1:15" x14ac:dyDescent="0.25">
      <c r="A6012" t="s">
        <v>4391</v>
      </c>
      <c r="B6012" t="s">
        <v>15</v>
      </c>
      <c r="C6012" t="s">
        <v>1607</v>
      </c>
      <c r="D6012" t="s">
        <v>17</v>
      </c>
      <c r="E6012" t="s">
        <v>18</v>
      </c>
      <c r="F6012" t="s">
        <v>19</v>
      </c>
      <c r="G6012" t="s">
        <v>20</v>
      </c>
      <c r="J6012" t="s">
        <v>17</v>
      </c>
      <c r="K6012" t="str">
        <f>"76561455"</f>
        <v>76561455</v>
      </c>
      <c r="L6012" t="str">
        <f>"76561455"</f>
        <v>76561455</v>
      </c>
      <c r="M6012" t="s">
        <v>75</v>
      </c>
      <c r="N6012" s="1">
        <v>42872.847222222219</v>
      </c>
      <c r="O6012" t="s">
        <v>19</v>
      </c>
    </row>
    <row r="6013" spans="1:15" x14ac:dyDescent="0.25">
      <c r="A6013" t="s">
        <v>4392</v>
      </c>
      <c r="B6013" t="s">
        <v>15</v>
      </c>
      <c r="C6013" t="s">
        <v>1607</v>
      </c>
      <c r="D6013" t="s">
        <v>17</v>
      </c>
      <c r="E6013" t="s">
        <v>18</v>
      </c>
      <c r="F6013" t="s">
        <v>19</v>
      </c>
      <c r="G6013" t="s">
        <v>20</v>
      </c>
      <c r="J6013" t="s">
        <v>17</v>
      </c>
      <c r="K6013" t="str">
        <f>"17561428"</f>
        <v>17561428</v>
      </c>
      <c r="L6013" t="str">
        <f>"17561428"</f>
        <v>17561428</v>
      </c>
      <c r="M6013" t="s">
        <v>75</v>
      </c>
      <c r="N6013" s="1">
        <v>42872.839583333334</v>
      </c>
      <c r="O6013" t="s">
        <v>19</v>
      </c>
    </row>
    <row r="6014" spans="1:15" x14ac:dyDescent="0.25">
      <c r="A6014" t="s">
        <v>4393</v>
      </c>
      <c r="B6014" t="s">
        <v>15</v>
      </c>
      <c r="C6014" t="s">
        <v>32</v>
      </c>
      <c r="D6014" t="s">
        <v>17</v>
      </c>
      <c r="E6014" t="s">
        <v>18</v>
      </c>
      <c r="F6014" t="s">
        <v>19</v>
      </c>
      <c r="G6014" t="s">
        <v>20</v>
      </c>
      <c r="J6014" t="s">
        <v>17</v>
      </c>
      <c r="K6014" t="str">
        <f>"76591427"</f>
        <v>76591427</v>
      </c>
      <c r="L6014" t="str">
        <f>"76591427"</f>
        <v>76591427</v>
      </c>
      <c r="M6014" t="s">
        <v>75</v>
      </c>
      <c r="N6014" s="1">
        <v>42872.847222222219</v>
      </c>
      <c r="O6014" t="s">
        <v>19</v>
      </c>
    </row>
    <row r="6015" spans="1:15" x14ac:dyDescent="0.25">
      <c r="A6015" t="s">
        <v>4393</v>
      </c>
      <c r="B6015" t="s">
        <v>15</v>
      </c>
      <c r="C6015" t="s">
        <v>32</v>
      </c>
      <c r="D6015" t="s">
        <v>17</v>
      </c>
      <c r="E6015" t="s">
        <v>18</v>
      </c>
      <c r="F6015" t="s">
        <v>19</v>
      </c>
      <c r="G6015" t="s">
        <v>20</v>
      </c>
      <c r="J6015" t="s">
        <v>17</v>
      </c>
      <c r="K6015" t="str">
        <f>"17481427"</f>
        <v>17481427</v>
      </c>
      <c r="L6015" t="str">
        <f>"17481427"</f>
        <v>17481427</v>
      </c>
      <c r="M6015" t="s">
        <v>75</v>
      </c>
      <c r="N6015" s="1">
        <v>43179.919444444444</v>
      </c>
      <c r="O6015" t="s">
        <v>19</v>
      </c>
    </row>
    <row r="6016" spans="1:15" x14ac:dyDescent="0.25">
      <c r="A6016" t="s">
        <v>4394</v>
      </c>
      <c r="B6016" t="s">
        <v>15</v>
      </c>
      <c r="C6016" t="s">
        <v>32</v>
      </c>
      <c r="D6016" t="s">
        <v>17</v>
      </c>
      <c r="E6016" t="s">
        <v>18</v>
      </c>
      <c r="F6016" t="s">
        <v>19</v>
      </c>
      <c r="G6016" t="s">
        <v>20</v>
      </c>
      <c r="J6016" t="s">
        <v>17</v>
      </c>
      <c r="K6016" t="str">
        <f>"76769080"</f>
        <v>76769080</v>
      </c>
      <c r="L6016" t="str">
        <f>"76769080"</f>
        <v>76769080</v>
      </c>
      <c r="M6016" t="s">
        <v>75</v>
      </c>
      <c r="N6016" s="1">
        <v>42872.847222222219</v>
      </c>
      <c r="O6016" t="s">
        <v>19</v>
      </c>
    </row>
    <row r="6017" spans="1:15" x14ac:dyDescent="0.25">
      <c r="A6017" t="s">
        <v>4395</v>
      </c>
      <c r="B6017" t="s">
        <v>15</v>
      </c>
      <c r="C6017" t="s">
        <v>1607</v>
      </c>
      <c r="D6017" t="s">
        <v>17</v>
      </c>
      <c r="E6017" t="s">
        <v>18</v>
      </c>
      <c r="F6017" t="s">
        <v>19</v>
      </c>
      <c r="G6017" t="s">
        <v>20</v>
      </c>
      <c r="J6017" t="s">
        <v>17</v>
      </c>
      <c r="K6017" t="str">
        <f>"76431480"</f>
        <v>76431480</v>
      </c>
      <c r="L6017" t="str">
        <f>"76431480"</f>
        <v>76431480</v>
      </c>
      <c r="M6017" t="s">
        <v>75</v>
      </c>
      <c r="N6017" s="1">
        <v>42872.847222222219</v>
      </c>
      <c r="O6017" t="s">
        <v>19</v>
      </c>
    </row>
    <row r="6018" spans="1:15" x14ac:dyDescent="0.25">
      <c r="A6018" t="s">
        <v>4396</v>
      </c>
      <c r="B6018" t="s">
        <v>15</v>
      </c>
      <c r="C6018" t="s">
        <v>1607</v>
      </c>
      <c r="D6018" t="s">
        <v>17</v>
      </c>
      <c r="E6018" t="s">
        <v>18</v>
      </c>
      <c r="F6018" t="s">
        <v>19</v>
      </c>
      <c r="G6018" t="s">
        <v>20</v>
      </c>
      <c r="J6018" t="s">
        <v>17</v>
      </c>
      <c r="K6018" t="str">
        <f>"76561430"</f>
        <v>76561430</v>
      </c>
      <c r="L6018" t="str">
        <f>"76561430"</f>
        <v>76561430</v>
      </c>
      <c r="M6018" t="s">
        <v>75</v>
      </c>
      <c r="N6018" s="1">
        <v>42872.847222222219</v>
      </c>
      <c r="O6018" t="s">
        <v>19</v>
      </c>
    </row>
    <row r="6019" spans="1:15" x14ac:dyDescent="0.25">
      <c r="A6019" t="s">
        <v>4397</v>
      </c>
      <c r="B6019" t="s">
        <v>15</v>
      </c>
      <c r="C6019" t="s">
        <v>32</v>
      </c>
      <c r="D6019" t="s">
        <v>17</v>
      </c>
      <c r="E6019" t="s">
        <v>18</v>
      </c>
      <c r="F6019" t="s">
        <v>19</v>
      </c>
      <c r="G6019" t="s">
        <v>20</v>
      </c>
      <c r="J6019" t="s">
        <v>17</v>
      </c>
      <c r="K6019" t="str">
        <f>"76771430"</f>
        <v>76771430</v>
      </c>
      <c r="L6019" t="str">
        <f>"76771430"</f>
        <v>76771430</v>
      </c>
      <c r="M6019" t="s">
        <v>75</v>
      </c>
      <c r="N6019" s="1">
        <v>42872.847222222219</v>
      </c>
      <c r="O6019" t="s">
        <v>19</v>
      </c>
    </row>
    <row r="6020" spans="1:15" x14ac:dyDescent="0.25">
      <c r="A6020" t="s">
        <v>4398</v>
      </c>
      <c r="B6020" t="s">
        <v>15</v>
      </c>
      <c r="C6020" t="s">
        <v>32</v>
      </c>
      <c r="D6020" t="s">
        <v>17</v>
      </c>
      <c r="E6020" t="s">
        <v>18</v>
      </c>
      <c r="F6020" t="s">
        <v>19</v>
      </c>
      <c r="G6020" t="s">
        <v>20</v>
      </c>
      <c r="J6020" t="s">
        <v>17</v>
      </c>
      <c r="K6020" t="str">
        <f>"177114192"</f>
        <v>177114192</v>
      </c>
      <c r="L6020" t="str">
        <f>"177114192"</f>
        <v>177114192</v>
      </c>
      <c r="M6020" t="s">
        <v>75</v>
      </c>
      <c r="N6020" s="1">
        <v>42872.849305555559</v>
      </c>
      <c r="O6020" t="s">
        <v>19</v>
      </c>
    </row>
    <row r="6021" spans="1:15" x14ac:dyDescent="0.25">
      <c r="A6021" t="s">
        <v>4399</v>
      </c>
      <c r="B6021" t="s">
        <v>15</v>
      </c>
      <c r="C6021" t="s">
        <v>32</v>
      </c>
      <c r="D6021" t="s">
        <v>17</v>
      </c>
      <c r="E6021" t="s">
        <v>18</v>
      </c>
      <c r="F6021" t="s">
        <v>19</v>
      </c>
      <c r="G6021" t="s">
        <v>20</v>
      </c>
      <c r="J6021" t="s">
        <v>17</v>
      </c>
      <c r="K6021" t="str">
        <f>"765614125"</f>
        <v>765614125</v>
      </c>
      <c r="L6021" t="str">
        <f>"765614125"</f>
        <v>765614125</v>
      </c>
      <c r="M6021" t="s">
        <v>75</v>
      </c>
      <c r="N6021" s="1">
        <v>42872.849305555559</v>
      </c>
      <c r="O6021" t="s">
        <v>19</v>
      </c>
    </row>
    <row r="6022" spans="1:15" x14ac:dyDescent="0.25">
      <c r="A6022" t="s">
        <v>4399</v>
      </c>
      <c r="B6022" t="s">
        <v>15</v>
      </c>
      <c r="C6022" t="s">
        <v>32</v>
      </c>
      <c r="D6022" t="s">
        <v>17</v>
      </c>
      <c r="E6022" t="s">
        <v>18</v>
      </c>
      <c r="F6022" t="s">
        <v>19</v>
      </c>
      <c r="G6022" t="s">
        <v>20</v>
      </c>
      <c r="J6022" t="s">
        <v>17</v>
      </c>
      <c r="K6022" t="str">
        <f>"417114125"</f>
        <v>417114125</v>
      </c>
      <c r="L6022" t="str">
        <f>"417114125"</f>
        <v>417114125</v>
      </c>
      <c r="M6022" t="s">
        <v>75</v>
      </c>
      <c r="N6022" s="1">
        <v>43113.813888888886</v>
      </c>
      <c r="O6022" t="s">
        <v>19</v>
      </c>
    </row>
    <row r="6023" spans="1:15" x14ac:dyDescent="0.25">
      <c r="A6023" t="s">
        <v>4399</v>
      </c>
      <c r="B6023" t="s">
        <v>15</v>
      </c>
      <c r="C6023" t="s">
        <v>32</v>
      </c>
      <c r="D6023" t="s">
        <v>17</v>
      </c>
      <c r="E6023" t="s">
        <v>18</v>
      </c>
      <c r="F6023" t="s">
        <v>19</v>
      </c>
      <c r="G6023" t="s">
        <v>20</v>
      </c>
      <c r="J6023" t="s">
        <v>17</v>
      </c>
      <c r="K6023" t="str">
        <f>"414714125"</f>
        <v>414714125</v>
      </c>
      <c r="L6023" t="str">
        <f>"414714125"</f>
        <v>414714125</v>
      </c>
      <c r="M6023" t="s">
        <v>75</v>
      </c>
      <c r="N6023" s="1">
        <v>43131.834027777775</v>
      </c>
      <c r="O6023" t="s">
        <v>19</v>
      </c>
    </row>
    <row r="6024" spans="1:15" x14ac:dyDescent="0.25">
      <c r="A6024" t="s">
        <v>4399</v>
      </c>
      <c r="B6024" t="s">
        <v>15</v>
      </c>
      <c r="C6024" t="s">
        <v>32</v>
      </c>
      <c r="D6024" t="s">
        <v>17</v>
      </c>
      <c r="E6024" t="s">
        <v>18</v>
      </c>
      <c r="F6024" t="s">
        <v>19</v>
      </c>
      <c r="G6024" t="s">
        <v>20</v>
      </c>
      <c r="J6024" t="s">
        <v>17</v>
      </c>
      <c r="K6024" t="str">
        <f>"764314125"</f>
        <v>764314125</v>
      </c>
      <c r="L6024" t="str">
        <f>"764314125"</f>
        <v>764314125</v>
      </c>
      <c r="M6024" t="s">
        <v>75</v>
      </c>
      <c r="N6024" s="1">
        <v>43237.630555555559</v>
      </c>
      <c r="O6024" t="s">
        <v>19</v>
      </c>
    </row>
    <row r="6025" spans="1:15" x14ac:dyDescent="0.25">
      <c r="A6025" t="s">
        <v>4400</v>
      </c>
      <c r="B6025" t="s">
        <v>15</v>
      </c>
      <c r="C6025" t="s">
        <v>32</v>
      </c>
      <c r="D6025" t="s">
        <v>17</v>
      </c>
      <c r="E6025" t="s">
        <v>18</v>
      </c>
      <c r="F6025" t="s">
        <v>19</v>
      </c>
      <c r="G6025" t="s">
        <v>20</v>
      </c>
      <c r="J6025" t="s">
        <v>17</v>
      </c>
      <c r="K6025" t="str">
        <f>"764314192"</f>
        <v>764314192</v>
      </c>
      <c r="L6025" t="str">
        <f>"764314192"</f>
        <v>764314192</v>
      </c>
      <c r="M6025" t="s">
        <v>75</v>
      </c>
      <c r="N6025" s="1">
        <v>42872.849305555559</v>
      </c>
      <c r="O6025" t="s">
        <v>19</v>
      </c>
    </row>
    <row r="6026" spans="1:15" x14ac:dyDescent="0.25">
      <c r="A6026" t="s">
        <v>4401</v>
      </c>
      <c r="B6026" t="s">
        <v>15</v>
      </c>
      <c r="C6026" t="s">
        <v>32</v>
      </c>
      <c r="D6026" t="s">
        <v>17</v>
      </c>
      <c r="E6026" t="s">
        <v>18</v>
      </c>
      <c r="F6026" t="s">
        <v>19</v>
      </c>
      <c r="G6026" t="s">
        <v>20</v>
      </c>
      <c r="J6026" t="s">
        <v>17</v>
      </c>
      <c r="K6026" t="str">
        <f>"414714283"</f>
        <v>414714283</v>
      </c>
      <c r="L6026" t="str">
        <f>"414714283"</f>
        <v>414714283</v>
      </c>
      <c r="M6026" t="s">
        <v>75</v>
      </c>
      <c r="N6026" s="1">
        <v>43131.834722222222</v>
      </c>
      <c r="O6026" t="s">
        <v>19</v>
      </c>
    </row>
    <row r="6027" spans="1:15" x14ac:dyDescent="0.25">
      <c r="A6027" t="s">
        <v>4401</v>
      </c>
      <c r="B6027" t="s">
        <v>15</v>
      </c>
      <c r="C6027" t="s">
        <v>32</v>
      </c>
      <c r="D6027" t="s">
        <v>17</v>
      </c>
      <c r="E6027" t="s">
        <v>18</v>
      </c>
      <c r="F6027" t="s">
        <v>19</v>
      </c>
      <c r="G6027" t="s">
        <v>20</v>
      </c>
      <c r="J6027" t="s">
        <v>17</v>
      </c>
      <c r="K6027" t="str">
        <f>"764314283"</f>
        <v>764314283</v>
      </c>
      <c r="L6027" t="str">
        <f>"764314283"</f>
        <v>764314283</v>
      </c>
      <c r="M6027" t="s">
        <v>75</v>
      </c>
      <c r="N6027" s="1">
        <v>43237.636111111111</v>
      </c>
      <c r="O6027" t="s">
        <v>19</v>
      </c>
    </row>
    <row r="6028" spans="1:15" x14ac:dyDescent="0.25">
      <c r="A6028" t="s">
        <v>4401</v>
      </c>
      <c r="B6028" t="s">
        <v>15</v>
      </c>
      <c r="C6028" t="s">
        <v>32</v>
      </c>
      <c r="D6028" t="s">
        <v>17</v>
      </c>
      <c r="E6028" t="s">
        <v>18</v>
      </c>
      <c r="F6028" t="s">
        <v>19</v>
      </c>
      <c r="G6028" t="s">
        <v>20</v>
      </c>
      <c r="J6028" t="s">
        <v>17</v>
      </c>
      <c r="K6028" t="str">
        <f>"764014283"</f>
        <v>764014283</v>
      </c>
      <c r="L6028" t="str">
        <f>"764014283"</f>
        <v>764014283</v>
      </c>
      <c r="M6028" t="s">
        <v>84</v>
      </c>
      <c r="N6028" s="1">
        <v>43370.698611111111</v>
      </c>
      <c r="O6028" t="s">
        <v>19</v>
      </c>
    </row>
    <row r="6029" spans="1:15" x14ac:dyDescent="0.25">
      <c r="A6029" t="s">
        <v>4402</v>
      </c>
      <c r="B6029" t="s">
        <v>15</v>
      </c>
      <c r="C6029" t="s">
        <v>32</v>
      </c>
      <c r="D6029" t="s">
        <v>17</v>
      </c>
      <c r="E6029" t="s">
        <v>18</v>
      </c>
      <c r="F6029" t="s">
        <v>19</v>
      </c>
      <c r="G6029" t="s">
        <v>20</v>
      </c>
      <c r="J6029" t="s">
        <v>17</v>
      </c>
      <c r="K6029" t="str">
        <f>"915914291"</f>
        <v>915914291</v>
      </c>
      <c r="L6029" t="str">
        <f>"915914291"</f>
        <v>915914291</v>
      </c>
      <c r="M6029" t="s">
        <v>75</v>
      </c>
      <c r="N6029" s="1">
        <v>42872.849305555559</v>
      </c>
      <c r="O6029" t="s">
        <v>19</v>
      </c>
    </row>
    <row r="6030" spans="1:15" x14ac:dyDescent="0.25">
      <c r="A6030" t="s">
        <v>4403</v>
      </c>
      <c r="B6030" t="s">
        <v>15</v>
      </c>
      <c r="C6030" t="s">
        <v>32</v>
      </c>
      <c r="D6030" t="s">
        <v>17</v>
      </c>
      <c r="E6030" t="s">
        <v>18</v>
      </c>
      <c r="F6030" t="s">
        <v>19</v>
      </c>
      <c r="G6030" t="s">
        <v>20</v>
      </c>
      <c r="J6030" t="s">
        <v>17</v>
      </c>
      <c r="K6030" t="str">
        <f>"764314108"</f>
        <v>764314108</v>
      </c>
      <c r="L6030" t="str">
        <f>"764314108"</f>
        <v>764314108</v>
      </c>
      <c r="M6030" t="s">
        <v>75</v>
      </c>
      <c r="N6030" s="1">
        <v>42872.849305555559</v>
      </c>
      <c r="O6030" t="s">
        <v>19</v>
      </c>
    </row>
    <row r="6031" spans="1:15" x14ac:dyDescent="0.25">
      <c r="A6031" t="s">
        <v>4404</v>
      </c>
      <c r="B6031" t="s">
        <v>15</v>
      </c>
      <c r="C6031" t="s">
        <v>32</v>
      </c>
      <c r="D6031" t="s">
        <v>17</v>
      </c>
      <c r="E6031" t="s">
        <v>18</v>
      </c>
      <c r="F6031" t="s">
        <v>19</v>
      </c>
      <c r="G6031" t="s">
        <v>20</v>
      </c>
      <c r="J6031" t="s">
        <v>17</v>
      </c>
      <c r="K6031" t="str">
        <f>"764014255"</f>
        <v>764014255</v>
      </c>
      <c r="L6031" t="str">
        <f>"764014255"</f>
        <v>764014255</v>
      </c>
      <c r="M6031" t="s">
        <v>84</v>
      </c>
      <c r="N6031" s="1">
        <v>43409.727083333331</v>
      </c>
      <c r="O6031" t="s">
        <v>19</v>
      </c>
    </row>
    <row r="6032" spans="1:15" x14ac:dyDescent="0.25">
      <c r="A6032" t="s">
        <v>4405</v>
      </c>
      <c r="B6032" t="s">
        <v>15</v>
      </c>
      <c r="C6032" t="s">
        <v>32</v>
      </c>
      <c r="D6032" t="s">
        <v>17</v>
      </c>
      <c r="E6032" t="s">
        <v>18</v>
      </c>
      <c r="F6032" t="s">
        <v>19</v>
      </c>
      <c r="G6032" t="s">
        <v>20</v>
      </c>
      <c r="J6032" t="s">
        <v>17</v>
      </c>
      <c r="K6032" t="str">
        <f>"34481445"</f>
        <v>34481445</v>
      </c>
      <c r="L6032" t="str">
        <f>"34481445"</f>
        <v>34481445</v>
      </c>
      <c r="M6032" t="s">
        <v>75</v>
      </c>
      <c r="N6032" s="1">
        <v>42872.839583333334</v>
      </c>
      <c r="O6032" t="s">
        <v>19</v>
      </c>
    </row>
    <row r="6033" spans="1:15" x14ac:dyDescent="0.25">
      <c r="A6033" t="s">
        <v>4405</v>
      </c>
      <c r="B6033" t="s">
        <v>15</v>
      </c>
      <c r="C6033" t="s">
        <v>32</v>
      </c>
      <c r="D6033" t="s">
        <v>17</v>
      </c>
      <c r="E6033" t="s">
        <v>18</v>
      </c>
      <c r="F6033" t="s">
        <v>19</v>
      </c>
      <c r="G6033" t="s">
        <v>20</v>
      </c>
      <c r="J6033" t="s">
        <v>17</v>
      </c>
      <c r="K6033" t="str">
        <f>"76561445"</f>
        <v>76561445</v>
      </c>
      <c r="L6033" t="str">
        <f>"76561445"</f>
        <v>76561445</v>
      </c>
      <c r="M6033" t="s">
        <v>75</v>
      </c>
      <c r="N6033" s="1">
        <v>42872.847222222219</v>
      </c>
      <c r="O6033" t="s">
        <v>19</v>
      </c>
    </row>
    <row r="6034" spans="1:15" x14ac:dyDescent="0.25">
      <c r="A6034" t="s">
        <v>4405</v>
      </c>
      <c r="B6034" t="s">
        <v>15</v>
      </c>
      <c r="C6034" t="s">
        <v>32</v>
      </c>
      <c r="D6034" t="s">
        <v>17</v>
      </c>
      <c r="E6034" t="s">
        <v>18</v>
      </c>
      <c r="F6034" t="s">
        <v>19</v>
      </c>
      <c r="G6034" t="s">
        <v>20</v>
      </c>
      <c r="J6034" t="s">
        <v>17</v>
      </c>
      <c r="K6034" t="str">
        <f>"76771445"</f>
        <v>76771445</v>
      </c>
      <c r="L6034" t="str">
        <f>"76771445"</f>
        <v>76771445</v>
      </c>
      <c r="M6034" t="s">
        <v>75</v>
      </c>
      <c r="N6034" s="1">
        <v>42872.847222222219</v>
      </c>
      <c r="O6034" t="s">
        <v>19</v>
      </c>
    </row>
    <row r="6035" spans="1:15" x14ac:dyDescent="0.25">
      <c r="A6035" t="s">
        <v>4405</v>
      </c>
      <c r="B6035" t="s">
        <v>15</v>
      </c>
      <c r="C6035" t="s">
        <v>32</v>
      </c>
      <c r="D6035" t="s">
        <v>17</v>
      </c>
      <c r="E6035" t="s">
        <v>18</v>
      </c>
      <c r="F6035" t="s">
        <v>19</v>
      </c>
      <c r="G6035" t="s">
        <v>20</v>
      </c>
      <c r="J6035" t="s">
        <v>17</v>
      </c>
      <c r="K6035" t="str">
        <f>"17901445"</f>
        <v>17901445</v>
      </c>
      <c r="L6035" t="str">
        <f>"17901445"</f>
        <v>17901445</v>
      </c>
      <c r="M6035" t="s">
        <v>75</v>
      </c>
      <c r="N6035" s="1">
        <v>42895.929166666669</v>
      </c>
      <c r="O6035" t="s">
        <v>19</v>
      </c>
    </row>
    <row r="6036" spans="1:15" x14ac:dyDescent="0.25">
      <c r="A6036" t="s">
        <v>4406</v>
      </c>
      <c r="B6036" t="s">
        <v>15</v>
      </c>
      <c r="C6036" t="s">
        <v>32</v>
      </c>
      <c r="D6036" t="s">
        <v>17</v>
      </c>
      <c r="E6036" t="s">
        <v>18</v>
      </c>
      <c r="F6036" t="s">
        <v>19</v>
      </c>
      <c r="G6036" t="s">
        <v>20</v>
      </c>
      <c r="J6036" t="s">
        <v>17</v>
      </c>
      <c r="K6036" t="str">
        <f>"765614270"</f>
        <v>765614270</v>
      </c>
      <c r="L6036" t="str">
        <f>"765614270"</f>
        <v>765614270</v>
      </c>
      <c r="M6036" t="s">
        <v>75</v>
      </c>
      <c r="N6036" s="1">
        <v>42872.849305555559</v>
      </c>
      <c r="O6036" t="s">
        <v>19</v>
      </c>
    </row>
    <row r="6037" spans="1:15" x14ac:dyDescent="0.25">
      <c r="A6037" t="s">
        <v>4406</v>
      </c>
      <c r="B6037" t="s">
        <v>15</v>
      </c>
      <c r="C6037" t="s">
        <v>32</v>
      </c>
      <c r="D6037" t="s">
        <v>17</v>
      </c>
      <c r="E6037" t="s">
        <v>18</v>
      </c>
      <c r="F6037" t="s">
        <v>19</v>
      </c>
      <c r="G6037" t="s">
        <v>20</v>
      </c>
      <c r="J6037" t="s">
        <v>17</v>
      </c>
      <c r="K6037" t="str">
        <f>"417114270"</f>
        <v>417114270</v>
      </c>
      <c r="L6037" t="str">
        <f>"417114270"</f>
        <v>417114270</v>
      </c>
      <c r="M6037" t="s">
        <v>75</v>
      </c>
      <c r="N6037" s="1">
        <v>43113.814583333333</v>
      </c>
      <c r="O6037" t="s">
        <v>19</v>
      </c>
    </row>
    <row r="6038" spans="1:15" x14ac:dyDescent="0.25">
      <c r="A6038" t="s">
        <v>4406</v>
      </c>
      <c r="B6038" t="s">
        <v>15</v>
      </c>
      <c r="C6038" t="s">
        <v>32</v>
      </c>
      <c r="D6038" t="s">
        <v>17</v>
      </c>
      <c r="E6038" t="s">
        <v>18</v>
      </c>
      <c r="F6038" t="s">
        <v>19</v>
      </c>
      <c r="G6038" t="s">
        <v>20</v>
      </c>
      <c r="J6038" t="s">
        <v>17</v>
      </c>
      <c r="K6038" t="str">
        <f>"764014270"</f>
        <v>764014270</v>
      </c>
      <c r="L6038" t="str">
        <f>"764014270"</f>
        <v>764014270</v>
      </c>
      <c r="M6038" t="s">
        <v>75</v>
      </c>
      <c r="N6038" s="1">
        <v>43196.832638888889</v>
      </c>
      <c r="O6038" t="s">
        <v>19</v>
      </c>
    </row>
    <row r="6039" spans="1:15" x14ac:dyDescent="0.25">
      <c r="A6039" t="s">
        <v>4407</v>
      </c>
      <c r="B6039" t="s">
        <v>15</v>
      </c>
      <c r="C6039" t="s">
        <v>32</v>
      </c>
      <c r="D6039" t="s">
        <v>17</v>
      </c>
      <c r="E6039" t="s">
        <v>18</v>
      </c>
      <c r="F6039" t="s">
        <v>19</v>
      </c>
      <c r="G6039" t="s">
        <v>20</v>
      </c>
      <c r="J6039" t="s">
        <v>17</v>
      </c>
      <c r="K6039" t="str">
        <f>"414714126"</f>
        <v>414714126</v>
      </c>
      <c r="L6039" t="str">
        <f>"414714126"</f>
        <v>414714126</v>
      </c>
      <c r="M6039" t="s">
        <v>75</v>
      </c>
      <c r="N6039" s="1">
        <v>43131.835416666669</v>
      </c>
      <c r="O6039" t="s">
        <v>19</v>
      </c>
    </row>
    <row r="6040" spans="1:15" x14ac:dyDescent="0.25">
      <c r="A6040" t="s">
        <v>4408</v>
      </c>
      <c r="B6040" t="s">
        <v>15</v>
      </c>
      <c r="C6040" t="s">
        <v>32</v>
      </c>
      <c r="D6040" t="s">
        <v>17</v>
      </c>
      <c r="E6040" t="s">
        <v>18</v>
      </c>
      <c r="F6040" t="s">
        <v>19</v>
      </c>
      <c r="G6040" t="s">
        <v>20</v>
      </c>
      <c r="J6040" t="s">
        <v>17</v>
      </c>
      <c r="K6040" t="str">
        <f>"764014256"</f>
        <v>764014256</v>
      </c>
      <c r="L6040" t="str">
        <f>"764014256"</f>
        <v>764014256</v>
      </c>
      <c r="M6040" t="s">
        <v>84</v>
      </c>
      <c r="N6040" s="1">
        <v>43409.645138888889</v>
      </c>
      <c r="O6040" t="s">
        <v>19</v>
      </c>
    </row>
    <row r="6041" spans="1:15" x14ac:dyDescent="0.25">
      <c r="A6041" t="s">
        <v>4409</v>
      </c>
      <c r="B6041" t="s">
        <v>15</v>
      </c>
      <c r="C6041" t="s">
        <v>32</v>
      </c>
      <c r="D6041" t="s">
        <v>17</v>
      </c>
      <c r="E6041" t="s">
        <v>18</v>
      </c>
      <c r="F6041" t="s">
        <v>19</v>
      </c>
      <c r="G6041" t="s">
        <v>20</v>
      </c>
      <c r="J6041" t="s">
        <v>17</v>
      </c>
      <c r="K6041" t="str">
        <f>"76431447"</f>
        <v>76431447</v>
      </c>
      <c r="L6041" t="str">
        <f>"76431447"</f>
        <v>76431447</v>
      </c>
      <c r="M6041" t="s">
        <v>75</v>
      </c>
      <c r="N6041" s="1">
        <v>43132.956944444442</v>
      </c>
      <c r="O6041" t="s">
        <v>19</v>
      </c>
    </row>
    <row r="6042" spans="1:15" x14ac:dyDescent="0.25">
      <c r="A6042" t="s">
        <v>4409</v>
      </c>
      <c r="B6042" t="s">
        <v>15</v>
      </c>
      <c r="C6042" t="s">
        <v>32</v>
      </c>
      <c r="D6042" t="s">
        <v>17</v>
      </c>
      <c r="E6042" t="s">
        <v>18</v>
      </c>
      <c r="F6042" t="s">
        <v>19</v>
      </c>
      <c r="G6042" t="s">
        <v>20</v>
      </c>
      <c r="J6042" t="s">
        <v>17</v>
      </c>
      <c r="K6042" t="str">
        <f>"76411447"</f>
        <v>76411447</v>
      </c>
      <c r="L6042" t="str">
        <f>"76411447"</f>
        <v>76411447</v>
      </c>
      <c r="M6042" t="s">
        <v>75</v>
      </c>
      <c r="N6042" s="1">
        <v>43237.638194444444</v>
      </c>
      <c r="O6042" t="s">
        <v>19</v>
      </c>
    </row>
    <row r="6043" spans="1:15" x14ac:dyDescent="0.25">
      <c r="A6043" t="s">
        <v>4409</v>
      </c>
      <c r="B6043" t="s">
        <v>15</v>
      </c>
      <c r="C6043" t="s">
        <v>32</v>
      </c>
      <c r="D6043" t="s">
        <v>17</v>
      </c>
      <c r="E6043" t="s">
        <v>18</v>
      </c>
      <c r="F6043" t="s">
        <v>19</v>
      </c>
      <c r="G6043" t="s">
        <v>20</v>
      </c>
      <c r="J6043" t="s">
        <v>17</v>
      </c>
      <c r="K6043" t="str">
        <f>"76401447"</f>
        <v>76401447</v>
      </c>
      <c r="L6043" t="str">
        <f>"76401447"</f>
        <v>76401447</v>
      </c>
      <c r="M6043" t="s">
        <v>84</v>
      </c>
      <c r="N6043" s="1">
        <v>43409.643055555556</v>
      </c>
      <c r="O6043" t="s">
        <v>19</v>
      </c>
    </row>
    <row r="6044" spans="1:15" x14ac:dyDescent="0.25">
      <c r="A6044" t="s">
        <v>4410</v>
      </c>
      <c r="B6044" t="s">
        <v>15</v>
      </c>
      <c r="C6044" t="s">
        <v>32</v>
      </c>
      <c r="D6044" t="s">
        <v>17</v>
      </c>
      <c r="E6044" t="s">
        <v>18</v>
      </c>
      <c r="F6044" t="s">
        <v>19</v>
      </c>
      <c r="G6044" t="s">
        <v>20</v>
      </c>
      <c r="J6044" t="s">
        <v>17</v>
      </c>
      <c r="K6044" t="str">
        <f>"174714137"</f>
        <v>174714137</v>
      </c>
      <c r="L6044" t="str">
        <f>"174714137"</f>
        <v>174714137</v>
      </c>
      <c r="M6044" t="s">
        <v>75</v>
      </c>
      <c r="N6044" s="1">
        <v>43133.67083333333</v>
      </c>
      <c r="O6044" t="s">
        <v>19</v>
      </c>
    </row>
    <row r="6045" spans="1:15" x14ac:dyDescent="0.25">
      <c r="A6045" t="s">
        <v>4411</v>
      </c>
      <c r="B6045" t="s">
        <v>15</v>
      </c>
      <c r="C6045" t="s">
        <v>32</v>
      </c>
      <c r="D6045" t="s">
        <v>17</v>
      </c>
      <c r="E6045" t="s">
        <v>18</v>
      </c>
      <c r="F6045" t="s">
        <v>19</v>
      </c>
      <c r="G6045" t="s">
        <v>20</v>
      </c>
      <c r="J6045" t="s">
        <v>17</v>
      </c>
      <c r="K6045" t="str">
        <f>"417114266"</f>
        <v>417114266</v>
      </c>
      <c r="L6045" t="str">
        <f>"417114266"</f>
        <v>417114266</v>
      </c>
      <c r="M6045" t="s">
        <v>75</v>
      </c>
      <c r="N6045" s="1">
        <v>43113.816666666666</v>
      </c>
      <c r="O6045" t="s">
        <v>19</v>
      </c>
    </row>
    <row r="6046" spans="1:15" x14ac:dyDescent="0.25">
      <c r="A6046" t="s">
        <v>4411</v>
      </c>
      <c r="B6046" t="s">
        <v>15</v>
      </c>
      <c r="C6046" t="s">
        <v>32</v>
      </c>
      <c r="D6046" t="s">
        <v>17</v>
      </c>
      <c r="E6046" t="s">
        <v>18</v>
      </c>
      <c r="F6046" t="s">
        <v>19</v>
      </c>
      <c r="G6046" t="s">
        <v>20</v>
      </c>
      <c r="J6046" t="s">
        <v>17</v>
      </c>
      <c r="K6046" t="str">
        <f>"764314266"</f>
        <v>764314266</v>
      </c>
      <c r="L6046" t="str">
        <f>"764314266"</f>
        <v>764314266</v>
      </c>
      <c r="M6046" t="s">
        <v>75</v>
      </c>
      <c r="N6046" s="1">
        <v>43148.65902777778</v>
      </c>
      <c r="O6046" t="s">
        <v>19</v>
      </c>
    </row>
    <row r="6047" spans="1:15" x14ac:dyDescent="0.25">
      <c r="A6047" t="s">
        <v>4411</v>
      </c>
      <c r="B6047" t="s">
        <v>15</v>
      </c>
      <c r="C6047" t="s">
        <v>32</v>
      </c>
      <c r="D6047" t="s">
        <v>17</v>
      </c>
      <c r="E6047" t="s">
        <v>18</v>
      </c>
      <c r="F6047" t="s">
        <v>19</v>
      </c>
      <c r="G6047" t="s">
        <v>20</v>
      </c>
      <c r="J6047" t="s">
        <v>17</v>
      </c>
      <c r="K6047" t="str">
        <f>"764014266"</f>
        <v>764014266</v>
      </c>
      <c r="L6047" t="str">
        <f>"764014266"</f>
        <v>764014266</v>
      </c>
      <c r="M6047" t="s">
        <v>75</v>
      </c>
      <c r="N6047" s="1">
        <v>43196.818055555559</v>
      </c>
      <c r="O6047" t="s">
        <v>19</v>
      </c>
    </row>
    <row r="6048" spans="1:15" x14ac:dyDescent="0.25">
      <c r="A6048" t="s">
        <v>4411</v>
      </c>
      <c r="B6048" t="s">
        <v>15</v>
      </c>
      <c r="C6048" t="s">
        <v>32</v>
      </c>
      <c r="D6048" t="s">
        <v>17</v>
      </c>
      <c r="E6048" t="s">
        <v>18</v>
      </c>
      <c r="F6048" t="s">
        <v>19</v>
      </c>
      <c r="G6048" t="s">
        <v>20</v>
      </c>
      <c r="J6048" t="s">
        <v>17</v>
      </c>
      <c r="K6048" t="str">
        <f>"764114266"</f>
        <v>764114266</v>
      </c>
      <c r="L6048" t="str">
        <f>"764114266"</f>
        <v>764114266</v>
      </c>
      <c r="M6048" t="s">
        <v>75</v>
      </c>
      <c r="N6048" s="1">
        <v>43237.631944444445</v>
      </c>
      <c r="O6048" t="s">
        <v>19</v>
      </c>
    </row>
    <row r="6049" spans="1:15" x14ac:dyDescent="0.25">
      <c r="A6049" t="s">
        <v>4412</v>
      </c>
      <c r="B6049" t="s">
        <v>15</v>
      </c>
      <c r="C6049" t="s">
        <v>32</v>
      </c>
      <c r="D6049" t="s">
        <v>17</v>
      </c>
      <c r="E6049" t="s">
        <v>18</v>
      </c>
      <c r="F6049" t="s">
        <v>19</v>
      </c>
      <c r="G6049" t="s">
        <v>20</v>
      </c>
      <c r="J6049" t="s">
        <v>17</v>
      </c>
      <c r="K6049" t="str">
        <f>"764314127"</f>
        <v>764314127</v>
      </c>
      <c r="L6049" t="str">
        <f>"764314127"</f>
        <v>764314127</v>
      </c>
      <c r="M6049" t="s">
        <v>75</v>
      </c>
      <c r="N6049" s="1">
        <v>43237.623611111114</v>
      </c>
      <c r="O6049" t="s">
        <v>19</v>
      </c>
    </row>
    <row r="6050" spans="1:15" x14ac:dyDescent="0.25">
      <c r="A6050" t="s">
        <v>4413</v>
      </c>
      <c r="B6050" t="s">
        <v>15</v>
      </c>
      <c r="C6050" t="s">
        <v>32</v>
      </c>
      <c r="D6050" t="s">
        <v>17</v>
      </c>
      <c r="E6050" t="s">
        <v>18</v>
      </c>
      <c r="F6050" t="s">
        <v>19</v>
      </c>
      <c r="G6050" t="s">
        <v>20</v>
      </c>
      <c r="J6050" t="s">
        <v>17</v>
      </c>
      <c r="K6050" t="str">
        <f>"764114261"</f>
        <v>764114261</v>
      </c>
      <c r="L6050" t="str">
        <f>"764114261"</f>
        <v>764114261</v>
      </c>
      <c r="M6050" t="s">
        <v>84</v>
      </c>
      <c r="N6050" s="1">
        <v>43465.647222222222</v>
      </c>
      <c r="O6050" t="s">
        <v>19</v>
      </c>
    </row>
    <row r="6051" spans="1:15" x14ac:dyDescent="0.25">
      <c r="A6051" t="s">
        <v>4413</v>
      </c>
      <c r="B6051" t="s">
        <v>15</v>
      </c>
      <c r="C6051" t="s">
        <v>32</v>
      </c>
      <c r="D6051" t="s">
        <v>17</v>
      </c>
      <c r="E6051" t="s">
        <v>18</v>
      </c>
      <c r="F6051" t="s">
        <v>19</v>
      </c>
      <c r="G6051" t="s">
        <v>20</v>
      </c>
      <c r="J6051" t="s">
        <v>17</v>
      </c>
      <c r="K6051" t="str">
        <f>"677914261"</f>
        <v>677914261</v>
      </c>
      <c r="L6051" t="str">
        <f>"677914261"</f>
        <v>677914261</v>
      </c>
      <c r="M6051" t="s">
        <v>84</v>
      </c>
      <c r="N6051" s="1">
        <v>43502.657638888886</v>
      </c>
      <c r="O6051" t="s">
        <v>19</v>
      </c>
    </row>
    <row r="6052" spans="1:15" x14ac:dyDescent="0.25">
      <c r="A6052" t="s">
        <v>4414</v>
      </c>
      <c r="B6052" t="s">
        <v>15</v>
      </c>
      <c r="C6052" t="s">
        <v>32</v>
      </c>
      <c r="D6052" t="s">
        <v>17</v>
      </c>
      <c r="E6052" t="s">
        <v>18</v>
      </c>
      <c r="F6052" t="s">
        <v>19</v>
      </c>
      <c r="G6052" t="s">
        <v>20</v>
      </c>
      <c r="J6052" t="s">
        <v>17</v>
      </c>
      <c r="K6052" t="str">
        <f>"76567612"</f>
        <v>76567612</v>
      </c>
      <c r="L6052" t="str">
        <f>"76567612"</f>
        <v>76567612</v>
      </c>
      <c r="M6052" t="s">
        <v>75</v>
      </c>
      <c r="N6052" s="1">
        <v>42872.847222222219</v>
      </c>
      <c r="O6052" t="s">
        <v>19</v>
      </c>
    </row>
    <row r="6053" spans="1:15" x14ac:dyDescent="0.25">
      <c r="A6053" t="s">
        <v>4415</v>
      </c>
      <c r="B6053" t="s">
        <v>15</v>
      </c>
      <c r="C6053" t="s">
        <v>32</v>
      </c>
      <c r="D6053" t="s">
        <v>17</v>
      </c>
      <c r="E6053" t="s">
        <v>18</v>
      </c>
      <c r="F6053" t="s">
        <v>19</v>
      </c>
      <c r="G6053" t="s">
        <v>20</v>
      </c>
      <c r="J6053" t="s">
        <v>17</v>
      </c>
      <c r="K6053" t="str">
        <f>"174714138"</f>
        <v>174714138</v>
      </c>
      <c r="L6053" t="str">
        <f>"174714138"</f>
        <v>174714138</v>
      </c>
      <c r="M6053" t="s">
        <v>75</v>
      </c>
      <c r="N6053" s="1">
        <v>43133.672222222223</v>
      </c>
      <c r="O6053" t="s">
        <v>19</v>
      </c>
    </row>
    <row r="6054" spans="1:15" x14ac:dyDescent="0.25">
      <c r="A6054" t="s">
        <v>4416</v>
      </c>
      <c r="B6054" t="s">
        <v>15</v>
      </c>
      <c r="C6054" t="s">
        <v>32</v>
      </c>
      <c r="D6054" t="s">
        <v>17</v>
      </c>
      <c r="E6054" t="s">
        <v>18</v>
      </c>
      <c r="F6054" t="s">
        <v>19</v>
      </c>
      <c r="G6054" t="s">
        <v>20</v>
      </c>
      <c r="J6054" t="s">
        <v>17</v>
      </c>
      <c r="K6054" t="str">
        <f>"11003327"</f>
        <v>11003327</v>
      </c>
      <c r="L6054" t="str">
        <f>"11003327"</f>
        <v>11003327</v>
      </c>
      <c r="M6054" t="s">
        <v>75</v>
      </c>
      <c r="N6054" s="1">
        <v>42872.839583333334</v>
      </c>
      <c r="O6054" t="s">
        <v>19</v>
      </c>
    </row>
    <row r="6055" spans="1:15" x14ac:dyDescent="0.25">
      <c r="A6055" t="s">
        <v>4416</v>
      </c>
      <c r="B6055" t="s">
        <v>15</v>
      </c>
      <c r="C6055" t="s">
        <v>32</v>
      </c>
      <c r="D6055" t="s">
        <v>17</v>
      </c>
      <c r="E6055" t="s">
        <v>18</v>
      </c>
      <c r="F6055" t="s">
        <v>19</v>
      </c>
      <c r="G6055" t="s">
        <v>20</v>
      </c>
      <c r="J6055" t="s">
        <v>17</v>
      </c>
      <c r="K6055" t="str">
        <f>"11017707"</f>
        <v>11017707</v>
      </c>
      <c r="L6055" t="str">
        <f>"11017707"</f>
        <v>11017707</v>
      </c>
      <c r="M6055" t="s">
        <v>75</v>
      </c>
      <c r="N6055" s="1">
        <v>42872.839583333334</v>
      </c>
      <c r="O6055" t="s">
        <v>19</v>
      </c>
    </row>
    <row r="6056" spans="1:15" x14ac:dyDescent="0.25">
      <c r="A6056" t="s">
        <v>4417</v>
      </c>
      <c r="B6056" t="s">
        <v>15</v>
      </c>
      <c r="C6056" t="s">
        <v>32</v>
      </c>
      <c r="D6056" t="s">
        <v>17</v>
      </c>
      <c r="E6056" t="s">
        <v>18</v>
      </c>
      <c r="F6056" t="s">
        <v>19</v>
      </c>
      <c r="G6056" t="s">
        <v>20</v>
      </c>
      <c r="J6056" t="s">
        <v>17</v>
      </c>
      <c r="K6056" t="str">
        <f>"11017708"</f>
        <v>11017708</v>
      </c>
      <c r="L6056" t="str">
        <f>"11017708"</f>
        <v>11017708</v>
      </c>
      <c r="M6056" t="s">
        <v>75</v>
      </c>
      <c r="N6056" s="1">
        <v>42872.839583333334</v>
      </c>
      <c r="O6056" t="s">
        <v>19</v>
      </c>
    </row>
    <row r="6057" spans="1:15" x14ac:dyDescent="0.25">
      <c r="A6057" t="s">
        <v>4418</v>
      </c>
      <c r="B6057" t="s">
        <v>15</v>
      </c>
      <c r="C6057" t="s">
        <v>32</v>
      </c>
      <c r="D6057" t="s">
        <v>17</v>
      </c>
      <c r="E6057" t="s">
        <v>18</v>
      </c>
      <c r="F6057" t="s">
        <v>19</v>
      </c>
      <c r="G6057" t="s">
        <v>20</v>
      </c>
      <c r="J6057" t="s">
        <v>17</v>
      </c>
      <c r="K6057" t="str">
        <f>"76481486"</f>
        <v>76481486</v>
      </c>
      <c r="L6057" t="str">
        <f>"76481486"</f>
        <v>76481486</v>
      </c>
      <c r="M6057" t="s">
        <v>75</v>
      </c>
      <c r="N6057" s="1">
        <v>42872.847222222219</v>
      </c>
      <c r="O6057" t="s">
        <v>19</v>
      </c>
    </row>
    <row r="6058" spans="1:15" x14ac:dyDescent="0.25">
      <c r="A6058" t="s">
        <v>4419</v>
      </c>
      <c r="B6058" t="s">
        <v>15</v>
      </c>
      <c r="C6058" t="s">
        <v>32</v>
      </c>
      <c r="D6058" t="s">
        <v>17</v>
      </c>
      <c r="E6058" t="s">
        <v>18</v>
      </c>
      <c r="F6058" t="s">
        <v>19</v>
      </c>
      <c r="G6058" t="s">
        <v>20</v>
      </c>
      <c r="J6058" t="s">
        <v>17</v>
      </c>
      <c r="K6058" t="str">
        <f>"177114178"</f>
        <v>177114178</v>
      </c>
      <c r="L6058" t="str">
        <f>"177114178"</f>
        <v>177114178</v>
      </c>
      <c r="M6058" t="s">
        <v>75</v>
      </c>
      <c r="N6058" s="1">
        <v>42872.849305555559</v>
      </c>
      <c r="O6058" t="s">
        <v>19</v>
      </c>
    </row>
    <row r="6059" spans="1:15" x14ac:dyDescent="0.25">
      <c r="A6059" t="s">
        <v>4419</v>
      </c>
      <c r="B6059" t="s">
        <v>15</v>
      </c>
      <c r="C6059" t="s">
        <v>32</v>
      </c>
      <c r="D6059" t="s">
        <v>17</v>
      </c>
      <c r="E6059" t="s">
        <v>18</v>
      </c>
      <c r="F6059" t="s">
        <v>19</v>
      </c>
      <c r="G6059" t="s">
        <v>20</v>
      </c>
      <c r="J6059" t="s">
        <v>17</v>
      </c>
      <c r="K6059" t="str">
        <f>"767714178"</f>
        <v>767714178</v>
      </c>
      <c r="L6059" t="str">
        <f>"767714178"</f>
        <v>767714178</v>
      </c>
      <c r="M6059" t="s">
        <v>75</v>
      </c>
      <c r="N6059" s="1">
        <v>42872.849305555559</v>
      </c>
      <c r="O6059" t="s">
        <v>19</v>
      </c>
    </row>
    <row r="6060" spans="1:15" x14ac:dyDescent="0.25">
      <c r="A6060" t="s">
        <v>4420</v>
      </c>
      <c r="B6060" t="s">
        <v>15</v>
      </c>
      <c r="C6060" t="s">
        <v>32</v>
      </c>
      <c r="D6060" t="s">
        <v>17</v>
      </c>
      <c r="E6060" t="s">
        <v>18</v>
      </c>
      <c r="F6060" t="s">
        <v>19</v>
      </c>
      <c r="G6060" t="s">
        <v>20</v>
      </c>
      <c r="J6060" t="s">
        <v>17</v>
      </c>
      <c r="K6060" t="str">
        <f>"176814191"</f>
        <v>176814191</v>
      </c>
      <c r="L6060" t="str">
        <f>"176814191"</f>
        <v>176814191</v>
      </c>
      <c r="M6060" t="s">
        <v>75</v>
      </c>
      <c r="N6060" s="1">
        <v>42872.849305555559</v>
      </c>
      <c r="O6060" t="s">
        <v>19</v>
      </c>
    </row>
    <row r="6061" spans="1:15" x14ac:dyDescent="0.25">
      <c r="A6061" t="s">
        <v>4420</v>
      </c>
      <c r="B6061" t="s">
        <v>15</v>
      </c>
      <c r="C6061" t="s">
        <v>32</v>
      </c>
      <c r="D6061" t="s">
        <v>17</v>
      </c>
      <c r="E6061" t="s">
        <v>18</v>
      </c>
      <c r="F6061" t="s">
        <v>19</v>
      </c>
      <c r="G6061" t="s">
        <v>20</v>
      </c>
      <c r="J6061" t="s">
        <v>17</v>
      </c>
      <c r="K6061" t="str">
        <f>"175714191"</f>
        <v>175714191</v>
      </c>
      <c r="L6061" t="str">
        <f>"175714191"</f>
        <v>175714191</v>
      </c>
      <c r="M6061" t="s">
        <v>75</v>
      </c>
      <c r="N6061" s="1">
        <v>42979.811111111114</v>
      </c>
      <c r="O6061" t="s">
        <v>19</v>
      </c>
    </row>
    <row r="6062" spans="1:15" x14ac:dyDescent="0.25">
      <c r="A6062" t="s">
        <v>4421</v>
      </c>
      <c r="B6062" t="s">
        <v>15</v>
      </c>
      <c r="C6062" t="s">
        <v>32</v>
      </c>
      <c r="D6062" t="s">
        <v>17</v>
      </c>
      <c r="E6062" t="s">
        <v>18</v>
      </c>
      <c r="F6062" t="s">
        <v>19</v>
      </c>
      <c r="G6062" t="s">
        <v>20</v>
      </c>
      <c r="J6062" t="s">
        <v>17</v>
      </c>
      <c r="K6062" t="str">
        <f>"767714200"</f>
        <v>767714200</v>
      </c>
      <c r="L6062" t="str">
        <f>"767714200"</f>
        <v>767714200</v>
      </c>
      <c r="M6062" t="s">
        <v>75</v>
      </c>
      <c r="N6062" s="1">
        <v>42896.781944444447</v>
      </c>
      <c r="O6062" t="s">
        <v>19</v>
      </c>
    </row>
    <row r="6063" spans="1:15" x14ac:dyDescent="0.25">
      <c r="A6063" t="s">
        <v>4421</v>
      </c>
      <c r="B6063" t="s">
        <v>15</v>
      </c>
      <c r="C6063" t="s">
        <v>32</v>
      </c>
      <c r="D6063" t="s">
        <v>17</v>
      </c>
      <c r="E6063" t="s">
        <v>18</v>
      </c>
      <c r="F6063" t="s">
        <v>19</v>
      </c>
      <c r="G6063" t="s">
        <v>20</v>
      </c>
      <c r="J6063" t="s">
        <v>17</v>
      </c>
      <c r="K6063" t="str">
        <f>"174614200"</f>
        <v>174614200</v>
      </c>
      <c r="L6063" t="str">
        <f>"174614200"</f>
        <v>174614200</v>
      </c>
      <c r="M6063" t="s">
        <v>75</v>
      </c>
      <c r="N6063" s="1">
        <v>43133.668749999997</v>
      </c>
      <c r="O6063" t="s">
        <v>19</v>
      </c>
    </row>
    <row r="6064" spans="1:15" x14ac:dyDescent="0.25">
      <c r="A6064" t="s">
        <v>4422</v>
      </c>
      <c r="B6064" t="s">
        <v>15</v>
      </c>
      <c r="C6064" t="s">
        <v>32</v>
      </c>
      <c r="D6064" t="s">
        <v>17</v>
      </c>
      <c r="E6064" t="s">
        <v>18</v>
      </c>
      <c r="F6064" t="s">
        <v>19</v>
      </c>
      <c r="G6064" t="s">
        <v>20</v>
      </c>
      <c r="J6064" t="s">
        <v>17</v>
      </c>
      <c r="K6064" t="str">
        <f>"177714201"</f>
        <v>177714201</v>
      </c>
      <c r="L6064" t="str">
        <f>"177714201"</f>
        <v>177714201</v>
      </c>
      <c r="M6064" t="s">
        <v>75</v>
      </c>
      <c r="N6064" s="1">
        <v>42956.936111111114</v>
      </c>
      <c r="O6064" t="s">
        <v>19</v>
      </c>
    </row>
    <row r="6065" spans="1:15" x14ac:dyDescent="0.25">
      <c r="A6065" t="s">
        <v>4422</v>
      </c>
      <c r="B6065" t="s">
        <v>15</v>
      </c>
      <c r="C6065" t="s">
        <v>32</v>
      </c>
      <c r="D6065" t="s">
        <v>17</v>
      </c>
      <c r="E6065" t="s">
        <v>18</v>
      </c>
      <c r="F6065" t="s">
        <v>19</v>
      </c>
      <c r="G6065" t="s">
        <v>20</v>
      </c>
      <c r="J6065" t="s">
        <v>17</v>
      </c>
      <c r="K6065" t="str">
        <f>"767714201"</f>
        <v>767714201</v>
      </c>
      <c r="L6065" t="str">
        <f>"767714201"</f>
        <v>767714201</v>
      </c>
      <c r="M6065" t="s">
        <v>75</v>
      </c>
      <c r="N6065" s="1">
        <v>42986.694444444445</v>
      </c>
      <c r="O6065" t="s">
        <v>19</v>
      </c>
    </row>
    <row r="6066" spans="1:15" x14ac:dyDescent="0.25">
      <c r="A6066" t="s">
        <v>4422</v>
      </c>
      <c r="B6066" t="s">
        <v>15</v>
      </c>
      <c r="C6066" t="s">
        <v>32</v>
      </c>
      <c r="D6066" t="s">
        <v>17</v>
      </c>
      <c r="E6066" t="s">
        <v>18</v>
      </c>
      <c r="F6066" t="s">
        <v>19</v>
      </c>
      <c r="G6066" t="s">
        <v>20</v>
      </c>
      <c r="J6066" t="s">
        <v>17</v>
      </c>
      <c r="K6066" t="str">
        <f>"174614201"</f>
        <v>174614201</v>
      </c>
      <c r="L6066" t="str">
        <f>"174614201"</f>
        <v>174614201</v>
      </c>
      <c r="M6066" t="s">
        <v>75</v>
      </c>
      <c r="N6066" s="1">
        <v>43133.668749999997</v>
      </c>
      <c r="O6066" t="s">
        <v>19</v>
      </c>
    </row>
    <row r="6067" spans="1:15" x14ac:dyDescent="0.25">
      <c r="A6067" t="s">
        <v>4423</v>
      </c>
      <c r="B6067" t="s">
        <v>15</v>
      </c>
      <c r="C6067" t="s">
        <v>32</v>
      </c>
      <c r="D6067" t="s">
        <v>17</v>
      </c>
      <c r="E6067" t="s">
        <v>18</v>
      </c>
      <c r="F6067" t="s">
        <v>19</v>
      </c>
      <c r="G6067" t="s">
        <v>20</v>
      </c>
      <c r="J6067" t="s">
        <v>18</v>
      </c>
      <c r="K6067" t="str">
        <f>"869214203"</f>
        <v>869214203</v>
      </c>
      <c r="L6067" t="str">
        <f>"869214203"</f>
        <v>869214203</v>
      </c>
      <c r="M6067" t="s">
        <v>84</v>
      </c>
      <c r="N6067" s="1">
        <v>43374.643055555556</v>
      </c>
      <c r="O6067" t="s">
        <v>19</v>
      </c>
    </row>
    <row r="6068" spans="1:15" x14ac:dyDescent="0.25">
      <c r="A6068" t="s">
        <v>4424</v>
      </c>
      <c r="B6068" t="s">
        <v>15</v>
      </c>
      <c r="C6068" t="s">
        <v>27</v>
      </c>
      <c r="D6068" t="s">
        <v>17</v>
      </c>
      <c r="E6068" t="s">
        <v>18</v>
      </c>
      <c r="F6068" t="s">
        <v>19</v>
      </c>
      <c r="G6068" t="s">
        <v>20</v>
      </c>
      <c r="J6068" t="s">
        <v>17</v>
      </c>
      <c r="K6068" t="str">
        <f>"110764025"</f>
        <v>110764025</v>
      </c>
      <c r="L6068" t="str">
        <f>"110764025"</f>
        <v>110764025</v>
      </c>
      <c r="M6068" t="s">
        <v>75</v>
      </c>
      <c r="N6068" s="1">
        <v>42872.847222222219</v>
      </c>
      <c r="O6068" t="s">
        <v>19</v>
      </c>
    </row>
    <row r="6069" spans="1:15" x14ac:dyDescent="0.25">
      <c r="A6069" t="s">
        <v>4425</v>
      </c>
      <c r="B6069" t="s">
        <v>15</v>
      </c>
      <c r="C6069" t="s">
        <v>27</v>
      </c>
      <c r="D6069" t="s">
        <v>17</v>
      </c>
      <c r="E6069" t="s">
        <v>18</v>
      </c>
      <c r="F6069" t="s">
        <v>19</v>
      </c>
      <c r="G6069" t="s">
        <v>20</v>
      </c>
      <c r="J6069" t="s">
        <v>17</v>
      </c>
      <c r="K6069" t="str">
        <f>"110762360"</f>
        <v>110762360</v>
      </c>
      <c r="L6069" t="str">
        <f>"110762360"</f>
        <v>110762360</v>
      </c>
      <c r="M6069" t="s">
        <v>75</v>
      </c>
      <c r="N6069" s="1">
        <v>42872.847222222219</v>
      </c>
      <c r="O6069" t="s">
        <v>19</v>
      </c>
    </row>
    <row r="6070" spans="1:15" x14ac:dyDescent="0.25">
      <c r="A6070" t="s">
        <v>4426</v>
      </c>
      <c r="B6070" t="s">
        <v>15</v>
      </c>
      <c r="C6070" t="s">
        <v>1607</v>
      </c>
      <c r="D6070" t="s">
        <v>17</v>
      </c>
      <c r="E6070" t="s">
        <v>18</v>
      </c>
      <c r="F6070" t="s">
        <v>19</v>
      </c>
      <c r="G6070" t="s">
        <v>20</v>
      </c>
      <c r="J6070" t="s">
        <v>17</v>
      </c>
      <c r="K6070" t="str">
        <f>"764805152"</f>
        <v>764805152</v>
      </c>
      <c r="L6070" t="str">
        <f>"764805152"</f>
        <v>764805152</v>
      </c>
      <c r="M6070" t="s">
        <v>75</v>
      </c>
      <c r="N6070" s="1">
        <v>42872.849305555559</v>
      </c>
      <c r="O6070" t="s">
        <v>19</v>
      </c>
    </row>
    <row r="6071" spans="1:15" x14ac:dyDescent="0.25">
      <c r="A6071" t="s">
        <v>4427</v>
      </c>
      <c r="B6071" t="s">
        <v>15</v>
      </c>
      <c r="C6071" t="s">
        <v>1607</v>
      </c>
      <c r="D6071" t="s">
        <v>17</v>
      </c>
      <c r="E6071" t="s">
        <v>18</v>
      </c>
      <c r="F6071" t="s">
        <v>19</v>
      </c>
      <c r="G6071" t="s">
        <v>20</v>
      </c>
      <c r="J6071" t="s">
        <v>17</v>
      </c>
      <c r="K6071" t="str">
        <f>"76431503"</f>
        <v>76431503</v>
      </c>
      <c r="L6071" t="str">
        <f>"76431503"</f>
        <v>76431503</v>
      </c>
      <c r="M6071" t="s">
        <v>75</v>
      </c>
      <c r="N6071" s="1">
        <v>42872.847222222219</v>
      </c>
      <c r="O6071" t="s">
        <v>19</v>
      </c>
    </row>
    <row r="6072" spans="1:15" x14ac:dyDescent="0.25">
      <c r="A6072" t="s">
        <v>4428</v>
      </c>
      <c r="B6072" t="s">
        <v>15</v>
      </c>
      <c r="C6072" t="s">
        <v>1607</v>
      </c>
      <c r="D6072" t="s">
        <v>17</v>
      </c>
      <c r="E6072" t="s">
        <v>18</v>
      </c>
      <c r="F6072" t="s">
        <v>19</v>
      </c>
      <c r="G6072" t="s">
        <v>20</v>
      </c>
      <c r="J6072" t="s">
        <v>17</v>
      </c>
      <c r="K6072" t="str">
        <f>"76560303"</f>
        <v>76560303</v>
      </c>
      <c r="L6072" t="str">
        <f>"76560303"</f>
        <v>76560303</v>
      </c>
      <c r="M6072" t="s">
        <v>75</v>
      </c>
      <c r="N6072" s="1">
        <v>42872.847222222219</v>
      </c>
      <c r="O6072" t="s">
        <v>19</v>
      </c>
    </row>
    <row r="6073" spans="1:15" x14ac:dyDescent="0.25">
      <c r="A6073" t="s">
        <v>4428</v>
      </c>
      <c r="B6073" t="s">
        <v>15</v>
      </c>
      <c r="C6073" t="s">
        <v>1607</v>
      </c>
      <c r="D6073" t="s">
        <v>17</v>
      </c>
      <c r="E6073" t="s">
        <v>18</v>
      </c>
      <c r="F6073" t="s">
        <v>19</v>
      </c>
      <c r="G6073" t="s">
        <v>20</v>
      </c>
      <c r="J6073" t="s">
        <v>17</v>
      </c>
      <c r="K6073" t="str">
        <f>"76561503"</f>
        <v>76561503</v>
      </c>
      <c r="L6073" t="str">
        <f>"76561503"</f>
        <v>76561503</v>
      </c>
      <c r="M6073" t="s">
        <v>75</v>
      </c>
      <c r="N6073" s="1">
        <v>42872.847222222219</v>
      </c>
      <c r="O6073" t="s">
        <v>19</v>
      </c>
    </row>
    <row r="6074" spans="1:15" x14ac:dyDescent="0.25">
      <c r="A6074" t="s">
        <v>4429</v>
      </c>
      <c r="B6074" t="s">
        <v>15</v>
      </c>
      <c r="C6074" t="s">
        <v>27</v>
      </c>
      <c r="D6074" t="s">
        <v>17</v>
      </c>
      <c r="E6074" t="s">
        <v>18</v>
      </c>
      <c r="F6074" t="s">
        <v>19</v>
      </c>
      <c r="G6074" t="s">
        <v>20</v>
      </c>
      <c r="J6074" t="s">
        <v>17</v>
      </c>
      <c r="K6074" t="str">
        <f>"110764027"</f>
        <v>110764027</v>
      </c>
      <c r="L6074" t="str">
        <f>"110764027"</f>
        <v>110764027</v>
      </c>
      <c r="M6074" t="s">
        <v>75</v>
      </c>
      <c r="N6074" s="1">
        <v>42872.847222222219</v>
      </c>
      <c r="O6074" t="s">
        <v>19</v>
      </c>
    </row>
    <row r="6075" spans="1:15" x14ac:dyDescent="0.25">
      <c r="A6075" t="s">
        <v>4430</v>
      </c>
      <c r="B6075" t="s">
        <v>15</v>
      </c>
      <c r="C6075" t="s">
        <v>32</v>
      </c>
      <c r="D6075" t="s">
        <v>17</v>
      </c>
      <c r="E6075" t="s">
        <v>18</v>
      </c>
      <c r="F6075" t="s">
        <v>19</v>
      </c>
      <c r="G6075" t="s">
        <v>20</v>
      </c>
      <c r="J6075" t="s">
        <v>17</v>
      </c>
      <c r="K6075" t="str">
        <f>"17481518"</f>
        <v>17481518</v>
      </c>
      <c r="L6075" t="str">
        <f>"17481518"</f>
        <v>17481518</v>
      </c>
      <c r="M6075" t="s">
        <v>75</v>
      </c>
      <c r="N6075" s="1">
        <v>42872.839583333334</v>
      </c>
      <c r="O6075" t="s">
        <v>19</v>
      </c>
    </row>
    <row r="6076" spans="1:15" x14ac:dyDescent="0.25">
      <c r="A6076" t="s">
        <v>4430</v>
      </c>
      <c r="B6076" t="s">
        <v>15</v>
      </c>
      <c r="C6076" t="s">
        <v>27</v>
      </c>
      <c r="D6076" t="s">
        <v>17</v>
      </c>
      <c r="E6076" t="s">
        <v>18</v>
      </c>
      <c r="F6076" t="s">
        <v>19</v>
      </c>
      <c r="G6076" t="s">
        <v>20</v>
      </c>
      <c r="J6076" t="s">
        <v>17</v>
      </c>
      <c r="K6076" t="str">
        <f>"110761001"</f>
        <v>110761001</v>
      </c>
      <c r="L6076" t="str">
        <f>"110761001"</f>
        <v>110761001</v>
      </c>
      <c r="M6076" t="s">
        <v>21</v>
      </c>
      <c r="N6076" s="1">
        <v>42872.847222222219</v>
      </c>
      <c r="O6076" t="s">
        <v>33</v>
      </c>
    </row>
    <row r="6077" spans="1:15" x14ac:dyDescent="0.25">
      <c r="A6077" t="s">
        <v>4431</v>
      </c>
      <c r="B6077" t="s">
        <v>15</v>
      </c>
      <c r="C6077" t="s">
        <v>32</v>
      </c>
      <c r="D6077" t="s">
        <v>17</v>
      </c>
      <c r="E6077" t="s">
        <v>18</v>
      </c>
      <c r="F6077" t="s">
        <v>19</v>
      </c>
      <c r="G6077" t="s">
        <v>20</v>
      </c>
      <c r="J6077" t="s">
        <v>17</v>
      </c>
      <c r="K6077" t="str">
        <f>"767715286"</f>
        <v>767715286</v>
      </c>
      <c r="L6077" t="str">
        <f>"767715286"</f>
        <v>767715286</v>
      </c>
      <c r="M6077" t="s">
        <v>75</v>
      </c>
      <c r="N6077" s="1">
        <v>42987.894444444442</v>
      </c>
      <c r="O6077" t="s">
        <v>19</v>
      </c>
    </row>
    <row r="6078" spans="1:15" x14ac:dyDescent="0.25">
      <c r="A6078" t="s">
        <v>4432</v>
      </c>
      <c r="B6078" t="s">
        <v>15</v>
      </c>
      <c r="C6078" t="s">
        <v>27</v>
      </c>
      <c r="D6078" t="s">
        <v>17</v>
      </c>
      <c r="E6078" t="s">
        <v>18</v>
      </c>
      <c r="F6078" t="s">
        <v>19</v>
      </c>
      <c r="G6078" t="s">
        <v>20</v>
      </c>
      <c r="J6078" t="s">
        <v>17</v>
      </c>
      <c r="K6078" t="str">
        <f>"110761002"</f>
        <v>110761002</v>
      </c>
      <c r="L6078" t="str">
        <f>"110761002"</f>
        <v>110761002</v>
      </c>
      <c r="M6078" t="s">
        <v>75</v>
      </c>
      <c r="N6078" s="1">
        <v>42872.847222222219</v>
      </c>
      <c r="O6078" t="s">
        <v>19</v>
      </c>
    </row>
    <row r="6079" spans="1:15" x14ac:dyDescent="0.25">
      <c r="A6079" t="s">
        <v>4433</v>
      </c>
      <c r="B6079" t="s">
        <v>15</v>
      </c>
      <c r="C6079" t="s">
        <v>32</v>
      </c>
      <c r="D6079" t="s">
        <v>17</v>
      </c>
      <c r="E6079" t="s">
        <v>18</v>
      </c>
      <c r="F6079" t="s">
        <v>19</v>
      </c>
      <c r="G6079" t="s">
        <v>20</v>
      </c>
      <c r="J6079" t="s">
        <v>17</v>
      </c>
      <c r="K6079" t="str">
        <f>"76681524"</f>
        <v>76681524</v>
      </c>
      <c r="L6079" t="str">
        <f>"76681524"</f>
        <v>76681524</v>
      </c>
      <c r="M6079" t="s">
        <v>75</v>
      </c>
      <c r="N6079" s="1">
        <v>42872.847222222219</v>
      </c>
      <c r="O6079" t="s">
        <v>19</v>
      </c>
    </row>
    <row r="6080" spans="1:15" x14ac:dyDescent="0.25">
      <c r="A6080" t="s">
        <v>4434</v>
      </c>
      <c r="B6080" t="s">
        <v>15</v>
      </c>
      <c r="C6080" t="s">
        <v>32</v>
      </c>
      <c r="D6080" t="s">
        <v>17</v>
      </c>
      <c r="E6080" t="s">
        <v>18</v>
      </c>
      <c r="F6080" t="s">
        <v>19</v>
      </c>
      <c r="G6080" t="s">
        <v>20</v>
      </c>
      <c r="J6080" t="s">
        <v>17</v>
      </c>
      <c r="K6080" t="str">
        <f>"76261806"</f>
        <v>76261806</v>
      </c>
      <c r="L6080" t="str">
        <f>"76261806"</f>
        <v>76261806</v>
      </c>
      <c r="M6080" t="s">
        <v>75</v>
      </c>
      <c r="N6080" s="1">
        <v>42872.847222222219</v>
      </c>
      <c r="O6080" t="s">
        <v>19</v>
      </c>
    </row>
    <row r="6081" spans="1:15" x14ac:dyDescent="0.25">
      <c r="A6081" t="s">
        <v>4435</v>
      </c>
      <c r="B6081" t="s">
        <v>15</v>
      </c>
      <c r="C6081" t="s">
        <v>32</v>
      </c>
      <c r="D6081" t="s">
        <v>17</v>
      </c>
      <c r="E6081" t="s">
        <v>18</v>
      </c>
      <c r="F6081" t="s">
        <v>19</v>
      </c>
      <c r="G6081" t="s">
        <v>20</v>
      </c>
      <c r="J6081" t="s">
        <v>17</v>
      </c>
      <c r="K6081" t="str">
        <f>"764318203"</f>
        <v>764318203</v>
      </c>
      <c r="L6081" t="str">
        <f>"764318203"</f>
        <v>764318203</v>
      </c>
      <c r="M6081" t="s">
        <v>75</v>
      </c>
      <c r="N6081" s="1">
        <v>42872.849305555559</v>
      </c>
      <c r="O6081" t="s">
        <v>19</v>
      </c>
    </row>
    <row r="6082" spans="1:15" x14ac:dyDescent="0.25">
      <c r="A6082" t="s">
        <v>4436</v>
      </c>
      <c r="B6082" t="s">
        <v>15</v>
      </c>
      <c r="C6082" t="s">
        <v>1607</v>
      </c>
      <c r="D6082" t="s">
        <v>17</v>
      </c>
      <c r="E6082" t="s">
        <v>18</v>
      </c>
      <c r="F6082" t="s">
        <v>19</v>
      </c>
      <c r="G6082" t="s">
        <v>20</v>
      </c>
      <c r="J6082" t="s">
        <v>17</v>
      </c>
      <c r="K6082" t="str">
        <f>"76561486"</f>
        <v>76561486</v>
      </c>
      <c r="L6082" t="str">
        <f>"76561486"</f>
        <v>76561486</v>
      </c>
      <c r="M6082" t="s">
        <v>75</v>
      </c>
      <c r="N6082" s="1">
        <v>42872.847222222219</v>
      </c>
      <c r="O6082" t="s">
        <v>19</v>
      </c>
    </row>
    <row r="6083" spans="1:15" x14ac:dyDescent="0.25">
      <c r="A6083" t="s">
        <v>4437</v>
      </c>
      <c r="B6083" t="s">
        <v>15</v>
      </c>
      <c r="C6083" t="s">
        <v>27</v>
      </c>
      <c r="D6083" t="s">
        <v>17</v>
      </c>
      <c r="E6083" t="s">
        <v>18</v>
      </c>
      <c r="F6083" t="s">
        <v>19</v>
      </c>
      <c r="G6083" t="s">
        <v>20</v>
      </c>
      <c r="J6083" t="s">
        <v>17</v>
      </c>
      <c r="K6083" t="str">
        <f>"34480952"</f>
        <v>34480952</v>
      </c>
      <c r="L6083" t="str">
        <f>"34480952"</f>
        <v>34480952</v>
      </c>
      <c r="M6083" t="s">
        <v>75</v>
      </c>
      <c r="N6083" s="1">
        <v>42872.839583333334</v>
      </c>
      <c r="O6083" t="s">
        <v>19</v>
      </c>
    </row>
    <row r="6084" spans="1:15" x14ac:dyDescent="0.25">
      <c r="A6084" t="s">
        <v>4438</v>
      </c>
      <c r="B6084" t="s">
        <v>15</v>
      </c>
      <c r="C6084" t="s">
        <v>27</v>
      </c>
      <c r="D6084" t="s">
        <v>17</v>
      </c>
      <c r="E6084" t="s">
        <v>18</v>
      </c>
      <c r="F6084" t="s">
        <v>19</v>
      </c>
      <c r="G6084" t="s">
        <v>20</v>
      </c>
      <c r="J6084" t="s">
        <v>17</v>
      </c>
      <c r="K6084" t="str">
        <f>"76480974"</f>
        <v>76480974</v>
      </c>
      <c r="L6084" t="str">
        <f>"76480974"</f>
        <v>76480974</v>
      </c>
      <c r="M6084" t="s">
        <v>75</v>
      </c>
      <c r="N6084" s="1">
        <v>42872.847222222219</v>
      </c>
      <c r="O6084" t="s">
        <v>19</v>
      </c>
    </row>
    <row r="6085" spans="1:15" x14ac:dyDescent="0.25">
      <c r="A6085" t="s">
        <v>4439</v>
      </c>
      <c r="B6085" t="s">
        <v>15</v>
      </c>
      <c r="C6085" t="s">
        <v>1607</v>
      </c>
      <c r="D6085" t="s">
        <v>17</v>
      </c>
      <c r="E6085" t="s">
        <v>18</v>
      </c>
      <c r="F6085" t="s">
        <v>19</v>
      </c>
      <c r="G6085" t="s">
        <v>20</v>
      </c>
      <c r="J6085" t="s">
        <v>17</v>
      </c>
      <c r="K6085" t="str">
        <f>"344810121"</f>
        <v>344810121</v>
      </c>
      <c r="L6085" t="str">
        <f>"344810121"</f>
        <v>344810121</v>
      </c>
      <c r="M6085" t="s">
        <v>75</v>
      </c>
      <c r="N6085" s="1">
        <v>42872.849305555559</v>
      </c>
      <c r="O6085" t="s">
        <v>19</v>
      </c>
    </row>
    <row r="6086" spans="1:15" x14ac:dyDescent="0.25">
      <c r="A6086" t="s">
        <v>4440</v>
      </c>
      <c r="B6086" t="s">
        <v>15</v>
      </c>
      <c r="C6086" t="s">
        <v>27</v>
      </c>
      <c r="D6086" t="s">
        <v>17</v>
      </c>
      <c r="E6086" t="s">
        <v>18</v>
      </c>
      <c r="F6086" t="s">
        <v>19</v>
      </c>
      <c r="G6086" t="s">
        <v>20</v>
      </c>
      <c r="J6086" t="s">
        <v>17</v>
      </c>
      <c r="K6086" t="str">
        <f>"110764028"</f>
        <v>110764028</v>
      </c>
      <c r="L6086" t="str">
        <f>"110764028"</f>
        <v>110764028</v>
      </c>
      <c r="M6086" t="s">
        <v>75</v>
      </c>
      <c r="N6086" s="1">
        <v>42872.847222222219</v>
      </c>
      <c r="O6086" t="s">
        <v>19</v>
      </c>
    </row>
    <row r="6087" spans="1:15" x14ac:dyDescent="0.25">
      <c r="A6087" t="s">
        <v>4441</v>
      </c>
      <c r="B6087" t="s">
        <v>15</v>
      </c>
      <c r="C6087" t="s">
        <v>1607</v>
      </c>
      <c r="D6087" t="s">
        <v>17</v>
      </c>
      <c r="E6087" t="s">
        <v>18</v>
      </c>
      <c r="F6087" t="s">
        <v>19</v>
      </c>
      <c r="G6087" t="s">
        <v>20</v>
      </c>
      <c r="J6087" t="s">
        <v>17</v>
      </c>
      <c r="K6087" t="str">
        <f>"766805260"</f>
        <v>766805260</v>
      </c>
      <c r="L6087" t="str">
        <f>"766805260"</f>
        <v>766805260</v>
      </c>
      <c r="M6087" t="s">
        <v>75</v>
      </c>
      <c r="N6087" s="1">
        <v>42872.849305555559</v>
      </c>
      <c r="O6087" t="s">
        <v>19</v>
      </c>
    </row>
    <row r="6088" spans="1:15" x14ac:dyDescent="0.25">
      <c r="A6088" t="s">
        <v>4442</v>
      </c>
      <c r="B6088" t="s">
        <v>15</v>
      </c>
      <c r="C6088" t="s">
        <v>1607</v>
      </c>
      <c r="D6088" t="s">
        <v>17</v>
      </c>
      <c r="E6088" t="s">
        <v>18</v>
      </c>
      <c r="F6088" t="s">
        <v>19</v>
      </c>
      <c r="G6088" t="s">
        <v>20</v>
      </c>
      <c r="J6088" t="s">
        <v>17</v>
      </c>
      <c r="K6088" t="str">
        <f>"17560500"</f>
        <v>17560500</v>
      </c>
      <c r="L6088" t="str">
        <f>"17560500"</f>
        <v>17560500</v>
      </c>
      <c r="M6088" t="s">
        <v>75</v>
      </c>
      <c r="N6088" s="1">
        <v>42872.839583333334</v>
      </c>
      <c r="O6088" t="s">
        <v>19</v>
      </c>
    </row>
    <row r="6089" spans="1:15" x14ac:dyDescent="0.25">
      <c r="A6089" t="s">
        <v>4443</v>
      </c>
      <c r="B6089" t="s">
        <v>15</v>
      </c>
      <c r="C6089" t="s">
        <v>27</v>
      </c>
      <c r="D6089" t="s">
        <v>17</v>
      </c>
      <c r="E6089" t="s">
        <v>18</v>
      </c>
      <c r="F6089" t="s">
        <v>19</v>
      </c>
      <c r="G6089" t="s">
        <v>20</v>
      </c>
      <c r="J6089" t="s">
        <v>17</v>
      </c>
      <c r="K6089" t="str">
        <f>"34460716"</f>
        <v>34460716</v>
      </c>
      <c r="L6089" t="str">
        <f>"34460716"</f>
        <v>34460716</v>
      </c>
      <c r="M6089" t="s">
        <v>75</v>
      </c>
      <c r="N6089" s="1">
        <v>42872.839583333334</v>
      </c>
      <c r="O6089" t="s">
        <v>19</v>
      </c>
    </row>
    <row r="6090" spans="1:15" x14ac:dyDescent="0.25">
      <c r="A6090" t="s">
        <v>4444</v>
      </c>
      <c r="B6090" t="s">
        <v>15</v>
      </c>
      <c r="C6090" t="s">
        <v>27</v>
      </c>
      <c r="D6090" t="s">
        <v>17</v>
      </c>
      <c r="E6090" t="s">
        <v>18</v>
      </c>
      <c r="F6090" t="s">
        <v>19</v>
      </c>
      <c r="G6090" t="s">
        <v>20</v>
      </c>
      <c r="J6090" t="s">
        <v>17</v>
      </c>
      <c r="K6090" t="str">
        <f>"34460717"</f>
        <v>34460717</v>
      </c>
      <c r="L6090" t="str">
        <f>"34460717"</f>
        <v>34460717</v>
      </c>
      <c r="M6090" t="s">
        <v>75</v>
      </c>
      <c r="N6090" s="1">
        <v>42872.839583333334</v>
      </c>
      <c r="O6090" t="s">
        <v>19</v>
      </c>
    </row>
    <row r="6091" spans="1:15" x14ac:dyDescent="0.25">
      <c r="A6091" t="s">
        <v>4445</v>
      </c>
      <c r="B6091" t="s">
        <v>15</v>
      </c>
      <c r="C6091" t="s">
        <v>27</v>
      </c>
      <c r="D6091" t="s">
        <v>17</v>
      </c>
      <c r="E6091" t="s">
        <v>18</v>
      </c>
      <c r="F6091" t="s">
        <v>19</v>
      </c>
      <c r="G6091" t="s">
        <v>20</v>
      </c>
      <c r="J6091" t="s">
        <v>17</v>
      </c>
      <c r="K6091" t="str">
        <f>"765832215"</f>
        <v>765832215</v>
      </c>
      <c r="L6091" t="str">
        <f>"765832215"</f>
        <v>765832215</v>
      </c>
      <c r="M6091" t="s">
        <v>75</v>
      </c>
      <c r="N6091" s="1">
        <v>42872.849305555559</v>
      </c>
      <c r="O6091" t="s">
        <v>19</v>
      </c>
    </row>
    <row r="6092" spans="1:15" x14ac:dyDescent="0.25">
      <c r="A6092" t="s">
        <v>4446</v>
      </c>
      <c r="B6092" t="s">
        <v>15</v>
      </c>
      <c r="C6092" t="s">
        <v>1607</v>
      </c>
      <c r="D6092" t="s">
        <v>17</v>
      </c>
      <c r="E6092" t="s">
        <v>18</v>
      </c>
      <c r="F6092" t="s">
        <v>19</v>
      </c>
      <c r="G6092" t="s">
        <v>20</v>
      </c>
      <c r="J6092" t="s">
        <v>17</v>
      </c>
      <c r="K6092" t="str">
        <f>"76560903"</f>
        <v>76560903</v>
      </c>
      <c r="L6092" t="str">
        <f>"76560903"</f>
        <v>76560903</v>
      </c>
      <c r="M6092" t="s">
        <v>75</v>
      </c>
      <c r="N6092" s="1">
        <v>42872.847222222219</v>
      </c>
      <c r="O6092" t="s">
        <v>19</v>
      </c>
    </row>
    <row r="6093" spans="1:15" x14ac:dyDescent="0.25">
      <c r="A6093" t="s">
        <v>4447</v>
      </c>
      <c r="B6093" t="s">
        <v>15</v>
      </c>
      <c r="C6093" t="s">
        <v>27</v>
      </c>
      <c r="D6093" t="s">
        <v>17</v>
      </c>
      <c r="E6093" t="s">
        <v>18</v>
      </c>
      <c r="F6093" t="s">
        <v>19</v>
      </c>
      <c r="G6093" t="s">
        <v>20</v>
      </c>
      <c r="J6093" t="s">
        <v>17</v>
      </c>
      <c r="K6093" t="str">
        <f>"110560805"</f>
        <v>110560805</v>
      </c>
      <c r="L6093" t="str">
        <f>"110560805"</f>
        <v>110560805</v>
      </c>
      <c r="M6093" t="s">
        <v>75</v>
      </c>
      <c r="N6093" s="1">
        <v>42872.847222222219</v>
      </c>
      <c r="O6093" t="s">
        <v>19</v>
      </c>
    </row>
    <row r="6094" spans="1:15" x14ac:dyDescent="0.25">
      <c r="A6094" t="s">
        <v>4448</v>
      </c>
      <c r="B6094" t="s">
        <v>15</v>
      </c>
      <c r="C6094" t="s">
        <v>1607</v>
      </c>
      <c r="D6094" t="s">
        <v>17</v>
      </c>
      <c r="E6094" t="s">
        <v>18</v>
      </c>
      <c r="F6094" t="s">
        <v>19</v>
      </c>
      <c r="G6094" t="s">
        <v>20</v>
      </c>
      <c r="J6094" t="s">
        <v>17</v>
      </c>
      <c r="K6094" t="str">
        <f>"76560963"</f>
        <v>76560963</v>
      </c>
      <c r="L6094" t="str">
        <f>"76560963"</f>
        <v>76560963</v>
      </c>
      <c r="M6094" t="s">
        <v>75</v>
      </c>
      <c r="N6094" s="1">
        <v>42872.847222222219</v>
      </c>
      <c r="O6094" t="s">
        <v>19</v>
      </c>
    </row>
    <row r="6095" spans="1:15" x14ac:dyDescent="0.25">
      <c r="A6095" t="s">
        <v>4448</v>
      </c>
      <c r="B6095" t="s">
        <v>15</v>
      </c>
      <c r="C6095" t="s">
        <v>27</v>
      </c>
      <c r="D6095" t="s">
        <v>17</v>
      </c>
      <c r="E6095" t="s">
        <v>18</v>
      </c>
      <c r="F6095" t="s">
        <v>19</v>
      </c>
      <c r="G6095" t="s">
        <v>20</v>
      </c>
      <c r="J6095" t="s">
        <v>17</v>
      </c>
      <c r="K6095" t="str">
        <f>"110560620"</f>
        <v>110560620</v>
      </c>
      <c r="L6095" t="str">
        <f>"110560620"</f>
        <v>110560620</v>
      </c>
      <c r="M6095" t="s">
        <v>75</v>
      </c>
      <c r="N6095" s="1">
        <v>42872.847222222219</v>
      </c>
      <c r="O6095" t="s">
        <v>19</v>
      </c>
    </row>
    <row r="6096" spans="1:15" x14ac:dyDescent="0.25">
      <c r="A6096" t="s">
        <v>4449</v>
      </c>
      <c r="B6096" t="s">
        <v>15</v>
      </c>
      <c r="C6096" t="s">
        <v>27</v>
      </c>
      <c r="D6096" t="s">
        <v>17</v>
      </c>
      <c r="E6096" t="s">
        <v>18</v>
      </c>
      <c r="F6096" t="s">
        <v>19</v>
      </c>
      <c r="G6096" t="s">
        <v>20</v>
      </c>
      <c r="J6096" t="s">
        <v>17</v>
      </c>
      <c r="K6096" t="str">
        <f>"684809293"</f>
        <v>684809293</v>
      </c>
      <c r="L6096" t="str">
        <f>"684809293"</f>
        <v>684809293</v>
      </c>
      <c r="M6096" t="s">
        <v>75</v>
      </c>
      <c r="N6096" s="1">
        <v>43083.88958333333</v>
      </c>
      <c r="O6096" t="s">
        <v>19</v>
      </c>
    </row>
    <row r="6097" spans="1:15" x14ac:dyDescent="0.25">
      <c r="A6097" t="s">
        <v>4450</v>
      </c>
      <c r="B6097" t="s">
        <v>15</v>
      </c>
      <c r="C6097" t="s">
        <v>27</v>
      </c>
      <c r="D6097" t="s">
        <v>17</v>
      </c>
      <c r="E6097" t="s">
        <v>18</v>
      </c>
      <c r="F6097" t="s">
        <v>19</v>
      </c>
      <c r="G6097" t="s">
        <v>20</v>
      </c>
      <c r="J6097" t="s">
        <v>17</v>
      </c>
      <c r="K6097" t="str">
        <f>"684809291"</f>
        <v>684809291</v>
      </c>
      <c r="L6097" t="str">
        <f>"684809291"</f>
        <v>684809291</v>
      </c>
      <c r="M6097" t="s">
        <v>75</v>
      </c>
      <c r="N6097" s="1">
        <v>43083.892361111109</v>
      </c>
      <c r="O6097" t="s">
        <v>19</v>
      </c>
    </row>
    <row r="6098" spans="1:15" x14ac:dyDescent="0.25">
      <c r="A6098" t="s">
        <v>4451</v>
      </c>
      <c r="B6098" t="s">
        <v>15</v>
      </c>
      <c r="C6098" t="s">
        <v>1607</v>
      </c>
      <c r="D6098" t="s">
        <v>17</v>
      </c>
      <c r="E6098" t="s">
        <v>18</v>
      </c>
      <c r="F6098" t="s">
        <v>19</v>
      </c>
      <c r="G6098" t="s">
        <v>20</v>
      </c>
      <c r="J6098" t="s">
        <v>17</v>
      </c>
      <c r="K6098" t="str">
        <f>"345709285"</f>
        <v>345709285</v>
      </c>
      <c r="L6098" t="str">
        <f>"345709285"</f>
        <v>345709285</v>
      </c>
      <c r="M6098" t="s">
        <v>75</v>
      </c>
      <c r="N6098" s="1">
        <v>42872.849305555559</v>
      </c>
      <c r="O6098" t="s">
        <v>19</v>
      </c>
    </row>
    <row r="6099" spans="1:15" x14ac:dyDescent="0.25">
      <c r="A6099" t="s">
        <v>4452</v>
      </c>
      <c r="B6099" t="s">
        <v>15</v>
      </c>
      <c r="C6099" t="s">
        <v>27</v>
      </c>
      <c r="D6099" t="s">
        <v>17</v>
      </c>
      <c r="E6099" t="s">
        <v>18</v>
      </c>
      <c r="F6099" t="s">
        <v>19</v>
      </c>
      <c r="G6099" t="s">
        <v>20</v>
      </c>
      <c r="J6099" t="s">
        <v>17</v>
      </c>
      <c r="K6099" t="str">
        <f>"684809292"</f>
        <v>684809292</v>
      </c>
      <c r="L6099" t="str">
        <f>"684809292"</f>
        <v>684809292</v>
      </c>
      <c r="M6099" t="s">
        <v>75</v>
      </c>
      <c r="N6099" s="1">
        <v>43083.890277777777</v>
      </c>
      <c r="O6099" t="s">
        <v>19</v>
      </c>
    </row>
    <row r="6100" spans="1:15" x14ac:dyDescent="0.25">
      <c r="A6100" t="s">
        <v>4453</v>
      </c>
      <c r="B6100" t="s">
        <v>15</v>
      </c>
      <c r="C6100" t="s">
        <v>16</v>
      </c>
      <c r="D6100" t="s">
        <v>17</v>
      </c>
      <c r="E6100" t="s">
        <v>18</v>
      </c>
      <c r="F6100" t="s">
        <v>19</v>
      </c>
      <c r="G6100" t="s">
        <v>20</v>
      </c>
      <c r="J6100" t="s">
        <v>17</v>
      </c>
      <c r="K6100" t="str">
        <f>"17581480"</f>
        <v>17581480</v>
      </c>
      <c r="L6100" t="str">
        <f>"17581480"</f>
        <v>17581480</v>
      </c>
      <c r="M6100" t="s">
        <v>75</v>
      </c>
      <c r="N6100" s="1">
        <v>42872.839583333334</v>
      </c>
      <c r="O6100" t="s">
        <v>19</v>
      </c>
    </row>
    <row r="6101" spans="1:15" x14ac:dyDescent="0.25">
      <c r="A6101" t="s">
        <v>4454</v>
      </c>
      <c r="B6101" t="s">
        <v>15</v>
      </c>
      <c r="C6101" t="s">
        <v>1607</v>
      </c>
      <c r="D6101" t="s">
        <v>17</v>
      </c>
      <c r="E6101" t="s">
        <v>18</v>
      </c>
      <c r="F6101" t="s">
        <v>19</v>
      </c>
      <c r="G6101" t="s">
        <v>20</v>
      </c>
      <c r="J6101" t="s">
        <v>17</v>
      </c>
      <c r="K6101" t="str">
        <f>"76561059"</f>
        <v>76561059</v>
      </c>
      <c r="L6101" t="str">
        <f>"76561059"</f>
        <v>76561059</v>
      </c>
      <c r="M6101" t="s">
        <v>75</v>
      </c>
      <c r="N6101" s="1">
        <v>42872.847222222219</v>
      </c>
      <c r="O6101" t="s">
        <v>19</v>
      </c>
    </row>
    <row r="6102" spans="1:15" x14ac:dyDescent="0.25">
      <c r="A6102" t="s">
        <v>4455</v>
      </c>
      <c r="B6102" t="s">
        <v>15</v>
      </c>
      <c r="C6102" t="s">
        <v>1607</v>
      </c>
      <c r="D6102" t="s">
        <v>17</v>
      </c>
      <c r="E6102" t="s">
        <v>18</v>
      </c>
      <c r="F6102" t="s">
        <v>19</v>
      </c>
      <c r="G6102" t="s">
        <v>20</v>
      </c>
      <c r="J6102" t="s">
        <v>17</v>
      </c>
      <c r="K6102" t="str">
        <f>"32561064"</f>
        <v>32561064</v>
      </c>
      <c r="L6102" t="str">
        <f>"32561064"</f>
        <v>32561064</v>
      </c>
      <c r="M6102" t="s">
        <v>75</v>
      </c>
      <c r="N6102" s="1">
        <v>42872.839583333334</v>
      </c>
      <c r="O6102" t="s">
        <v>19</v>
      </c>
    </row>
    <row r="6103" spans="1:15" x14ac:dyDescent="0.25">
      <c r="A6103" t="s">
        <v>4456</v>
      </c>
      <c r="B6103" t="s">
        <v>15</v>
      </c>
      <c r="C6103" t="s">
        <v>1607</v>
      </c>
      <c r="D6103" t="s">
        <v>17</v>
      </c>
      <c r="E6103" t="s">
        <v>18</v>
      </c>
      <c r="F6103" t="s">
        <v>19</v>
      </c>
      <c r="G6103" t="s">
        <v>20</v>
      </c>
      <c r="J6103" t="s">
        <v>17</v>
      </c>
      <c r="K6103" t="str">
        <f>"76561079"</f>
        <v>76561079</v>
      </c>
      <c r="L6103" t="str">
        <f>"76561079"</f>
        <v>76561079</v>
      </c>
      <c r="M6103" t="s">
        <v>75</v>
      </c>
      <c r="N6103" s="1">
        <v>42872.847222222219</v>
      </c>
      <c r="O6103" t="s">
        <v>19</v>
      </c>
    </row>
    <row r="6104" spans="1:15" x14ac:dyDescent="0.25">
      <c r="A6104" t="s">
        <v>4457</v>
      </c>
      <c r="B6104" t="s">
        <v>15</v>
      </c>
      <c r="C6104" t="s">
        <v>16</v>
      </c>
      <c r="D6104" t="s">
        <v>17</v>
      </c>
      <c r="E6104" t="s">
        <v>18</v>
      </c>
      <c r="F6104" t="s">
        <v>19</v>
      </c>
      <c r="G6104" t="s">
        <v>20</v>
      </c>
      <c r="J6104" t="s">
        <v>17</v>
      </c>
      <c r="K6104" t="str">
        <f>"76700715"</f>
        <v>76700715</v>
      </c>
      <c r="L6104" t="str">
        <f>"76700715"</f>
        <v>76700715</v>
      </c>
      <c r="M6104" t="s">
        <v>75</v>
      </c>
      <c r="N6104" s="1">
        <v>42872.847222222219</v>
      </c>
      <c r="O6104" t="s">
        <v>19</v>
      </c>
    </row>
    <row r="6105" spans="1:15" x14ac:dyDescent="0.25">
      <c r="A6105" t="s">
        <v>4458</v>
      </c>
      <c r="B6105" t="s">
        <v>15</v>
      </c>
      <c r="C6105" t="s">
        <v>1607</v>
      </c>
      <c r="D6105" t="s">
        <v>17</v>
      </c>
      <c r="E6105" t="s">
        <v>18</v>
      </c>
      <c r="F6105" t="s">
        <v>19</v>
      </c>
      <c r="G6105" t="s">
        <v>20</v>
      </c>
      <c r="J6105" t="s">
        <v>17</v>
      </c>
      <c r="K6105" t="str">
        <f>"17473163"</f>
        <v>17473163</v>
      </c>
      <c r="L6105" t="str">
        <f>"17473163"</f>
        <v>17473163</v>
      </c>
      <c r="M6105" t="s">
        <v>75</v>
      </c>
      <c r="N6105" s="1">
        <v>43132.634027777778</v>
      </c>
      <c r="O6105" t="s">
        <v>19</v>
      </c>
    </row>
    <row r="6106" spans="1:15" x14ac:dyDescent="0.25">
      <c r="A6106" t="s">
        <v>4459</v>
      </c>
      <c r="B6106" t="s">
        <v>15</v>
      </c>
      <c r="C6106" t="s">
        <v>1607</v>
      </c>
      <c r="D6106" t="s">
        <v>17</v>
      </c>
      <c r="E6106" t="s">
        <v>18</v>
      </c>
      <c r="F6106" t="s">
        <v>19</v>
      </c>
      <c r="G6106" t="s">
        <v>20</v>
      </c>
      <c r="J6106" t="s">
        <v>17</v>
      </c>
      <c r="K6106" t="str">
        <f>"686820185"</f>
        <v>686820185</v>
      </c>
      <c r="L6106" t="str">
        <f>"686820185"</f>
        <v>686820185</v>
      </c>
      <c r="M6106" t="s">
        <v>75</v>
      </c>
      <c r="N6106" s="1">
        <v>42898.92291666667</v>
      </c>
      <c r="O6106" t="s">
        <v>19</v>
      </c>
    </row>
    <row r="6107" spans="1:15" x14ac:dyDescent="0.25">
      <c r="A6107" t="s">
        <v>4460</v>
      </c>
      <c r="B6107" t="s">
        <v>15</v>
      </c>
      <c r="C6107" t="s">
        <v>1607</v>
      </c>
      <c r="D6107" t="s">
        <v>17</v>
      </c>
      <c r="E6107" t="s">
        <v>18</v>
      </c>
      <c r="F6107" t="s">
        <v>19</v>
      </c>
      <c r="G6107" t="s">
        <v>20</v>
      </c>
      <c r="J6107" t="s">
        <v>17</v>
      </c>
      <c r="K6107" t="str">
        <f>"17561480"</f>
        <v>17561480</v>
      </c>
      <c r="L6107" t="str">
        <f>"17561480"</f>
        <v>17561480</v>
      </c>
      <c r="M6107" t="s">
        <v>75</v>
      </c>
      <c r="N6107" s="1">
        <v>42872.839583333334</v>
      </c>
      <c r="O6107" t="s">
        <v>19</v>
      </c>
    </row>
    <row r="6108" spans="1:15" x14ac:dyDescent="0.25">
      <c r="A6108" t="s">
        <v>4461</v>
      </c>
      <c r="B6108" t="s">
        <v>15</v>
      </c>
      <c r="C6108" t="s">
        <v>1607</v>
      </c>
      <c r="D6108" t="s">
        <v>17</v>
      </c>
      <c r="E6108" t="s">
        <v>18</v>
      </c>
      <c r="F6108" t="s">
        <v>19</v>
      </c>
      <c r="G6108" t="s">
        <v>20</v>
      </c>
      <c r="J6108" t="s">
        <v>17</v>
      </c>
      <c r="K6108" t="str">
        <f>"76561487"</f>
        <v>76561487</v>
      </c>
      <c r="L6108" t="str">
        <f>"76561487"</f>
        <v>76561487</v>
      </c>
      <c r="M6108" t="s">
        <v>75</v>
      </c>
      <c r="N6108" s="1">
        <v>42872.847222222219</v>
      </c>
      <c r="O6108" t="s">
        <v>19</v>
      </c>
    </row>
    <row r="6109" spans="1:15" x14ac:dyDescent="0.25">
      <c r="A6109" t="s">
        <v>4462</v>
      </c>
      <c r="B6109" t="s">
        <v>15</v>
      </c>
      <c r="C6109" t="s">
        <v>1607</v>
      </c>
      <c r="D6109" t="s">
        <v>17</v>
      </c>
      <c r="E6109" t="s">
        <v>18</v>
      </c>
      <c r="F6109" t="s">
        <v>19</v>
      </c>
      <c r="G6109" t="s">
        <v>20</v>
      </c>
      <c r="J6109" t="s">
        <v>17</v>
      </c>
      <c r="K6109" t="str">
        <f>"76561496"</f>
        <v>76561496</v>
      </c>
      <c r="L6109" t="str">
        <f>"76561496"</f>
        <v>76561496</v>
      </c>
      <c r="M6109" t="s">
        <v>75</v>
      </c>
      <c r="N6109" s="1">
        <v>42872.847222222219</v>
      </c>
      <c r="O6109" t="s">
        <v>19</v>
      </c>
    </row>
    <row r="6110" spans="1:15" x14ac:dyDescent="0.25">
      <c r="A6110" t="s">
        <v>4463</v>
      </c>
      <c r="B6110" t="s">
        <v>15</v>
      </c>
      <c r="C6110" t="s">
        <v>1607</v>
      </c>
      <c r="D6110" t="s">
        <v>17</v>
      </c>
      <c r="E6110" t="s">
        <v>18</v>
      </c>
      <c r="F6110" t="s">
        <v>19</v>
      </c>
      <c r="G6110" t="s">
        <v>20</v>
      </c>
      <c r="J6110" t="s">
        <v>17</v>
      </c>
      <c r="K6110" t="str">
        <f>"275614266"</f>
        <v>275614266</v>
      </c>
      <c r="L6110" t="str">
        <f>"275614266"</f>
        <v>275614266</v>
      </c>
      <c r="M6110" t="s">
        <v>75</v>
      </c>
      <c r="N6110" s="1">
        <v>42872.849305555559</v>
      </c>
      <c r="O6110" t="s">
        <v>19</v>
      </c>
    </row>
    <row r="6111" spans="1:15" x14ac:dyDescent="0.25">
      <c r="A6111" t="s">
        <v>4464</v>
      </c>
      <c r="B6111" t="s">
        <v>15</v>
      </c>
      <c r="C6111" t="s">
        <v>27</v>
      </c>
      <c r="D6111" t="s">
        <v>17</v>
      </c>
      <c r="E6111" t="s">
        <v>18</v>
      </c>
      <c r="F6111" t="s">
        <v>19</v>
      </c>
      <c r="G6111" t="s">
        <v>20</v>
      </c>
      <c r="J6111" t="s">
        <v>17</v>
      </c>
      <c r="K6111" t="str">
        <f>"34461454"</f>
        <v>34461454</v>
      </c>
      <c r="L6111" t="str">
        <f>"34461454"</f>
        <v>34461454</v>
      </c>
      <c r="M6111" t="s">
        <v>75</v>
      </c>
      <c r="N6111" s="1">
        <v>42872.839583333334</v>
      </c>
      <c r="O6111" t="s">
        <v>19</v>
      </c>
    </row>
    <row r="6112" spans="1:15" x14ac:dyDescent="0.25">
      <c r="A6112" t="s">
        <v>4465</v>
      </c>
      <c r="B6112" t="s">
        <v>15</v>
      </c>
      <c r="C6112" t="s">
        <v>27</v>
      </c>
      <c r="D6112" t="s">
        <v>17</v>
      </c>
      <c r="E6112" t="s">
        <v>18</v>
      </c>
      <c r="F6112" t="s">
        <v>19</v>
      </c>
      <c r="G6112" t="s">
        <v>20</v>
      </c>
      <c r="J6112" t="s">
        <v>17</v>
      </c>
      <c r="K6112" t="str">
        <f>"17750720"</f>
        <v>17750720</v>
      </c>
      <c r="L6112" t="str">
        <f>"17750720"</f>
        <v>17750720</v>
      </c>
      <c r="M6112" t="s">
        <v>75</v>
      </c>
      <c r="N6112" s="1">
        <v>42872.839583333334</v>
      </c>
      <c r="O6112" t="s">
        <v>19</v>
      </c>
    </row>
    <row r="6113" spans="1:15" x14ac:dyDescent="0.25">
      <c r="A6113" t="s">
        <v>4466</v>
      </c>
      <c r="B6113" t="s">
        <v>15</v>
      </c>
      <c r="C6113" t="s">
        <v>16</v>
      </c>
      <c r="D6113" t="s">
        <v>17</v>
      </c>
      <c r="E6113" t="s">
        <v>18</v>
      </c>
      <c r="F6113" t="s">
        <v>19</v>
      </c>
      <c r="G6113" t="s">
        <v>20</v>
      </c>
      <c r="J6113" t="s">
        <v>17</v>
      </c>
      <c r="K6113" t="str">
        <f>"177505548"</f>
        <v>177505548</v>
      </c>
      <c r="L6113" t="str">
        <f>"177505548"</f>
        <v>177505548</v>
      </c>
      <c r="M6113" t="s">
        <v>75</v>
      </c>
      <c r="N6113" s="1">
        <v>42872.849305555559</v>
      </c>
      <c r="O6113" t="s">
        <v>19</v>
      </c>
    </row>
    <row r="6114" spans="1:15" x14ac:dyDescent="0.25">
      <c r="A6114" t="s">
        <v>4467</v>
      </c>
      <c r="B6114" t="s">
        <v>15</v>
      </c>
      <c r="C6114" t="s">
        <v>1607</v>
      </c>
      <c r="D6114" t="s">
        <v>17</v>
      </c>
      <c r="E6114" t="s">
        <v>18</v>
      </c>
      <c r="F6114" t="s">
        <v>19</v>
      </c>
      <c r="G6114" t="s">
        <v>20</v>
      </c>
      <c r="J6114" t="s">
        <v>17</v>
      </c>
      <c r="K6114" t="str">
        <f>"766810121"</f>
        <v>766810121</v>
      </c>
      <c r="L6114" t="str">
        <f>"766810121"</f>
        <v>766810121</v>
      </c>
      <c r="M6114" t="s">
        <v>75</v>
      </c>
      <c r="N6114" s="1">
        <v>42907.724999999999</v>
      </c>
      <c r="O6114" t="s">
        <v>19</v>
      </c>
    </row>
    <row r="6115" spans="1:15" x14ac:dyDescent="0.25">
      <c r="A6115" t="s">
        <v>4468</v>
      </c>
      <c r="B6115" t="s">
        <v>15</v>
      </c>
      <c r="C6115" t="s">
        <v>1607</v>
      </c>
      <c r="D6115" t="s">
        <v>17</v>
      </c>
      <c r="E6115" t="s">
        <v>18</v>
      </c>
      <c r="F6115" t="s">
        <v>19</v>
      </c>
      <c r="G6115" t="s">
        <v>20</v>
      </c>
      <c r="J6115" t="s">
        <v>17</v>
      </c>
      <c r="K6115" t="str">
        <f>"17561430"</f>
        <v>17561430</v>
      </c>
      <c r="L6115" t="str">
        <f>"17561430"</f>
        <v>17561430</v>
      </c>
      <c r="M6115" t="s">
        <v>75</v>
      </c>
      <c r="N6115" s="1">
        <v>42872.839583333334</v>
      </c>
      <c r="O6115" t="s">
        <v>19</v>
      </c>
    </row>
    <row r="6116" spans="1:15" x14ac:dyDescent="0.25">
      <c r="A6116" t="s">
        <v>4469</v>
      </c>
      <c r="B6116" t="s">
        <v>15</v>
      </c>
      <c r="C6116" t="s">
        <v>16</v>
      </c>
      <c r="D6116" t="s">
        <v>17</v>
      </c>
      <c r="E6116" t="s">
        <v>18</v>
      </c>
      <c r="F6116" t="s">
        <v>19</v>
      </c>
      <c r="G6116" t="s">
        <v>20</v>
      </c>
      <c r="J6116" t="s">
        <v>17</v>
      </c>
      <c r="K6116" t="str">
        <f>"17750548"</f>
        <v>17750548</v>
      </c>
      <c r="L6116" t="str">
        <f>"17750548"</f>
        <v>17750548</v>
      </c>
      <c r="M6116" t="s">
        <v>75</v>
      </c>
      <c r="N6116" s="1">
        <v>42872.839583333334</v>
      </c>
      <c r="O6116" t="s">
        <v>19</v>
      </c>
    </row>
    <row r="6117" spans="1:15" x14ac:dyDescent="0.25">
      <c r="A6117" t="s">
        <v>4470</v>
      </c>
      <c r="B6117" t="s">
        <v>15</v>
      </c>
      <c r="C6117" t="s">
        <v>1607</v>
      </c>
      <c r="D6117" t="s">
        <v>17</v>
      </c>
      <c r="E6117" t="s">
        <v>18</v>
      </c>
      <c r="F6117" t="s">
        <v>19</v>
      </c>
      <c r="G6117" t="s">
        <v>20</v>
      </c>
      <c r="J6117" t="s">
        <v>17</v>
      </c>
      <c r="K6117" t="str">
        <f>"76680598"</f>
        <v>76680598</v>
      </c>
      <c r="L6117" t="str">
        <f>"76680598"</f>
        <v>76680598</v>
      </c>
      <c r="M6117" t="s">
        <v>75</v>
      </c>
      <c r="N6117" s="1">
        <v>42872.847222222219</v>
      </c>
      <c r="O6117" t="s">
        <v>19</v>
      </c>
    </row>
    <row r="6118" spans="1:15" x14ac:dyDescent="0.25">
      <c r="A6118" t="s">
        <v>4471</v>
      </c>
      <c r="B6118" t="s">
        <v>15</v>
      </c>
      <c r="C6118" t="s">
        <v>27</v>
      </c>
      <c r="D6118" t="s">
        <v>17</v>
      </c>
      <c r="E6118" t="s">
        <v>18</v>
      </c>
      <c r="F6118" t="s">
        <v>19</v>
      </c>
      <c r="G6118" t="s">
        <v>20</v>
      </c>
      <c r="J6118" t="s">
        <v>17</v>
      </c>
      <c r="K6118" t="str">
        <f>"764805216"</f>
        <v>764805216</v>
      </c>
      <c r="L6118" t="str">
        <f>"764805216"</f>
        <v>764805216</v>
      </c>
      <c r="M6118" t="s">
        <v>75</v>
      </c>
      <c r="N6118" s="1">
        <v>42872.849305555559</v>
      </c>
      <c r="O6118" t="s">
        <v>19</v>
      </c>
    </row>
    <row r="6119" spans="1:15" x14ac:dyDescent="0.25">
      <c r="A6119" t="s">
        <v>4472</v>
      </c>
      <c r="B6119" t="s">
        <v>15</v>
      </c>
      <c r="C6119" t="s">
        <v>27</v>
      </c>
      <c r="D6119" t="s">
        <v>17</v>
      </c>
      <c r="E6119" t="s">
        <v>18</v>
      </c>
      <c r="F6119" t="s">
        <v>19</v>
      </c>
      <c r="G6119" t="s">
        <v>20</v>
      </c>
      <c r="J6119" t="s">
        <v>17</v>
      </c>
      <c r="K6119" t="str">
        <f>"764805238"</f>
        <v>764805238</v>
      </c>
      <c r="L6119" t="str">
        <f>"764805238"</f>
        <v>764805238</v>
      </c>
      <c r="M6119" t="s">
        <v>75</v>
      </c>
      <c r="N6119" s="1">
        <v>42872.849305555559</v>
      </c>
      <c r="O6119" t="s">
        <v>19</v>
      </c>
    </row>
    <row r="6120" spans="1:15" x14ac:dyDescent="0.25">
      <c r="A6120" t="s">
        <v>4473</v>
      </c>
      <c r="B6120" t="s">
        <v>15</v>
      </c>
      <c r="C6120" t="s">
        <v>16</v>
      </c>
      <c r="D6120" t="s">
        <v>17</v>
      </c>
      <c r="E6120" t="s">
        <v>18</v>
      </c>
      <c r="F6120" t="s">
        <v>19</v>
      </c>
      <c r="G6120" t="s">
        <v>20</v>
      </c>
      <c r="J6120" t="s">
        <v>17</v>
      </c>
      <c r="K6120" t="str">
        <f>"767505249"</f>
        <v>767505249</v>
      </c>
      <c r="L6120" t="str">
        <f>"767505249"</f>
        <v>767505249</v>
      </c>
      <c r="M6120" t="s">
        <v>75</v>
      </c>
      <c r="N6120" s="1">
        <v>42872.849305555559</v>
      </c>
      <c r="O6120" t="s">
        <v>19</v>
      </c>
    </row>
    <row r="6121" spans="1:15" x14ac:dyDescent="0.25">
      <c r="A6121" t="s">
        <v>4474</v>
      </c>
      <c r="B6121" t="s">
        <v>15</v>
      </c>
      <c r="C6121" t="s">
        <v>27</v>
      </c>
      <c r="D6121" t="s">
        <v>17</v>
      </c>
      <c r="E6121" t="s">
        <v>18</v>
      </c>
      <c r="F6121" t="s">
        <v>19</v>
      </c>
      <c r="G6121" t="s">
        <v>20</v>
      </c>
      <c r="J6121" t="s">
        <v>17</v>
      </c>
      <c r="K6121" t="str">
        <f>"764805157"</f>
        <v>764805157</v>
      </c>
      <c r="L6121" t="str">
        <f>"764805157"</f>
        <v>764805157</v>
      </c>
      <c r="M6121" t="s">
        <v>75</v>
      </c>
      <c r="N6121" s="1">
        <v>42872.849305555559</v>
      </c>
      <c r="O6121" t="s">
        <v>19</v>
      </c>
    </row>
    <row r="6122" spans="1:15" x14ac:dyDescent="0.25">
      <c r="A6122" t="s">
        <v>4475</v>
      </c>
      <c r="B6122" t="s">
        <v>15</v>
      </c>
      <c r="C6122" t="s">
        <v>27</v>
      </c>
      <c r="D6122" t="s">
        <v>17</v>
      </c>
      <c r="E6122" t="s">
        <v>18</v>
      </c>
      <c r="F6122" t="s">
        <v>19</v>
      </c>
      <c r="G6122" t="s">
        <v>20</v>
      </c>
      <c r="J6122" t="s">
        <v>17</v>
      </c>
      <c r="K6122" t="str">
        <f>"110073392"</f>
        <v>110073392</v>
      </c>
      <c r="L6122" t="str">
        <f>"110073392"</f>
        <v>110073392</v>
      </c>
      <c r="M6122" t="s">
        <v>75</v>
      </c>
      <c r="N6122" s="1">
        <v>42872.847222222219</v>
      </c>
      <c r="O6122" t="s">
        <v>19</v>
      </c>
    </row>
    <row r="6123" spans="1:15" x14ac:dyDescent="0.25">
      <c r="A6123" t="s">
        <v>4476</v>
      </c>
      <c r="B6123" t="s">
        <v>15</v>
      </c>
      <c r="C6123" t="s">
        <v>16</v>
      </c>
      <c r="D6123" t="s">
        <v>17</v>
      </c>
      <c r="E6123" t="s">
        <v>18</v>
      </c>
      <c r="F6123" t="s">
        <v>19</v>
      </c>
      <c r="G6123" t="s">
        <v>20</v>
      </c>
      <c r="J6123" t="s">
        <v>17</v>
      </c>
      <c r="K6123" t="str">
        <f>"767014136"</f>
        <v>767014136</v>
      </c>
      <c r="L6123" t="str">
        <f>"767014136"</f>
        <v>767014136</v>
      </c>
      <c r="M6123" t="s">
        <v>75</v>
      </c>
      <c r="N6123" s="1">
        <v>42872.849305555559</v>
      </c>
      <c r="O6123" t="s">
        <v>19</v>
      </c>
    </row>
    <row r="6124" spans="1:15" x14ac:dyDescent="0.25">
      <c r="A6124" t="s">
        <v>4477</v>
      </c>
      <c r="B6124" t="s">
        <v>15</v>
      </c>
      <c r="C6124" t="s">
        <v>16</v>
      </c>
      <c r="D6124" t="s">
        <v>17</v>
      </c>
      <c r="E6124" t="s">
        <v>18</v>
      </c>
      <c r="F6124" t="s">
        <v>19</v>
      </c>
      <c r="G6124" t="s">
        <v>20</v>
      </c>
      <c r="J6124" t="s">
        <v>17</v>
      </c>
      <c r="K6124" t="str">
        <f>"767014125"</f>
        <v>767014125</v>
      </c>
      <c r="L6124" t="str">
        <f>"767014125"</f>
        <v>767014125</v>
      </c>
      <c r="M6124" t="s">
        <v>75</v>
      </c>
      <c r="N6124" s="1">
        <v>42872.849305555559</v>
      </c>
      <c r="O6124" t="s">
        <v>19</v>
      </c>
    </row>
    <row r="6125" spans="1:15" x14ac:dyDescent="0.25">
      <c r="A6125" t="s">
        <v>4478</v>
      </c>
      <c r="B6125" t="s">
        <v>15</v>
      </c>
      <c r="C6125" t="s">
        <v>1607</v>
      </c>
      <c r="D6125" t="s">
        <v>17</v>
      </c>
      <c r="E6125" t="s">
        <v>18</v>
      </c>
      <c r="F6125" t="s">
        <v>19</v>
      </c>
      <c r="G6125" t="s">
        <v>20</v>
      </c>
      <c r="J6125" t="s">
        <v>17</v>
      </c>
      <c r="K6125" t="str">
        <f>"76561447"</f>
        <v>76561447</v>
      </c>
      <c r="L6125" t="str">
        <f>"76561447"</f>
        <v>76561447</v>
      </c>
      <c r="M6125" t="s">
        <v>75</v>
      </c>
      <c r="N6125" s="1">
        <v>42872.847222222219</v>
      </c>
      <c r="O6125" t="s">
        <v>19</v>
      </c>
    </row>
    <row r="6126" spans="1:15" x14ac:dyDescent="0.25">
      <c r="A6126" t="s">
        <v>4479</v>
      </c>
      <c r="B6126" t="s">
        <v>15</v>
      </c>
      <c r="C6126" t="s">
        <v>16</v>
      </c>
      <c r="D6126" t="s">
        <v>17</v>
      </c>
      <c r="E6126" t="s">
        <v>18</v>
      </c>
      <c r="F6126" t="s">
        <v>19</v>
      </c>
      <c r="G6126" t="s">
        <v>20</v>
      </c>
      <c r="J6126" t="s">
        <v>17</v>
      </c>
      <c r="K6126" t="str">
        <f>"76750598"</f>
        <v>76750598</v>
      </c>
      <c r="L6126" t="str">
        <f>"76750598"</f>
        <v>76750598</v>
      </c>
      <c r="M6126" t="s">
        <v>75</v>
      </c>
      <c r="N6126" s="1">
        <v>42872.847222222219</v>
      </c>
      <c r="O6126" t="s">
        <v>19</v>
      </c>
    </row>
    <row r="6127" spans="1:15" x14ac:dyDescent="0.25">
      <c r="A6127" t="s">
        <v>4480</v>
      </c>
      <c r="B6127" t="s">
        <v>15</v>
      </c>
      <c r="C6127" t="s">
        <v>16</v>
      </c>
      <c r="D6127" t="s">
        <v>17</v>
      </c>
      <c r="E6127" t="s">
        <v>18</v>
      </c>
      <c r="F6127" t="s">
        <v>19</v>
      </c>
      <c r="G6127" t="s">
        <v>20</v>
      </c>
      <c r="J6127" t="s">
        <v>17</v>
      </c>
      <c r="K6127" t="str">
        <f>"76750548"</f>
        <v>76750548</v>
      </c>
      <c r="L6127" t="str">
        <f>"76750548"</f>
        <v>76750548</v>
      </c>
      <c r="M6127" t="s">
        <v>75</v>
      </c>
      <c r="N6127" s="1">
        <v>42872.847222222219</v>
      </c>
      <c r="O6127" t="s">
        <v>19</v>
      </c>
    </row>
    <row r="6128" spans="1:15" x14ac:dyDescent="0.25">
      <c r="A6128" t="s">
        <v>4481</v>
      </c>
      <c r="B6128" t="s">
        <v>15</v>
      </c>
      <c r="C6128" t="s">
        <v>16</v>
      </c>
      <c r="D6128" t="s">
        <v>17</v>
      </c>
      <c r="E6128" t="s">
        <v>18</v>
      </c>
      <c r="F6128" t="s">
        <v>19</v>
      </c>
      <c r="G6128" t="s">
        <v>20</v>
      </c>
      <c r="J6128" t="s">
        <v>17</v>
      </c>
      <c r="K6128" t="str">
        <f>"76750714"</f>
        <v>76750714</v>
      </c>
      <c r="L6128" t="str">
        <f>"76750714"</f>
        <v>76750714</v>
      </c>
      <c r="M6128" t="s">
        <v>75</v>
      </c>
      <c r="N6128" s="1">
        <v>42872.847222222219</v>
      </c>
      <c r="O6128" t="s">
        <v>19</v>
      </c>
    </row>
    <row r="6129" spans="1:15" x14ac:dyDescent="0.25">
      <c r="A6129" t="s">
        <v>4482</v>
      </c>
      <c r="B6129" t="s">
        <v>15</v>
      </c>
      <c r="C6129" t="s">
        <v>16</v>
      </c>
      <c r="D6129" t="s">
        <v>17</v>
      </c>
      <c r="E6129" t="s">
        <v>18</v>
      </c>
      <c r="F6129" t="s">
        <v>19</v>
      </c>
      <c r="G6129" t="s">
        <v>20</v>
      </c>
      <c r="J6129" t="s">
        <v>17</v>
      </c>
      <c r="K6129" t="str">
        <f>"767514125"</f>
        <v>767514125</v>
      </c>
      <c r="L6129" t="str">
        <f>"767514125"</f>
        <v>767514125</v>
      </c>
      <c r="M6129" t="s">
        <v>75</v>
      </c>
      <c r="N6129" s="1">
        <v>42872.849305555559</v>
      </c>
      <c r="O6129" t="s">
        <v>19</v>
      </c>
    </row>
    <row r="6130" spans="1:15" x14ac:dyDescent="0.25">
      <c r="A6130" t="s">
        <v>4483</v>
      </c>
      <c r="B6130" t="s">
        <v>15</v>
      </c>
      <c r="C6130" t="s">
        <v>16</v>
      </c>
      <c r="D6130" t="s">
        <v>17</v>
      </c>
      <c r="E6130" t="s">
        <v>18</v>
      </c>
      <c r="F6130" t="s">
        <v>19</v>
      </c>
      <c r="G6130" t="s">
        <v>20</v>
      </c>
      <c r="J6130" t="s">
        <v>17</v>
      </c>
      <c r="K6130" t="str">
        <f>"76750715"</f>
        <v>76750715</v>
      </c>
      <c r="L6130" t="str">
        <f>"76750715"</f>
        <v>76750715</v>
      </c>
      <c r="M6130" t="s">
        <v>75</v>
      </c>
      <c r="N6130" s="1">
        <v>42872.847222222219</v>
      </c>
      <c r="O6130" t="s">
        <v>19</v>
      </c>
    </row>
    <row r="6131" spans="1:15" x14ac:dyDescent="0.25">
      <c r="A6131" t="s">
        <v>4484</v>
      </c>
      <c r="B6131" t="s">
        <v>15</v>
      </c>
      <c r="C6131" t="s">
        <v>16</v>
      </c>
      <c r="D6131" t="s">
        <v>17</v>
      </c>
      <c r="E6131" t="s">
        <v>18</v>
      </c>
      <c r="F6131" t="s">
        <v>19</v>
      </c>
      <c r="G6131" t="s">
        <v>20</v>
      </c>
      <c r="J6131" t="s">
        <v>17</v>
      </c>
      <c r="K6131" t="str">
        <f>"76750716"</f>
        <v>76750716</v>
      </c>
      <c r="L6131" t="str">
        <f>"76750716"</f>
        <v>76750716</v>
      </c>
      <c r="M6131" t="s">
        <v>75</v>
      </c>
      <c r="N6131" s="1">
        <v>42872.847222222219</v>
      </c>
      <c r="O6131" t="s">
        <v>19</v>
      </c>
    </row>
    <row r="6132" spans="1:15" x14ac:dyDescent="0.25">
      <c r="A6132" t="s">
        <v>4485</v>
      </c>
      <c r="B6132" t="s">
        <v>15</v>
      </c>
      <c r="C6132" t="s">
        <v>16</v>
      </c>
      <c r="D6132" t="s">
        <v>17</v>
      </c>
      <c r="E6132" t="s">
        <v>18</v>
      </c>
      <c r="F6132" t="s">
        <v>19</v>
      </c>
      <c r="G6132" t="s">
        <v>20</v>
      </c>
      <c r="J6132" t="s">
        <v>17</v>
      </c>
      <c r="K6132" t="str">
        <f>"76770548"</f>
        <v>76770548</v>
      </c>
      <c r="L6132" t="str">
        <f>"76770548"</f>
        <v>76770548</v>
      </c>
      <c r="M6132" t="s">
        <v>75</v>
      </c>
      <c r="N6132" s="1">
        <v>42872.847222222219</v>
      </c>
      <c r="O6132" t="s">
        <v>19</v>
      </c>
    </row>
    <row r="6133" spans="1:15" x14ac:dyDescent="0.25">
      <c r="A6133" t="s">
        <v>4486</v>
      </c>
      <c r="B6133" t="s">
        <v>15</v>
      </c>
      <c r="C6133" t="s">
        <v>16</v>
      </c>
      <c r="D6133" t="s">
        <v>17</v>
      </c>
      <c r="E6133" t="s">
        <v>18</v>
      </c>
      <c r="F6133" t="s">
        <v>19</v>
      </c>
      <c r="G6133" t="s">
        <v>20</v>
      </c>
      <c r="J6133" t="s">
        <v>17</v>
      </c>
      <c r="K6133" t="str">
        <f>"1000001081083"</f>
        <v>1000001081083</v>
      </c>
      <c r="L6133" t="str">
        <f>"767705247"</f>
        <v>767705247</v>
      </c>
      <c r="M6133" t="s">
        <v>75</v>
      </c>
      <c r="N6133" s="1">
        <v>42881.779166666667</v>
      </c>
      <c r="O6133" t="s">
        <v>19</v>
      </c>
    </row>
    <row r="6134" spans="1:15" x14ac:dyDescent="0.25">
      <c r="A6134" t="s">
        <v>4486</v>
      </c>
      <c r="B6134" t="s">
        <v>15</v>
      </c>
      <c r="C6134" t="s">
        <v>16</v>
      </c>
      <c r="D6134" t="s">
        <v>17</v>
      </c>
      <c r="E6134" t="s">
        <v>18</v>
      </c>
      <c r="F6134" t="s">
        <v>19</v>
      </c>
      <c r="G6134" t="s">
        <v>20</v>
      </c>
      <c r="J6134" t="s">
        <v>17</v>
      </c>
      <c r="K6134" t="str">
        <f>"1495824139361"</f>
        <v>1495824139361</v>
      </c>
      <c r="L6134" t="str">
        <f>"1495824139360"</f>
        <v>1495824139360</v>
      </c>
      <c r="M6134" t="s">
        <v>75</v>
      </c>
      <c r="N6134" s="1">
        <v>42881.779166666667</v>
      </c>
      <c r="O6134" t="s">
        <v>19</v>
      </c>
    </row>
    <row r="6135" spans="1:15" x14ac:dyDescent="0.25">
      <c r="A6135" t="s">
        <v>4487</v>
      </c>
      <c r="B6135" t="s">
        <v>15</v>
      </c>
      <c r="C6135" t="s">
        <v>16</v>
      </c>
      <c r="D6135" t="s">
        <v>17</v>
      </c>
      <c r="E6135" t="s">
        <v>18</v>
      </c>
      <c r="F6135" t="s">
        <v>19</v>
      </c>
      <c r="G6135" t="s">
        <v>20</v>
      </c>
      <c r="J6135" t="s">
        <v>17</v>
      </c>
      <c r="K6135" t="str">
        <f>"767705280"</f>
        <v>767705280</v>
      </c>
      <c r="L6135" t="str">
        <f>"767705280"</f>
        <v>767705280</v>
      </c>
      <c r="M6135" t="s">
        <v>75</v>
      </c>
      <c r="N6135" s="1">
        <v>42872.849305555559</v>
      </c>
      <c r="O6135" t="s">
        <v>19</v>
      </c>
    </row>
    <row r="6136" spans="1:15" x14ac:dyDescent="0.25">
      <c r="A6136" t="s">
        <v>4488</v>
      </c>
      <c r="B6136" t="s">
        <v>15</v>
      </c>
      <c r="C6136" t="s">
        <v>16</v>
      </c>
      <c r="D6136" t="s">
        <v>17</v>
      </c>
      <c r="E6136" t="s">
        <v>18</v>
      </c>
      <c r="F6136" t="s">
        <v>19</v>
      </c>
      <c r="G6136" t="s">
        <v>20</v>
      </c>
      <c r="J6136" t="s">
        <v>17</v>
      </c>
      <c r="K6136" t="str">
        <f>"767710295"</f>
        <v>767710295</v>
      </c>
      <c r="L6136" t="str">
        <f>"767710295"</f>
        <v>767710295</v>
      </c>
      <c r="M6136" t="s">
        <v>75</v>
      </c>
      <c r="N6136" s="1">
        <v>42872.849305555559</v>
      </c>
      <c r="O6136" t="s">
        <v>19</v>
      </c>
    </row>
    <row r="6137" spans="1:15" x14ac:dyDescent="0.25">
      <c r="A6137" t="s">
        <v>4489</v>
      </c>
      <c r="B6137" t="s">
        <v>15</v>
      </c>
      <c r="C6137" t="s">
        <v>1607</v>
      </c>
      <c r="D6137" t="s">
        <v>17</v>
      </c>
      <c r="E6137" t="s">
        <v>18</v>
      </c>
      <c r="F6137" t="s">
        <v>19</v>
      </c>
      <c r="G6137" t="s">
        <v>20</v>
      </c>
      <c r="J6137" t="s">
        <v>17</v>
      </c>
      <c r="K6137" t="str">
        <f>"76680714"</f>
        <v>76680714</v>
      </c>
      <c r="L6137" t="str">
        <f>"76680714"</f>
        <v>76680714</v>
      </c>
      <c r="M6137" t="s">
        <v>75</v>
      </c>
      <c r="N6137" s="1">
        <v>42872.847222222219</v>
      </c>
      <c r="O6137" t="s">
        <v>19</v>
      </c>
    </row>
    <row r="6138" spans="1:15" x14ac:dyDescent="0.25">
      <c r="A6138" t="s">
        <v>4490</v>
      </c>
      <c r="B6138" t="s">
        <v>15</v>
      </c>
      <c r="C6138" t="s">
        <v>27</v>
      </c>
      <c r="D6138" t="s">
        <v>17</v>
      </c>
      <c r="E6138" t="s">
        <v>18</v>
      </c>
      <c r="F6138" t="s">
        <v>19</v>
      </c>
      <c r="G6138" t="s">
        <v>20</v>
      </c>
      <c r="J6138" t="s">
        <v>17</v>
      </c>
      <c r="K6138" t="str">
        <f>"110400005"</f>
        <v>110400005</v>
      </c>
      <c r="L6138" t="str">
        <f>"110400005"</f>
        <v>110400005</v>
      </c>
      <c r="M6138" t="s">
        <v>75</v>
      </c>
      <c r="N6138" s="1">
        <v>42872.847222222219</v>
      </c>
      <c r="O6138" t="s">
        <v>19</v>
      </c>
    </row>
    <row r="6139" spans="1:15" x14ac:dyDescent="0.25">
      <c r="A6139" t="s">
        <v>4491</v>
      </c>
      <c r="B6139" t="s">
        <v>15</v>
      </c>
      <c r="C6139" t="s">
        <v>27</v>
      </c>
      <c r="D6139" t="s">
        <v>17</v>
      </c>
      <c r="E6139" t="s">
        <v>18</v>
      </c>
      <c r="F6139" t="s">
        <v>19</v>
      </c>
      <c r="G6139" t="s">
        <v>20</v>
      </c>
      <c r="J6139" t="s">
        <v>17</v>
      </c>
      <c r="K6139" t="str">
        <f>"76460720"</f>
        <v>76460720</v>
      </c>
      <c r="L6139" t="str">
        <f>"76460720"</f>
        <v>76460720</v>
      </c>
      <c r="M6139" t="s">
        <v>75</v>
      </c>
      <c r="N6139" s="1">
        <v>42872.847222222219</v>
      </c>
      <c r="O6139" t="s">
        <v>19</v>
      </c>
    </row>
    <row r="6140" spans="1:15" x14ac:dyDescent="0.25">
      <c r="A6140" t="s">
        <v>4492</v>
      </c>
      <c r="B6140" t="s">
        <v>15</v>
      </c>
      <c r="C6140" t="s">
        <v>27</v>
      </c>
      <c r="D6140" t="s">
        <v>17</v>
      </c>
      <c r="E6140" t="s">
        <v>18</v>
      </c>
      <c r="F6140" t="s">
        <v>19</v>
      </c>
      <c r="G6140" t="s">
        <v>20</v>
      </c>
      <c r="J6140" t="s">
        <v>17</v>
      </c>
      <c r="K6140" t="str">
        <f>"34470715"</f>
        <v>34470715</v>
      </c>
      <c r="L6140" t="str">
        <f>"34470715"</f>
        <v>34470715</v>
      </c>
      <c r="M6140" t="s">
        <v>75</v>
      </c>
      <c r="N6140" s="1">
        <v>42872.839583333334</v>
      </c>
      <c r="O6140" t="s">
        <v>19</v>
      </c>
    </row>
    <row r="6141" spans="1:15" x14ac:dyDescent="0.25">
      <c r="A6141" t="s">
        <v>4493</v>
      </c>
      <c r="B6141" t="s">
        <v>15</v>
      </c>
      <c r="C6141" t="s">
        <v>27</v>
      </c>
      <c r="D6141" t="s">
        <v>17</v>
      </c>
      <c r="E6141" t="s">
        <v>18</v>
      </c>
      <c r="F6141" t="s">
        <v>19</v>
      </c>
      <c r="G6141" t="s">
        <v>20</v>
      </c>
      <c r="J6141" t="s">
        <v>17</v>
      </c>
      <c r="K6141" t="str">
        <f>"17200716"</f>
        <v>17200716</v>
      </c>
      <c r="L6141" t="str">
        <f>"17200716"</f>
        <v>17200716</v>
      </c>
      <c r="M6141" t="s">
        <v>75</v>
      </c>
      <c r="N6141" s="1">
        <v>42872.839583333334</v>
      </c>
      <c r="O6141" t="s">
        <v>19</v>
      </c>
    </row>
    <row r="6142" spans="1:15" x14ac:dyDescent="0.25">
      <c r="A6142" t="s">
        <v>4494</v>
      </c>
      <c r="B6142" t="s">
        <v>15</v>
      </c>
      <c r="C6142" t="s">
        <v>27</v>
      </c>
      <c r="D6142" t="s">
        <v>17</v>
      </c>
      <c r="E6142" t="s">
        <v>18</v>
      </c>
      <c r="F6142" t="s">
        <v>19</v>
      </c>
      <c r="G6142" t="s">
        <v>20</v>
      </c>
      <c r="J6142" t="s">
        <v>17</v>
      </c>
      <c r="K6142" t="str">
        <f>"110762121"</f>
        <v>110762121</v>
      </c>
      <c r="L6142" t="str">
        <f>"110762121"</f>
        <v>110762121</v>
      </c>
      <c r="M6142" t="s">
        <v>75</v>
      </c>
      <c r="N6142" s="1">
        <v>42872.847222222219</v>
      </c>
      <c r="O6142" t="s">
        <v>19</v>
      </c>
    </row>
    <row r="6143" spans="1:15" x14ac:dyDescent="0.25">
      <c r="A6143" t="s">
        <v>4495</v>
      </c>
      <c r="B6143" t="s">
        <v>15</v>
      </c>
      <c r="C6143" t="s">
        <v>27</v>
      </c>
      <c r="D6143" t="s">
        <v>17</v>
      </c>
      <c r="E6143" t="s">
        <v>18</v>
      </c>
      <c r="F6143" t="s">
        <v>19</v>
      </c>
      <c r="G6143" t="s">
        <v>20</v>
      </c>
      <c r="J6143" t="s">
        <v>17</v>
      </c>
      <c r="K6143" t="str">
        <f>"764709154"</f>
        <v>764709154</v>
      </c>
      <c r="L6143" t="str">
        <f>"764709154"</f>
        <v>764709154</v>
      </c>
      <c r="M6143" t="s">
        <v>75</v>
      </c>
      <c r="N6143" s="1">
        <v>42872.849305555559</v>
      </c>
      <c r="O6143" t="s">
        <v>19</v>
      </c>
    </row>
    <row r="6144" spans="1:15" x14ac:dyDescent="0.25">
      <c r="A6144" t="s">
        <v>4496</v>
      </c>
      <c r="B6144" t="s">
        <v>15</v>
      </c>
      <c r="C6144" t="s">
        <v>27</v>
      </c>
      <c r="D6144" t="s">
        <v>17</v>
      </c>
      <c r="E6144" t="s">
        <v>18</v>
      </c>
      <c r="F6144" t="s">
        <v>19</v>
      </c>
      <c r="G6144" t="s">
        <v>20</v>
      </c>
      <c r="J6144" t="s">
        <v>17</v>
      </c>
      <c r="K6144" t="str">
        <f>"345809221"</f>
        <v>345809221</v>
      </c>
      <c r="L6144" t="str">
        <f>"345809221"</f>
        <v>345809221</v>
      </c>
      <c r="M6144" t="s">
        <v>75</v>
      </c>
      <c r="N6144" s="1">
        <v>42872.849305555559</v>
      </c>
      <c r="O6144" t="s">
        <v>19</v>
      </c>
    </row>
    <row r="6145" spans="1:15" x14ac:dyDescent="0.25">
      <c r="A6145" t="s">
        <v>4497</v>
      </c>
      <c r="B6145" t="s">
        <v>15</v>
      </c>
      <c r="C6145" t="s">
        <v>27</v>
      </c>
      <c r="D6145" t="s">
        <v>17</v>
      </c>
      <c r="E6145" t="s">
        <v>18</v>
      </c>
      <c r="F6145" t="s">
        <v>19</v>
      </c>
      <c r="G6145" t="s">
        <v>20</v>
      </c>
      <c r="J6145" t="s">
        <v>17</v>
      </c>
      <c r="K6145" t="str">
        <f>"11581460"</f>
        <v>11581460</v>
      </c>
      <c r="L6145" t="str">
        <f>"11581460"</f>
        <v>11581460</v>
      </c>
      <c r="M6145" t="s">
        <v>75</v>
      </c>
      <c r="N6145" s="1">
        <v>42872.847222222219</v>
      </c>
      <c r="O6145" t="s">
        <v>19</v>
      </c>
    </row>
    <row r="6146" spans="1:15" x14ac:dyDescent="0.25">
      <c r="A6146" t="s">
        <v>4498</v>
      </c>
      <c r="B6146" t="s">
        <v>15</v>
      </c>
      <c r="C6146" t="s">
        <v>27</v>
      </c>
      <c r="D6146" t="s">
        <v>17</v>
      </c>
      <c r="E6146" t="s">
        <v>18</v>
      </c>
      <c r="F6146" t="s">
        <v>19</v>
      </c>
      <c r="G6146" t="s">
        <v>20</v>
      </c>
      <c r="J6146" t="s">
        <v>17</v>
      </c>
      <c r="K6146" t="str">
        <f>"110341052"</f>
        <v>110341052</v>
      </c>
      <c r="L6146" t="str">
        <f>"110341052"</f>
        <v>110341052</v>
      </c>
      <c r="M6146" t="s">
        <v>75</v>
      </c>
      <c r="N6146" s="1">
        <v>42872.847222222219</v>
      </c>
      <c r="O6146" t="s">
        <v>19</v>
      </c>
    </row>
    <row r="6147" spans="1:15" x14ac:dyDescent="0.25">
      <c r="A6147" t="s">
        <v>4499</v>
      </c>
      <c r="B6147" t="s">
        <v>15</v>
      </c>
      <c r="C6147" t="s">
        <v>27</v>
      </c>
      <c r="D6147" t="s">
        <v>17</v>
      </c>
      <c r="E6147" t="s">
        <v>18</v>
      </c>
      <c r="F6147" t="s">
        <v>19</v>
      </c>
      <c r="G6147" t="s">
        <v>20</v>
      </c>
      <c r="J6147" t="s">
        <v>17</v>
      </c>
      <c r="K6147" t="str">
        <f>"76471064"</f>
        <v>76471064</v>
      </c>
      <c r="L6147" t="str">
        <f>"76471064"</f>
        <v>76471064</v>
      </c>
      <c r="M6147" t="s">
        <v>75</v>
      </c>
      <c r="N6147" s="1">
        <v>42872.847222222219</v>
      </c>
      <c r="O6147" t="s">
        <v>19</v>
      </c>
    </row>
    <row r="6148" spans="1:15" x14ac:dyDescent="0.25">
      <c r="A6148" t="s">
        <v>4499</v>
      </c>
      <c r="B6148" t="s">
        <v>15</v>
      </c>
      <c r="C6148" t="s">
        <v>27</v>
      </c>
      <c r="D6148" t="s">
        <v>17</v>
      </c>
      <c r="E6148" t="s">
        <v>18</v>
      </c>
      <c r="F6148" t="s">
        <v>19</v>
      </c>
      <c r="G6148" t="s">
        <v>20</v>
      </c>
      <c r="J6148" t="s">
        <v>17</v>
      </c>
      <c r="K6148" t="str">
        <f>"764610190"</f>
        <v>764610190</v>
      </c>
      <c r="L6148" t="str">
        <f>"764610190"</f>
        <v>764610190</v>
      </c>
      <c r="M6148" t="s">
        <v>75</v>
      </c>
      <c r="N6148" s="1">
        <v>42872.849305555559</v>
      </c>
      <c r="O6148" t="s">
        <v>19</v>
      </c>
    </row>
    <row r="6149" spans="1:15" x14ac:dyDescent="0.25">
      <c r="A6149" t="s">
        <v>4500</v>
      </c>
      <c r="B6149" t="s">
        <v>15</v>
      </c>
      <c r="C6149" t="s">
        <v>27</v>
      </c>
      <c r="D6149" t="s">
        <v>17</v>
      </c>
      <c r="E6149" t="s">
        <v>18</v>
      </c>
      <c r="F6149" t="s">
        <v>19</v>
      </c>
      <c r="G6149" t="s">
        <v>20</v>
      </c>
      <c r="J6149" t="s">
        <v>17</v>
      </c>
      <c r="K6149" t="str">
        <f>"764810241"</f>
        <v>764810241</v>
      </c>
      <c r="L6149" t="str">
        <f>"764810241"</f>
        <v>764810241</v>
      </c>
      <c r="M6149" t="s">
        <v>75</v>
      </c>
      <c r="N6149" s="1">
        <v>42872.849305555559</v>
      </c>
      <c r="O6149" t="s">
        <v>19</v>
      </c>
    </row>
    <row r="6150" spans="1:15" x14ac:dyDescent="0.25">
      <c r="A6150" t="s">
        <v>4501</v>
      </c>
      <c r="B6150" t="s">
        <v>15</v>
      </c>
      <c r="C6150" t="s">
        <v>4179</v>
      </c>
      <c r="D6150" t="s">
        <v>17</v>
      </c>
      <c r="E6150" t="s">
        <v>18</v>
      </c>
      <c r="F6150" t="s">
        <v>19</v>
      </c>
      <c r="G6150" t="s">
        <v>20</v>
      </c>
      <c r="J6150" t="s">
        <v>17</v>
      </c>
      <c r="K6150" t="str">
        <f>"764632214"</f>
        <v>764632214</v>
      </c>
      <c r="L6150" t="str">
        <f>"764632214"</f>
        <v>764632214</v>
      </c>
      <c r="M6150" t="s">
        <v>75</v>
      </c>
      <c r="N6150" s="1">
        <v>42872.849305555559</v>
      </c>
      <c r="O6150" t="s">
        <v>19</v>
      </c>
    </row>
    <row r="6151" spans="1:15" x14ac:dyDescent="0.25">
      <c r="A6151" t="s">
        <v>4502</v>
      </c>
      <c r="B6151" t="s">
        <v>15</v>
      </c>
      <c r="C6151" t="s">
        <v>4179</v>
      </c>
      <c r="D6151" t="s">
        <v>17</v>
      </c>
      <c r="E6151" t="s">
        <v>18</v>
      </c>
      <c r="F6151" t="s">
        <v>19</v>
      </c>
      <c r="G6151" t="s">
        <v>20</v>
      </c>
      <c r="J6151" t="s">
        <v>17</v>
      </c>
      <c r="K6151" t="str">
        <f>"764610268"</f>
        <v>764610268</v>
      </c>
      <c r="L6151" t="str">
        <f>"764610268"</f>
        <v>764610268</v>
      </c>
      <c r="M6151" t="s">
        <v>75</v>
      </c>
      <c r="N6151" s="1">
        <v>42872.849305555559</v>
      </c>
      <c r="O6151" t="s">
        <v>19</v>
      </c>
    </row>
    <row r="6152" spans="1:15" x14ac:dyDescent="0.25">
      <c r="A6152" t="s">
        <v>4503</v>
      </c>
      <c r="B6152" t="s">
        <v>15</v>
      </c>
      <c r="C6152" t="s">
        <v>16</v>
      </c>
      <c r="D6152" t="s">
        <v>17</v>
      </c>
      <c r="E6152" t="s">
        <v>18</v>
      </c>
      <c r="F6152" t="s">
        <v>19</v>
      </c>
      <c r="G6152" t="s">
        <v>20</v>
      </c>
      <c r="J6152" t="s">
        <v>17</v>
      </c>
      <c r="K6152" t="str">
        <f>"76391447"</f>
        <v>76391447</v>
      </c>
      <c r="L6152" t="str">
        <f>"76391447"</f>
        <v>76391447</v>
      </c>
      <c r="M6152" t="s">
        <v>75</v>
      </c>
      <c r="N6152" s="1">
        <v>43196.888194444444</v>
      </c>
      <c r="O6152" t="s">
        <v>19</v>
      </c>
    </row>
    <row r="6153" spans="1:15" x14ac:dyDescent="0.25">
      <c r="A6153" t="s">
        <v>4504</v>
      </c>
      <c r="B6153" t="s">
        <v>15</v>
      </c>
      <c r="C6153" t="s">
        <v>27</v>
      </c>
      <c r="D6153" t="s">
        <v>17</v>
      </c>
      <c r="E6153" t="s">
        <v>18</v>
      </c>
      <c r="F6153" t="s">
        <v>19</v>
      </c>
      <c r="G6153" t="s">
        <v>20</v>
      </c>
      <c r="J6153" t="s">
        <v>17</v>
      </c>
      <c r="K6153" t="str">
        <f>"764705196"</f>
        <v>764705196</v>
      </c>
      <c r="L6153" t="str">
        <f>"764705196"</f>
        <v>764705196</v>
      </c>
      <c r="M6153" t="s">
        <v>75</v>
      </c>
      <c r="N6153" s="1">
        <v>42872.849305555559</v>
      </c>
      <c r="O6153" t="s">
        <v>19</v>
      </c>
    </row>
    <row r="6154" spans="1:15" x14ac:dyDescent="0.25">
      <c r="A6154" t="s">
        <v>4505</v>
      </c>
      <c r="B6154" t="s">
        <v>15</v>
      </c>
      <c r="C6154" t="s">
        <v>16</v>
      </c>
      <c r="D6154" t="s">
        <v>17</v>
      </c>
      <c r="E6154" t="s">
        <v>18</v>
      </c>
      <c r="F6154" t="s">
        <v>19</v>
      </c>
      <c r="G6154" t="s">
        <v>20</v>
      </c>
      <c r="J6154" t="s">
        <v>17</v>
      </c>
      <c r="K6154" t="str">
        <f>"177505321"</f>
        <v>177505321</v>
      </c>
      <c r="L6154" t="str">
        <f>"177505321"</f>
        <v>177505321</v>
      </c>
      <c r="M6154" t="s">
        <v>75</v>
      </c>
      <c r="N6154" s="1">
        <v>43132.667361111111</v>
      </c>
      <c r="O6154" t="s">
        <v>19</v>
      </c>
    </row>
    <row r="6155" spans="1:15" x14ac:dyDescent="0.25">
      <c r="A6155" t="s">
        <v>4506</v>
      </c>
      <c r="B6155" t="s">
        <v>15</v>
      </c>
      <c r="C6155" t="s">
        <v>16</v>
      </c>
      <c r="D6155" t="s">
        <v>17</v>
      </c>
      <c r="E6155" t="s">
        <v>18</v>
      </c>
      <c r="F6155" t="s">
        <v>19</v>
      </c>
      <c r="G6155" t="s">
        <v>20</v>
      </c>
      <c r="J6155" t="s">
        <v>17</v>
      </c>
      <c r="K6155" t="str">
        <f>"767505295"</f>
        <v>767505295</v>
      </c>
      <c r="L6155" t="str">
        <f>"767505295"</f>
        <v>767505295</v>
      </c>
      <c r="M6155" t="s">
        <v>75</v>
      </c>
      <c r="N6155" s="1">
        <v>43045.748611111114</v>
      </c>
      <c r="O6155" t="s">
        <v>19</v>
      </c>
    </row>
    <row r="6156" spans="1:15" x14ac:dyDescent="0.25">
      <c r="A6156" t="s">
        <v>4507</v>
      </c>
      <c r="B6156" t="s">
        <v>15</v>
      </c>
      <c r="C6156" t="s">
        <v>16</v>
      </c>
      <c r="D6156" t="s">
        <v>17</v>
      </c>
      <c r="E6156" t="s">
        <v>18</v>
      </c>
      <c r="F6156" t="s">
        <v>19</v>
      </c>
      <c r="G6156" t="s">
        <v>20</v>
      </c>
      <c r="J6156" t="s">
        <v>17</v>
      </c>
      <c r="K6156" t="str">
        <f>"767505296"</f>
        <v>767505296</v>
      </c>
      <c r="L6156" t="str">
        <f>"767505296"</f>
        <v>767505296</v>
      </c>
      <c r="M6156" t="s">
        <v>75</v>
      </c>
      <c r="N6156" s="1">
        <v>42896.793749999997</v>
      </c>
      <c r="O6156" t="s">
        <v>19</v>
      </c>
    </row>
    <row r="6157" spans="1:15" x14ac:dyDescent="0.25">
      <c r="A6157" t="s">
        <v>4508</v>
      </c>
      <c r="B6157" t="s">
        <v>15</v>
      </c>
      <c r="C6157" t="s">
        <v>16</v>
      </c>
      <c r="D6157" t="s">
        <v>17</v>
      </c>
      <c r="E6157" t="s">
        <v>18</v>
      </c>
      <c r="F6157" t="s">
        <v>19</v>
      </c>
      <c r="G6157" t="s">
        <v>20</v>
      </c>
      <c r="J6157" t="s">
        <v>17</v>
      </c>
      <c r="K6157" t="str">
        <f>"764605247"</f>
        <v>764605247</v>
      </c>
      <c r="L6157" t="str">
        <f>"764605247"</f>
        <v>764605247</v>
      </c>
      <c r="M6157" t="s">
        <v>75</v>
      </c>
      <c r="N6157" s="1">
        <v>42872.849305555559</v>
      </c>
      <c r="O6157" t="s">
        <v>19</v>
      </c>
    </row>
    <row r="6158" spans="1:15" x14ac:dyDescent="0.25">
      <c r="A6158" t="s">
        <v>4509</v>
      </c>
      <c r="B6158" t="s">
        <v>15</v>
      </c>
      <c r="C6158" t="s">
        <v>16</v>
      </c>
      <c r="D6158" t="s">
        <v>17</v>
      </c>
      <c r="E6158" t="s">
        <v>18</v>
      </c>
      <c r="F6158" t="s">
        <v>19</v>
      </c>
      <c r="G6158" t="s">
        <v>20</v>
      </c>
      <c r="J6158" t="s">
        <v>17</v>
      </c>
      <c r="K6158" t="str">
        <f>"767705299"</f>
        <v>767705299</v>
      </c>
      <c r="L6158" t="str">
        <f>"767705299"</f>
        <v>767705299</v>
      </c>
      <c r="M6158" t="s">
        <v>75</v>
      </c>
      <c r="N6158" s="1">
        <v>42933.690972222219</v>
      </c>
      <c r="O6158" t="s">
        <v>19</v>
      </c>
    </row>
    <row r="6159" spans="1:15" x14ac:dyDescent="0.25">
      <c r="A6159" t="s">
        <v>4509</v>
      </c>
      <c r="B6159" t="s">
        <v>15</v>
      </c>
      <c r="C6159" t="s">
        <v>16</v>
      </c>
      <c r="D6159" t="s">
        <v>17</v>
      </c>
      <c r="E6159" t="s">
        <v>18</v>
      </c>
      <c r="F6159" t="s">
        <v>19</v>
      </c>
      <c r="G6159" t="s">
        <v>20</v>
      </c>
      <c r="J6159" t="s">
        <v>17</v>
      </c>
      <c r="K6159" t="str">
        <f>"767505299"</f>
        <v>767505299</v>
      </c>
      <c r="L6159" t="str">
        <f>"767505299"</f>
        <v>767505299</v>
      </c>
      <c r="M6159" t="s">
        <v>75</v>
      </c>
      <c r="N6159" s="1">
        <v>43033.834027777775</v>
      </c>
      <c r="O6159" t="s">
        <v>19</v>
      </c>
    </row>
    <row r="6160" spans="1:15" x14ac:dyDescent="0.25">
      <c r="A6160" t="s">
        <v>4510</v>
      </c>
      <c r="B6160" t="s">
        <v>15</v>
      </c>
      <c r="C6160" t="s">
        <v>16</v>
      </c>
      <c r="D6160" t="s">
        <v>17</v>
      </c>
      <c r="E6160" t="s">
        <v>18</v>
      </c>
      <c r="F6160" t="s">
        <v>19</v>
      </c>
      <c r="G6160" t="s">
        <v>20</v>
      </c>
      <c r="J6160" t="s">
        <v>17</v>
      </c>
      <c r="K6160" t="str">
        <f>"767505329"</f>
        <v>767505329</v>
      </c>
      <c r="L6160" t="str">
        <f>"767505329"</f>
        <v>767505329</v>
      </c>
      <c r="M6160" t="s">
        <v>75</v>
      </c>
      <c r="N6160" s="1">
        <v>43148.649305555555</v>
      </c>
      <c r="O6160" t="s">
        <v>19</v>
      </c>
    </row>
    <row r="6161" spans="1:15" x14ac:dyDescent="0.25">
      <c r="A6161" t="s">
        <v>4511</v>
      </c>
      <c r="B6161" t="s">
        <v>15</v>
      </c>
      <c r="C6161" t="s">
        <v>16</v>
      </c>
      <c r="D6161" t="s">
        <v>17</v>
      </c>
      <c r="E6161" t="s">
        <v>18</v>
      </c>
      <c r="F6161" t="s">
        <v>19</v>
      </c>
      <c r="G6161" t="s">
        <v>20</v>
      </c>
      <c r="J6161" t="s">
        <v>17</v>
      </c>
      <c r="K6161" t="str">
        <f>"767505229"</f>
        <v>767505229</v>
      </c>
      <c r="L6161" t="str">
        <f>"767505229"</f>
        <v>767505229</v>
      </c>
      <c r="M6161" t="s">
        <v>75</v>
      </c>
      <c r="N6161" s="1">
        <v>42872.849305555559</v>
      </c>
      <c r="O6161" t="s">
        <v>19</v>
      </c>
    </row>
    <row r="6162" spans="1:15" x14ac:dyDescent="0.25">
      <c r="A6162" t="s">
        <v>4512</v>
      </c>
      <c r="B6162" t="s">
        <v>15</v>
      </c>
      <c r="C6162" t="s">
        <v>16</v>
      </c>
      <c r="D6162" t="s">
        <v>17</v>
      </c>
      <c r="E6162" t="s">
        <v>18</v>
      </c>
      <c r="F6162" t="s">
        <v>19</v>
      </c>
      <c r="G6162" t="s">
        <v>20</v>
      </c>
      <c r="J6162" t="s">
        <v>17</v>
      </c>
      <c r="K6162" t="str">
        <f>"767505157"</f>
        <v>767505157</v>
      </c>
      <c r="L6162" t="str">
        <f>"767505157"</f>
        <v>767505157</v>
      </c>
      <c r="M6162" t="s">
        <v>75</v>
      </c>
      <c r="N6162" s="1">
        <v>42872.849305555559</v>
      </c>
      <c r="O6162" t="s">
        <v>19</v>
      </c>
    </row>
    <row r="6163" spans="1:15" x14ac:dyDescent="0.25">
      <c r="A6163" t="s">
        <v>4513</v>
      </c>
      <c r="B6163" t="s">
        <v>15</v>
      </c>
      <c r="C6163" t="s">
        <v>16</v>
      </c>
      <c r="D6163" t="s">
        <v>17</v>
      </c>
      <c r="E6163" t="s">
        <v>18</v>
      </c>
      <c r="F6163" t="s">
        <v>19</v>
      </c>
      <c r="G6163" t="s">
        <v>20</v>
      </c>
      <c r="J6163" t="s">
        <v>17</v>
      </c>
      <c r="K6163" t="str">
        <f>"177505280"</f>
        <v>177505280</v>
      </c>
      <c r="L6163" t="str">
        <f>"177505280"</f>
        <v>177505280</v>
      </c>
      <c r="M6163" t="s">
        <v>75</v>
      </c>
      <c r="N6163" s="1">
        <v>43132.662499999999</v>
      </c>
      <c r="O6163" t="s">
        <v>19</v>
      </c>
    </row>
    <row r="6164" spans="1:15" x14ac:dyDescent="0.25">
      <c r="A6164" t="s">
        <v>4514</v>
      </c>
      <c r="B6164" t="s">
        <v>15</v>
      </c>
      <c r="C6164" t="s">
        <v>16</v>
      </c>
      <c r="D6164" t="s">
        <v>17</v>
      </c>
      <c r="E6164" t="s">
        <v>18</v>
      </c>
      <c r="F6164" t="s">
        <v>19</v>
      </c>
      <c r="G6164" t="s">
        <v>20</v>
      </c>
      <c r="J6164" t="s">
        <v>17</v>
      </c>
      <c r="K6164" t="str">
        <f>"767505280"</f>
        <v>767505280</v>
      </c>
      <c r="L6164" t="str">
        <f>"767505280"</f>
        <v>767505280</v>
      </c>
      <c r="M6164" t="s">
        <v>75</v>
      </c>
      <c r="N6164" s="1">
        <v>42907.805555555555</v>
      </c>
      <c r="O6164" t="s">
        <v>19</v>
      </c>
    </row>
    <row r="6165" spans="1:15" x14ac:dyDescent="0.25">
      <c r="A6165" t="s">
        <v>4515</v>
      </c>
      <c r="B6165" t="s">
        <v>15</v>
      </c>
      <c r="C6165" t="s">
        <v>16</v>
      </c>
      <c r="D6165" t="s">
        <v>17</v>
      </c>
      <c r="E6165" t="s">
        <v>18</v>
      </c>
      <c r="F6165" t="s">
        <v>19</v>
      </c>
      <c r="G6165" t="s">
        <v>20</v>
      </c>
      <c r="J6165" t="s">
        <v>17</v>
      </c>
      <c r="K6165" t="str">
        <f>"767505160"</f>
        <v>767505160</v>
      </c>
      <c r="L6165" t="str">
        <f>"767505160"</f>
        <v>767505160</v>
      </c>
      <c r="M6165" t="s">
        <v>75</v>
      </c>
      <c r="N6165" s="1">
        <v>43082.960416666669</v>
      </c>
      <c r="O6165" t="s">
        <v>19</v>
      </c>
    </row>
    <row r="6166" spans="1:15" x14ac:dyDescent="0.25">
      <c r="A6166" t="s">
        <v>4516</v>
      </c>
      <c r="B6166" t="s">
        <v>15</v>
      </c>
      <c r="C6166" t="s">
        <v>16</v>
      </c>
      <c r="D6166" t="s">
        <v>17</v>
      </c>
      <c r="E6166" t="s">
        <v>18</v>
      </c>
      <c r="F6166" t="s">
        <v>19</v>
      </c>
      <c r="G6166" t="s">
        <v>20</v>
      </c>
      <c r="J6166" t="s">
        <v>17</v>
      </c>
      <c r="K6166" t="str">
        <f>"76701445"</f>
        <v>76701445</v>
      </c>
      <c r="L6166" t="str">
        <f>"76701445"</f>
        <v>76701445</v>
      </c>
      <c r="M6166" t="s">
        <v>75</v>
      </c>
      <c r="N6166" s="1">
        <v>42872.847222222219</v>
      </c>
      <c r="O6166" t="s">
        <v>19</v>
      </c>
    </row>
    <row r="6167" spans="1:15" x14ac:dyDescent="0.25">
      <c r="A6167" t="s">
        <v>4517</v>
      </c>
      <c r="B6167" t="s">
        <v>15</v>
      </c>
      <c r="C6167" t="s">
        <v>16</v>
      </c>
      <c r="D6167" t="s">
        <v>17</v>
      </c>
      <c r="E6167" t="s">
        <v>18</v>
      </c>
      <c r="F6167" t="s">
        <v>19</v>
      </c>
      <c r="G6167" t="s">
        <v>20</v>
      </c>
      <c r="J6167" t="s">
        <v>17</v>
      </c>
      <c r="K6167" t="str">
        <f>"76750951"</f>
        <v>76750951</v>
      </c>
      <c r="L6167" t="str">
        <f>"76750951"</f>
        <v>76750951</v>
      </c>
      <c r="M6167" t="s">
        <v>75</v>
      </c>
      <c r="N6167" s="1">
        <v>42872.847222222219</v>
      </c>
      <c r="O6167" t="s">
        <v>19</v>
      </c>
    </row>
    <row r="6168" spans="1:15" x14ac:dyDescent="0.25">
      <c r="A6168" t="s">
        <v>4518</v>
      </c>
      <c r="B6168" t="s">
        <v>15</v>
      </c>
      <c r="C6168" t="s">
        <v>16</v>
      </c>
      <c r="D6168" t="s">
        <v>17</v>
      </c>
      <c r="E6168" t="s">
        <v>18</v>
      </c>
      <c r="F6168" t="s">
        <v>19</v>
      </c>
      <c r="G6168" t="s">
        <v>20</v>
      </c>
      <c r="J6168" t="s">
        <v>17</v>
      </c>
      <c r="K6168" t="str">
        <f>"767532214"</f>
        <v>767532214</v>
      </c>
      <c r="L6168" t="str">
        <f>"767532214"</f>
        <v>767532214</v>
      </c>
      <c r="M6168" t="s">
        <v>75</v>
      </c>
      <c r="N6168" s="1">
        <v>42872.849305555559</v>
      </c>
      <c r="O6168" t="s">
        <v>19</v>
      </c>
    </row>
    <row r="6169" spans="1:15" x14ac:dyDescent="0.25">
      <c r="A6169" t="s">
        <v>4519</v>
      </c>
      <c r="B6169" t="s">
        <v>15</v>
      </c>
      <c r="C6169" t="s">
        <v>16</v>
      </c>
      <c r="D6169" t="s">
        <v>17</v>
      </c>
      <c r="E6169" t="s">
        <v>18</v>
      </c>
      <c r="F6169" t="s">
        <v>19</v>
      </c>
      <c r="G6169" t="s">
        <v>20</v>
      </c>
      <c r="J6169" t="s">
        <v>17</v>
      </c>
      <c r="K6169" t="str">
        <f>"767732295"</f>
        <v>767732295</v>
      </c>
      <c r="L6169" t="str">
        <f>"767732295"</f>
        <v>767732295</v>
      </c>
      <c r="M6169" t="s">
        <v>75</v>
      </c>
      <c r="N6169" s="1">
        <v>42933.71597222222</v>
      </c>
      <c r="O6169" t="s">
        <v>19</v>
      </c>
    </row>
    <row r="6170" spans="1:15" x14ac:dyDescent="0.25">
      <c r="A6170" t="s">
        <v>4520</v>
      </c>
      <c r="B6170" t="s">
        <v>15</v>
      </c>
      <c r="C6170" t="s">
        <v>16</v>
      </c>
      <c r="D6170" t="s">
        <v>17</v>
      </c>
      <c r="E6170" t="s">
        <v>18</v>
      </c>
      <c r="F6170" t="s">
        <v>19</v>
      </c>
      <c r="G6170" t="s">
        <v>20</v>
      </c>
      <c r="J6170" t="s">
        <v>17</v>
      </c>
      <c r="K6170" t="str">
        <f>"767509154"</f>
        <v>767509154</v>
      </c>
      <c r="L6170" t="str">
        <f>"767509154"</f>
        <v>767509154</v>
      </c>
      <c r="M6170" t="s">
        <v>75</v>
      </c>
      <c r="N6170" s="1">
        <v>42872.849305555559</v>
      </c>
      <c r="O6170" t="s">
        <v>19</v>
      </c>
    </row>
    <row r="6171" spans="1:15" x14ac:dyDescent="0.25">
      <c r="A6171" t="s">
        <v>4521</v>
      </c>
      <c r="B6171" t="s">
        <v>15</v>
      </c>
      <c r="C6171" t="s">
        <v>27</v>
      </c>
      <c r="D6171" t="s">
        <v>17</v>
      </c>
      <c r="E6171" t="s">
        <v>18</v>
      </c>
      <c r="F6171" t="s">
        <v>19</v>
      </c>
      <c r="G6171" t="s">
        <v>20</v>
      </c>
      <c r="J6171" t="s">
        <v>17</v>
      </c>
      <c r="K6171" t="str">
        <f>"764709221"</f>
        <v>764709221</v>
      </c>
      <c r="L6171" t="str">
        <f>"764709221"</f>
        <v>764709221</v>
      </c>
      <c r="M6171" t="s">
        <v>75</v>
      </c>
      <c r="N6171" s="1">
        <v>42872.849305555559</v>
      </c>
      <c r="O6171" t="s">
        <v>19</v>
      </c>
    </row>
    <row r="6172" spans="1:15" x14ac:dyDescent="0.25">
      <c r="A6172" t="s">
        <v>4522</v>
      </c>
      <c r="B6172" t="s">
        <v>15</v>
      </c>
      <c r="C6172" t="s">
        <v>16</v>
      </c>
      <c r="D6172" t="s">
        <v>17</v>
      </c>
      <c r="E6172" t="s">
        <v>18</v>
      </c>
      <c r="F6172" t="s">
        <v>19</v>
      </c>
      <c r="G6172" t="s">
        <v>20</v>
      </c>
      <c r="J6172" t="s">
        <v>17</v>
      </c>
      <c r="K6172" t="str">
        <f>"767509293"</f>
        <v>767509293</v>
      </c>
      <c r="L6172" t="str">
        <f>"767509293"</f>
        <v>767509293</v>
      </c>
      <c r="M6172" t="s">
        <v>75</v>
      </c>
      <c r="N6172" s="1">
        <v>42987.888888888891</v>
      </c>
      <c r="O6172" t="s">
        <v>19</v>
      </c>
    </row>
    <row r="6173" spans="1:15" x14ac:dyDescent="0.25">
      <c r="A6173" t="s">
        <v>4523</v>
      </c>
      <c r="B6173" t="s">
        <v>15</v>
      </c>
      <c r="C6173" t="s">
        <v>16</v>
      </c>
      <c r="D6173" t="s">
        <v>17</v>
      </c>
      <c r="E6173" t="s">
        <v>18</v>
      </c>
      <c r="F6173" t="s">
        <v>19</v>
      </c>
      <c r="G6173" t="s">
        <v>20</v>
      </c>
      <c r="J6173" t="s">
        <v>17</v>
      </c>
      <c r="K6173" t="str">
        <f>"767509291"</f>
        <v>767509291</v>
      </c>
      <c r="L6173" t="str">
        <f>"767509291"</f>
        <v>767509291</v>
      </c>
      <c r="M6173" t="s">
        <v>75</v>
      </c>
      <c r="N6173" s="1">
        <v>42987.887499999997</v>
      </c>
      <c r="O6173" t="s">
        <v>19</v>
      </c>
    </row>
    <row r="6174" spans="1:15" x14ac:dyDescent="0.25">
      <c r="A6174" t="s">
        <v>4524</v>
      </c>
      <c r="B6174" t="s">
        <v>15</v>
      </c>
      <c r="C6174" t="s">
        <v>16</v>
      </c>
      <c r="D6174" t="s">
        <v>17</v>
      </c>
      <c r="E6174" t="s">
        <v>18</v>
      </c>
      <c r="F6174" t="s">
        <v>19</v>
      </c>
      <c r="G6174" t="s">
        <v>20</v>
      </c>
      <c r="J6174" t="s">
        <v>17</v>
      </c>
      <c r="K6174" t="str">
        <f>"767509325"</f>
        <v>767509325</v>
      </c>
      <c r="L6174" t="str">
        <f>"767509325"</f>
        <v>767509325</v>
      </c>
      <c r="M6174" t="s">
        <v>75</v>
      </c>
      <c r="N6174" s="1">
        <v>43082.961805555555</v>
      </c>
      <c r="O6174" t="s">
        <v>19</v>
      </c>
    </row>
    <row r="6175" spans="1:15" x14ac:dyDescent="0.25">
      <c r="A6175" t="s">
        <v>4525</v>
      </c>
      <c r="B6175" t="s">
        <v>15</v>
      </c>
      <c r="C6175" t="s">
        <v>16</v>
      </c>
      <c r="D6175" t="s">
        <v>17</v>
      </c>
      <c r="E6175" t="s">
        <v>18</v>
      </c>
      <c r="F6175" t="s">
        <v>19</v>
      </c>
      <c r="G6175" t="s">
        <v>20</v>
      </c>
      <c r="J6175" t="s">
        <v>17</v>
      </c>
      <c r="K6175" t="str">
        <f>"177509292"</f>
        <v>177509292</v>
      </c>
      <c r="L6175" t="str">
        <f>"177509292"</f>
        <v>177509292</v>
      </c>
      <c r="M6175" t="s">
        <v>75</v>
      </c>
      <c r="N6175" s="1">
        <v>43132.665277777778</v>
      </c>
      <c r="O6175" t="s">
        <v>19</v>
      </c>
    </row>
    <row r="6176" spans="1:15" x14ac:dyDescent="0.25">
      <c r="A6176" t="s">
        <v>4526</v>
      </c>
      <c r="B6176" t="s">
        <v>15</v>
      </c>
      <c r="C6176" t="s">
        <v>16</v>
      </c>
      <c r="D6176" t="s">
        <v>17</v>
      </c>
      <c r="E6176" t="s">
        <v>18</v>
      </c>
      <c r="F6176" t="s">
        <v>19</v>
      </c>
      <c r="G6176" t="s">
        <v>20</v>
      </c>
      <c r="J6176" t="s">
        <v>17</v>
      </c>
      <c r="K6176" t="str">
        <f>"34641480"</f>
        <v>34641480</v>
      </c>
      <c r="L6176" t="str">
        <f>"34641480"</f>
        <v>34641480</v>
      </c>
      <c r="M6176" t="s">
        <v>75</v>
      </c>
      <c r="N6176" s="1">
        <v>42872.839583333334</v>
      </c>
      <c r="O6176" t="s">
        <v>19</v>
      </c>
    </row>
    <row r="6177" spans="1:15" x14ac:dyDescent="0.25">
      <c r="A6177" t="s">
        <v>4527</v>
      </c>
      <c r="B6177" t="s">
        <v>15</v>
      </c>
      <c r="C6177" t="s">
        <v>16</v>
      </c>
      <c r="D6177" t="s">
        <v>17</v>
      </c>
      <c r="E6177" t="s">
        <v>18</v>
      </c>
      <c r="F6177" t="s">
        <v>19</v>
      </c>
      <c r="G6177" t="s">
        <v>20</v>
      </c>
      <c r="J6177" t="s">
        <v>17</v>
      </c>
      <c r="K6177" t="str">
        <f>"765805196"</f>
        <v>765805196</v>
      </c>
      <c r="L6177" t="str">
        <f>"765805196"</f>
        <v>765805196</v>
      </c>
      <c r="M6177" t="s">
        <v>75</v>
      </c>
      <c r="N6177" s="1">
        <v>42872.849305555559</v>
      </c>
      <c r="O6177" t="s">
        <v>19</v>
      </c>
    </row>
    <row r="6178" spans="1:15" x14ac:dyDescent="0.25">
      <c r="A6178" t="s">
        <v>4528</v>
      </c>
      <c r="B6178" t="s">
        <v>15</v>
      </c>
      <c r="C6178" t="s">
        <v>16</v>
      </c>
      <c r="D6178" t="s">
        <v>17</v>
      </c>
      <c r="E6178" t="s">
        <v>18</v>
      </c>
      <c r="F6178" t="s">
        <v>19</v>
      </c>
      <c r="G6178" t="s">
        <v>20</v>
      </c>
      <c r="J6178" t="s">
        <v>17</v>
      </c>
      <c r="K6178" t="str">
        <f>"765809221"</f>
        <v>765809221</v>
      </c>
      <c r="L6178" t="str">
        <f>"765809221"</f>
        <v>765809221</v>
      </c>
      <c r="M6178" t="s">
        <v>75</v>
      </c>
      <c r="N6178" s="1">
        <v>42872.849305555559</v>
      </c>
      <c r="O6178" t="s">
        <v>19</v>
      </c>
    </row>
    <row r="6179" spans="1:15" x14ac:dyDescent="0.25">
      <c r="A6179" t="s">
        <v>4529</v>
      </c>
      <c r="B6179" t="s">
        <v>15</v>
      </c>
      <c r="C6179" t="s">
        <v>16</v>
      </c>
      <c r="D6179" t="s">
        <v>17</v>
      </c>
      <c r="E6179" t="s">
        <v>18</v>
      </c>
      <c r="F6179" t="s">
        <v>19</v>
      </c>
      <c r="G6179" t="s">
        <v>20</v>
      </c>
      <c r="J6179" t="s">
        <v>17</v>
      </c>
      <c r="K6179" t="str">
        <f>"177510297"</f>
        <v>177510297</v>
      </c>
      <c r="L6179" t="str">
        <f>"177510297"</f>
        <v>177510297</v>
      </c>
      <c r="M6179" t="s">
        <v>75</v>
      </c>
      <c r="N6179" s="1">
        <v>43132.664583333331</v>
      </c>
      <c r="O6179" t="s">
        <v>19</v>
      </c>
    </row>
    <row r="6180" spans="1:15" x14ac:dyDescent="0.25">
      <c r="A6180" t="s">
        <v>4529</v>
      </c>
      <c r="B6180" t="s">
        <v>15</v>
      </c>
      <c r="C6180" t="s">
        <v>16</v>
      </c>
      <c r="D6180" t="s">
        <v>17</v>
      </c>
      <c r="E6180" t="s">
        <v>18</v>
      </c>
      <c r="F6180" t="s">
        <v>19</v>
      </c>
      <c r="G6180" t="s">
        <v>20</v>
      </c>
      <c r="J6180" t="s">
        <v>17</v>
      </c>
      <c r="K6180" t="str">
        <f>"767510297"</f>
        <v>767510297</v>
      </c>
      <c r="L6180" t="str">
        <f>"767510297"</f>
        <v>767510297</v>
      </c>
      <c r="M6180" t="s">
        <v>75</v>
      </c>
      <c r="N6180" s="1">
        <v>43132.756249999999</v>
      </c>
      <c r="O6180" t="s">
        <v>19</v>
      </c>
    </row>
    <row r="6181" spans="1:15" x14ac:dyDescent="0.25">
      <c r="A6181" t="s">
        <v>4530</v>
      </c>
      <c r="B6181" t="s">
        <v>15</v>
      </c>
      <c r="C6181" t="s">
        <v>16</v>
      </c>
      <c r="D6181" t="s">
        <v>17</v>
      </c>
      <c r="E6181" t="s">
        <v>18</v>
      </c>
      <c r="F6181" t="s">
        <v>19</v>
      </c>
      <c r="G6181" t="s">
        <v>20</v>
      </c>
      <c r="J6181" t="s">
        <v>17</v>
      </c>
      <c r="K6181" t="str">
        <f>"767510301"</f>
        <v>767510301</v>
      </c>
      <c r="L6181" t="str">
        <f>"767510301"</f>
        <v>767510301</v>
      </c>
      <c r="M6181" t="s">
        <v>75</v>
      </c>
      <c r="N6181" s="1">
        <v>43012.92083333333</v>
      </c>
      <c r="O6181" t="s">
        <v>19</v>
      </c>
    </row>
    <row r="6182" spans="1:15" x14ac:dyDescent="0.25">
      <c r="A6182" t="s">
        <v>4531</v>
      </c>
      <c r="B6182" t="s">
        <v>15</v>
      </c>
      <c r="C6182" t="s">
        <v>16</v>
      </c>
      <c r="D6182" t="s">
        <v>17</v>
      </c>
      <c r="E6182" t="s">
        <v>18</v>
      </c>
      <c r="F6182" t="s">
        <v>19</v>
      </c>
      <c r="G6182" t="s">
        <v>20</v>
      </c>
      <c r="J6182" t="s">
        <v>17</v>
      </c>
      <c r="K6182" t="str">
        <f>"767510304"</f>
        <v>767510304</v>
      </c>
      <c r="L6182" t="str">
        <f>"767510304"</f>
        <v>767510304</v>
      </c>
      <c r="M6182" t="s">
        <v>75</v>
      </c>
      <c r="N6182" s="1">
        <v>43033.838194444441</v>
      </c>
      <c r="O6182" t="s">
        <v>19</v>
      </c>
    </row>
    <row r="6183" spans="1:15" x14ac:dyDescent="0.25">
      <c r="A6183" t="s">
        <v>4532</v>
      </c>
      <c r="B6183" t="s">
        <v>15</v>
      </c>
      <c r="C6183" t="s">
        <v>16</v>
      </c>
      <c r="D6183" t="s">
        <v>17</v>
      </c>
      <c r="E6183" t="s">
        <v>18</v>
      </c>
      <c r="F6183" t="s">
        <v>19</v>
      </c>
      <c r="G6183" t="s">
        <v>20</v>
      </c>
      <c r="J6183" t="s">
        <v>17</v>
      </c>
      <c r="K6183" t="str">
        <f>"767510306"</f>
        <v>767510306</v>
      </c>
      <c r="L6183" t="str">
        <f>"767510306"</f>
        <v>767510306</v>
      </c>
      <c r="M6183" t="s">
        <v>75</v>
      </c>
      <c r="N6183" s="1">
        <v>43033.836805555555</v>
      </c>
      <c r="O6183" t="s">
        <v>19</v>
      </c>
    </row>
    <row r="6184" spans="1:15" x14ac:dyDescent="0.25">
      <c r="A6184" t="s">
        <v>4532</v>
      </c>
      <c r="B6184" t="s">
        <v>15</v>
      </c>
      <c r="C6184" t="s">
        <v>16</v>
      </c>
      <c r="D6184" t="s">
        <v>17</v>
      </c>
      <c r="E6184" t="s">
        <v>18</v>
      </c>
      <c r="F6184" t="s">
        <v>19</v>
      </c>
      <c r="G6184" t="s">
        <v>20</v>
      </c>
      <c r="J6184" t="s">
        <v>17</v>
      </c>
      <c r="K6184" t="str">
        <f>"177510306"</f>
        <v>177510306</v>
      </c>
      <c r="L6184" t="str">
        <f>"177510306"</f>
        <v>177510306</v>
      </c>
      <c r="M6184" t="s">
        <v>75</v>
      </c>
      <c r="N6184" s="1">
        <v>43132.665972222225</v>
      </c>
      <c r="O6184" t="s">
        <v>19</v>
      </c>
    </row>
    <row r="6185" spans="1:15" x14ac:dyDescent="0.25">
      <c r="A6185" t="s">
        <v>4533</v>
      </c>
      <c r="B6185" t="s">
        <v>15</v>
      </c>
      <c r="C6185" t="s">
        <v>27</v>
      </c>
      <c r="D6185" t="s">
        <v>17</v>
      </c>
      <c r="E6185" t="s">
        <v>18</v>
      </c>
      <c r="F6185" t="s">
        <v>19</v>
      </c>
      <c r="G6185" t="s">
        <v>20</v>
      </c>
      <c r="J6185" t="s">
        <v>17</v>
      </c>
      <c r="K6185" t="str">
        <f>"764710231"</f>
        <v>764710231</v>
      </c>
      <c r="L6185" t="str">
        <f>"764710231"</f>
        <v>764710231</v>
      </c>
      <c r="M6185" t="s">
        <v>75</v>
      </c>
      <c r="N6185" s="1">
        <v>42872.849305555559</v>
      </c>
      <c r="O6185" t="s">
        <v>19</v>
      </c>
    </row>
    <row r="6186" spans="1:15" x14ac:dyDescent="0.25">
      <c r="A6186" t="s">
        <v>4534</v>
      </c>
      <c r="B6186" t="s">
        <v>15</v>
      </c>
      <c r="C6186" t="s">
        <v>16</v>
      </c>
      <c r="D6186" t="s">
        <v>17</v>
      </c>
      <c r="E6186" t="s">
        <v>18</v>
      </c>
      <c r="F6186" t="s">
        <v>19</v>
      </c>
      <c r="G6186" t="s">
        <v>20</v>
      </c>
      <c r="J6186" t="s">
        <v>17</v>
      </c>
      <c r="K6186" t="str">
        <f>"767510268"</f>
        <v>767510268</v>
      </c>
      <c r="L6186" t="str">
        <f>"767510268"</f>
        <v>767510268</v>
      </c>
      <c r="M6186" t="s">
        <v>75</v>
      </c>
      <c r="N6186" s="1">
        <v>42907.806944444441</v>
      </c>
      <c r="O6186" t="s">
        <v>19</v>
      </c>
    </row>
    <row r="6187" spans="1:15" x14ac:dyDescent="0.25">
      <c r="A6187" t="s">
        <v>4535</v>
      </c>
      <c r="B6187" t="s">
        <v>15</v>
      </c>
      <c r="C6187" t="s">
        <v>16</v>
      </c>
      <c r="D6187" t="s">
        <v>17</v>
      </c>
      <c r="E6187" t="s">
        <v>18</v>
      </c>
      <c r="F6187" t="s">
        <v>19</v>
      </c>
      <c r="G6187" t="s">
        <v>20</v>
      </c>
      <c r="J6187" t="s">
        <v>17</v>
      </c>
      <c r="K6187" t="str">
        <f>"767510295"</f>
        <v>767510295</v>
      </c>
      <c r="L6187" t="str">
        <f>"767510295"</f>
        <v>767510295</v>
      </c>
      <c r="M6187" t="s">
        <v>75</v>
      </c>
      <c r="N6187" s="1">
        <v>42907.804166666669</v>
      </c>
      <c r="O6187" t="s">
        <v>19</v>
      </c>
    </row>
    <row r="6188" spans="1:15" x14ac:dyDescent="0.25">
      <c r="A6188" t="s">
        <v>4536</v>
      </c>
      <c r="B6188" t="s">
        <v>15</v>
      </c>
      <c r="C6188" t="s">
        <v>16</v>
      </c>
      <c r="D6188" t="s">
        <v>17</v>
      </c>
      <c r="E6188" t="s">
        <v>18</v>
      </c>
      <c r="F6188" t="s">
        <v>19</v>
      </c>
      <c r="G6188" t="s">
        <v>20</v>
      </c>
      <c r="J6188" t="s">
        <v>17</v>
      </c>
      <c r="K6188" t="str">
        <f>"767510296"</f>
        <v>767510296</v>
      </c>
      <c r="L6188" t="str">
        <f>"767510296"</f>
        <v>767510296</v>
      </c>
      <c r="M6188" t="s">
        <v>75</v>
      </c>
      <c r="N6188" s="1">
        <v>43014.666666666664</v>
      </c>
      <c r="O6188" t="s">
        <v>19</v>
      </c>
    </row>
    <row r="6189" spans="1:15" x14ac:dyDescent="0.25">
      <c r="A6189" t="s">
        <v>4537</v>
      </c>
      <c r="B6189" t="s">
        <v>15</v>
      </c>
      <c r="C6189" t="s">
        <v>16</v>
      </c>
      <c r="D6189" t="s">
        <v>17</v>
      </c>
      <c r="E6189" t="s">
        <v>18</v>
      </c>
      <c r="F6189" t="s">
        <v>19</v>
      </c>
      <c r="G6189" t="s">
        <v>20</v>
      </c>
      <c r="J6189" t="s">
        <v>17</v>
      </c>
      <c r="K6189" t="str">
        <f>"767510299"</f>
        <v>767510299</v>
      </c>
      <c r="L6189" t="str">
        <f>"767510299"</f>
        <v>767510299</v>
      </c>
      <c r="M6189" t="s">
        <v>75</v>
      </c>
      <c r="N6189" s="1">
        <v>43082.954861111109</v>
      </c>
      <c r="O6189" t="s">
        <v>19</v>
      </c>
    </row>
    <row r="6190" spans="1:15" x14ac:dyDescent="0.25">
      <c r="A6190" t="s">
        <v>4537</v>
      </c>
      <c r="B6190" t="s">
        <v>15</v>
      </c>
      <c r="C6190" t="s">
        <v>16</v>
      </c>
      <c r="D6190" t="s">
        <v>17</v>
      </c>
      <c r="E6190" t="s">
        <v>18</v>
      </c>
      <c r="F6190" t="s">
        <v>19</v>
      </c>
      <c r="G6190" t="s">
        <v>20</v>
      </c>
      <c r="J6190" t="s">
        <v>17</v>
      </c>
      <c r="K6190" t="str">
        <f>"177510299"</f>
        <v>177510299</v>
      </c>
      <c r="L6190" t="str">
        <f>"177510299"</f>
        <v>177510299</v>
      </c>
      <c r="M6190" t="s">
        <v>75</v>
      </c>
      <c r="N6190" s="1">
        <v>43132.654861111114</v>
      </c>
      <c r="O6190" t="s">
        <v>19</v>
      </c>
    </row>
    <row r="6191" spans="1:15" x14ac:dyDescent="0.25">
      <c r="A6191" t="s">
        <v>4538</v>
      </c>
      <c r="B6191" t="s">
        <v>15</v>
      </c>
      <c r="C6191" t="s">
        <v>16</v>
      </c>
      <c r="D6191" t="s">
        <v>17</v>
      </c>
      <c r="E6191" t="s">
        <v>18</v>
      </c>
      <c r="F6191" t="s">
        <v>19</v>
      </c>
      <c r="G6191" t="s">
        <v>20</v>
      </c>
      <c r="J6191" t="s">
        <v>17</v>
      </c>
      <c r="K6191" t="str">
        <f>"177510298"</f>
        <v>177510298</v>
      </c>
      <c r="L6191" t="str">
        <f>"177510298"</f>
        <v>177510298</v>
      </c>
      <c r="M6191" t="s">
        <v>75</v>
      </c>
      <c r="N6191" s="1">
        <v>43132.664583333331</v>
      </c>
      <c r="O6191" t="s">
        <v>19</v>
      </c>
    </row>
    <row r="6192" spans="1:15" x14ac:dyDescent="0.25">
      <c r="A6192" t="s">
        <v>4539</v>
      </c>
      <c r="B6192" t="s">
        <v>15</v>
      </c>
      <c r="C6192" t="s">
        <v>16</v>
      </c>
      <c r="D6192" t="s">
        <v>17</v>
      </c>
      <c r="E6192" t="s">
        <v>18</v>
      </c>
      <c r="F6192" t="s">
        <v>19</v>
      </c>
      <c r="G6192" t="s">
        <v>20</v>
      </c>
      <c r="J6192" t="s">
        <v>17</v>
      </c>
      <c r="K6192" t="str">
        <f>"767510305"</f>
        <v>767510305</v>
      </c>
      <c r="L6192" t="str">
        <f>"767510305"</f>
        <v>767510305</v>
      </c>
      <c r="M6192" t="s">
        <v>75</v>
      </c>
      <c r="N6192" s="1">
        <v>43148.657638888886</v>
      </c>
      <c r="O6192" t="s">
        <v>19</v>
      </c>
    </row>
    <row r="6193" spans="1:15" x14ac:dyDescent="0.25">
      <c r="A6193" t="s">
        <v>4540</v>
      </c>
      <c r="B6193" t="s">
        <v>15</v>
      </c>
      <c r="C6193" t="s">
        <v>16</v>
      </c>
      <c r="D6193" t="s">
        <v>17</v>
      </c>
      <c r="E6193" t="s">
        <v>18</v>
      </c>
      <c r="F6193" t="s">
        <v>19</v>
      </c>
      <c r="G6193" t="s">
        <v>20</v>
      </c>
      <c r="J6193" t="s">
        <v>17</v>
      </c>
      <c r="K6193" t="str">
        <f>"76751082"</f>
        <v>76751082</v>
      </c>
      <c r="L6193" t="str">
        <f>"76751082"</f>
        <v>76751082</v>
      </c>
      <c r="M6193" t="s">
        <v>75</v>
      </c>
      <c r="N6193" s="1">
        <v>42872.847222222219</v>
      </c>
      <c r="O6193" t="s">
        <v>19</v>
      </c>
    </row>
    <row r="6194" spans="1:15" x14ac:dyDescent="0.25">
      <c r="A6194" t="s">
        <v>4540</v>
      </c>
      <c r="B6194" t="s">
        <v>15</v>
      </c>
      <c r="C6194" t="s">
        <v>16</v>
      </c>
      <c r="D6194" t="s">
        <v>17</v>
      </c>
      <c r="E6194" t="s">
        <v>18</v>
      </c>
      <c r="F6194" t="s">
        <v>19</v>
      </c>
      <c r="G6194" t="s">
        <v>20</v>
      </c>
      <c r="J6194" t="s">
        <v>17</v>
      </c>
      <c r="K6194" t="str">
        <f>"767510282"</f>
        <v>767510282</v>
      </c>
      <c r="L6194" t="str">
        <f>"767510282"</f>
        <v>767510282</v>
      </c>
      <c r="M6194" t="s">
        <v>75</v>
      </c>
      <c r="N6194" s="1">
        <v>42872.849305555559</v>
      </c>
      <c r="O6194" t="s">
        <v>19</v>
      </c>
    </row>
    <row r="6195" spans="1:15" x14ac:dyDescent="0.25">
      <c r="A6195" t="s">
        <v>4541</v>
      </c>
      <c r="B6195" t="s">
        <v>15</v>
      </c>
      <c r="C6195" t="s">
        <v>16</v>
      </c>
      <c r="D6195" t="s">
        <v>17</v>
      </c>
      <c r="E6195" t="s">
        <v>18</v>
      </c>
      <c r="F6195" t="s">
        <v>19</v>
      </c>
      <c r="G6195" t="s">
        <v>20</v>
      </c>
      <c r="J6195" t="s">
        <v>17</v>
      </c>
      <c r="K6195" t="str">
        <f>"76751064"</f>
        <v>76751064</v>
      </c>
      <c r="L6195" t="str">
        <f>"76751064"</f>
        <v>76751064</v>
      </c>
      <c r="M6195" t="s">
        <v>75</v>
      </c>
      <c r="N6195" s="1">
        <v>42872.847222222219</v>
      </c>
      <c r="O6195" t="s">
        <v>19</v>
      </c>
    </row>
    <row r="6196" spans="1:15" x14ac:dyDescent="0.25">
      <c r="A6196" t="s">
        <v>4542</v>
      </c>
      <c r="B6196" t="s">
        <v>15</v>
      </c>
      <c r="C6196" t="s">
        <v>4179</v>
      </c>
      <c r="D6196" t="s">
        <v>17</v>
      </c>
      <c r="E6196" t="s">
        <v>18</v>
      </c>
      <c r="F6196" t="s">
        <v>19</v>
      </c>
      <c r="G6196" t="s">
        <v>20</v>
      </c>
      <c r="J6196" t="s">
        <v>17</v>
      </c>
      <c r="K6196" t="str">
        <f>"764609221"</f>
        <v>764609221</v>
      </c>
      <c r="L6196" t="str">
        <f>"764609221"</f>
        <v>764609221</v>
      </c>
      <c r="M6196" t="s">
        <v>75</v>
      </c>
      <c r="N6196" s="1">
        <v>42872.849305555559</v>
      </c>
      <c r="O6196" t="s">
        <v>19</v>
      </c>
    </row>
    <row r="6197" spans="1:15" x14ac:dyDescent="0.25">
      <c r="A6197" t="s">
        <v>4543</v>
      </c>
      <c r="B6197" t="s">
        <v>15</v>
      </c>
      <c r="C6197" t="s">
        <v>4179</v>
      </c>
      <c r="D6197" t="s">
        <v>17</v>
      </c>
      <c r="E6197" t="s">
        <v>18</v>
      </c>
      <c r="F6197" t="s">
        <v>19</v>
      </c>
      <c r="G6197" t="s">
        <v>20</v>
      </c>
      <c r="J6197" t="s">
        <v>17</v>
      </c>
      <c r="K6197" t="str">
        <f>"76461430"</f>
        <v>76461430</v>
      </c>
      <c r="L6197" t="str">
        <f>"76461430"</f>
        <v>76461430</v>
      </c>
      <c r="M6197" t="s">
        <v>75</v>
      </c>
      <c r="N6197" s="1">
        <v>42872.847222222219</v>
      </c>
      <c r="O6197" t="s">
        <v>19</v>
      </c>
    </row>
    <row r="6198" spans="1:15" x14ac:dyDescent="0.25">
      <c r="A6198" t="s">
        <v>4544</v>
      </c>
      <c r="B6198" t="s">
        <v>15</v>
      </c>
      <c r="C6198" t="s">
        <v>4179</v>
      </c>
      <c r="D6198" t="s">
        <v>17</v>
      </c>
      <c r="E6198" t="s">
        <v>18</v>
      </c>
      <c r="F6198" t="s">
        <v>19</v>
      </c>
      <c r="G6198" t="s">
        <v>20</v>
      </c>
      <c r="J6198" t="s">
        <v>17</v>
      </c>
      <c r="K6198" t="str">
        <f>"76461445"</f>
        <v>76461445</v>
      </c>
      <c r="L6198" t="str">
        <f>"76461445"</f>
        <v>76461445</v>
      </c>
      <c r="M6198" t="s">
        <v>75</v>
      </c>
      <c r="N6198" s="1">
        <v>42872.847222222219</v>
      </c>
      <c r="O6198" t="s">
        <v>19</v>
      </c>
    </row>
    <row r="6199" spans="1:15" x14ac:dyDescent="0.25">
      <c r="A6199" t="s">
        <v>4545</v>
      </c>
      <c r="B6199" t="s">
        <v>15</v>
      </c>
      <c r="C6199" t="s">
        <v>27</v>
      </c>
      <c r="D6199" t="s">
        <v>17</v>
      </c>
      <c r="E6199" t="s">
        <v>18</v>
      </c>
      <c r="F6199" t="s">
        <v>19</v>
      </c>
      <c r="G6199" t="s">
        <v>20</v>
      </c>
      <c r="J6199" t="s">
        <v>17</v>
      </c>
      <c r="K6199" t="str">
        <f>"764614127"</f>
        <v>764614127</v>
      </c>
      <c r="L6199" t="str">
        <f>"764614127"</f>
        <v>764614127</v>
      </c>
      <c r="M6199" t="s">
        <v>75</v>
      </c>
      <c r="N6199" s="1">
        <v>42872.849305555559</v>
      </c>
      <c r="O6199" t="s">
        <v>19</v>
      </c>
    </row>
    <row r="6200" spans="1:15" x14ac:dyDescent="0.25">
      <c r="A6200" t="s">
        <v>4546</v>
      </c>
      <c r="B6200" t="s">
        <v>15</v>
      </c>
      <c r="C6200" t="s">
        <v>16</v>
      </c>
      <c r="D6200" t="s">
        <v>17</v>
      </c>
      <c r="E6200" t="s">
        <v>18</v>
      </c>
      <c r="F6200" t="s">
        <v>19</v>
      </c>
      <c r="G6200" t="s">
        <v>20</v>
      </c>
      <c r="J6200" t="s">
        <v>17</v>
      </c>
      <c r="K6200" t="str">
        <f>"17753166"</f>
        <v>17753166</v>
      </c>
      <c r="L6200" t="str">
        <f>"17753166"</f>
        <v>17753166</v>
      </c>
      <c r="M6200" t="s">
        <v>75</v>
      </c>
      <c r="N6200" s="1">
        <v>43132.665972222225</v>
      </c>
      <c r="O6200" t="s">
        <v>19</v>
      </c>
    </row>
    <row r="6201" spans="1:15" x14ac:dyDescent="0.25">
      <c r="A6201" t="s">
        <v>4547</v>
      </c>
      <c r="B6201" t="s">
        <v>15</v>
      </c>
      <c r="C6201" t="s">
        <v>16</v>
      </c>
      <c r="D6201" t="s">
        <v>17</v>
      </c>
      <c r="E6201" t="s">
        <v>18</v>
      </c>
      <c r="F6201" t="s">
        <v>19</v>
      </c>
      <c r="G6201" t="s">
        <v>20</v>
      </c>
      <c r="J6201" t="s">
        <v>17</v>
      </c>
      <c r="K6201" t="str">
        <f>"767514293"</f>
        <v>767514293</v>
      </c>
      <c r="L6201" t="str">
        <f>"767514293"</f>
        <v>767514293</v>
      </c>
      <c r="M6201" t="s">
        <v>75</v>
      </c>
      <c r="N6201" s="1">
        <v>42896.792361111111</v>
      </c>
      <c r="O6201" t="s">
        <v>19</v>
      </c>
    </row>
    <row r="6202" spans="1:15" x14ac:dyDescent="0.25">
      <c r="A6202" t="s">
        <v>4548</v>
      </c>
      <c r="B6202" t="s">
        <v>15</v>
      </c>
      <c r="C6202" t="s">
        <v>16</v>
      </c>
      <c r="D6202" t="s">
        <v>17</v>
      </c>
      <c r="E6202" t="s">
        <v>18</v>
      </c>
      <c r="F6202" t="s">
        <v>19</v>
      </c>
      <c r="G6202" t="s">
        <v>20</v>
      </c>
      <c r="J6202" t="s">
        <v>17</v>
      </c>
      <c r="K6202" t="str">
        <f>"767514294"</f>
        <v>767514294</v>
      </c>
      <c r="L6202" t="str">
        <f>"767514294"</f>
        <v>767514294</v>
      </c>
      <c r="M6202" t="s">
        <v>75</v>
      </c>
      <c r="N6202" s="1">
        <v>42896.791666666664</v>
      </c>
      <c r="O6202" t="s">
        <v>19</v>
      </c>
    </row>
    <row r="6203" spans="1:15" x14ac:dyDescent="0.25">
      <c r="A6203" t="s">
        <v>4549</v>
      </c>
      <c r="B6203" t="s">
        <v>15</v>
      </c>
      <c r="C6203" t="s">
        <v>16</v>
      </c>
      <c r="D6203" t="s">
        <v>17</v>
      </c>
      <c r="E6203" t="s">
        <v>18</v>
      </c>
      <c r="F6203" t="s">
        <v>19</v>
      </c>
      <c r="G6203" t="s">
        <v>20</v>
      </c>
      <c r="J6203" t="s">
        <v>17</v>
      </c>
      <c r="K6203" t="str">
        <f>"767514283"</f>
        <v>767514283</v>
      </c>
      <c r="L6203" t="str">
        <f>"767514283"</f>
        <v>767514283</v>
      </c>
      <c r="M6203" t="s">
        <v>75</v>
      </c>
      <c r="N6203" s="1">
        <v>42872.849305555559</v>
      </c>
      <c r="O6203" t="s">
        <v>19</v>
      </c>
    </row>
    <row r="6204" spans="1:15" x14ac:dyDescent="0.25">
      <c r="A6204" t="s">
        <v>4549</v>
      </c>
      <c r="B6204" t="s">
        <v>15</v>
      </c>
      <c r="C6204" t="s">
        <v>16</v>
      </c>
      <c r="D6204" t="s">
        <v>17</v>
      </c>
      <c r="E6204" t="s">
        <v>18</v>
      </c>
      <c r="F6204" t="s">
        <v>19</v>
      </c>
      <c r="G6204" t="s">
        <v>20</v>
      </c>
      <c r="J6204" t="s">
        <v>17</v>
      </c>
      <c r="K6204" t="str">
        <f>"177514283"</f>
        <v>177514283</v>
      </c>
      <c r="L6204" t="str">
        <f>"177514283"</f>
        <v>177514283</v>
      </c>
      <c r="M6204" t="s">
        <v>75</v>
      </c>
      <c r="N6204" s="1">
        <v>43132.663194444445</v>
      </c>
      <c r="O6204" t="s">
        <v>19</v>
      </c>
    </row>
    <row r="6205" spans="1:15" x14ac:dyDescent="0.25">
      <c r="A6205" t="s">
        <v>4550</v>
      </c>
      <c r="B6205" t="s">
        <v>15</v>
      </c>
      <c r="C6205" t="s">
        <v>16</v>
      </c>
      <c r="D6205" t="s">
        <v>17</v>
      </c>
      <c r="E6205" t="s">
        <v>18</v>
      </c>
      <c r="F6205" t="s">
        <v>19</v>
      </c>
      <c r="G6205" t="s">
        <v>20</v>
      </c>
      <c r="J6205" t="s">
        <v>17</v>
      </c>
      <c r="K6205" t="str">
        <f>"767514108"</f>
        <v>767514108</v>
      </c>
      <c r="L6205" t="str">
        <f>"767514108"</f>
        <v>767514108</v>
      </c>
      <c r="M6205" t="s">
        <v>75</v>
      </c>
      <c r="N6205" s="1">
        <v>42872.849305555559</v>
      </c>
      <c r="O6205" t="s">
        <v>19</v>
      </c>
    </row>
    <row r="6206" spans="1:15" x14ac:dyDescent="0.25">
      <c r="A6206" t="s">
        <v>4551</v>
      </c>
      <c r="B6206" t="s">
        <v>15</v>
      </c>
      <c r="C6206" t="s">
        <v>16</v>
      </c>
      <c r="D6206" t="s">
        <v>17</v>
      </c>
      <c r="E6206" t="s">
        <v>18</v>
      </c>
      <c r="F6206" t="s">
        <v>19</v>
      </c>
      <c r="G6206" t="s">
        <v>20</v>
      </c>
      <c r="J6206" t="s">
        <v>17</v>
      </c>
      <c r="K6206" t="str">
        <f>"764614126"</f>
        <v>764614126</v>
      </c>
      <c r="L6206" t="str">
        <f>"764614126"</f>
        <v>764614126</v>
      </c>
      <c r="M6206" t="s">
        <v>75</v>
      </c>
      <c r="N6206" s="1">
        <v>42872.849305555559</v>
      </c>
      <c r="O6206" t="s">
        <v>19</v>
      </c>
    </row>
    <row r="6207" spans="1:15" x14ac:dyDescent="0.25">
      <c r="A6207" t="s">
        <v>4552</v>
      </c>
      <c r="B6207" t="s">
        <v>15</v>
      </c>
      <c r="C6207" t="s">
        <v>16</v>
      </c>
      <c r="D6207" t="s">
        <v>17</v>
      </c>
      <c r="E6207" t="s">
        <v>18</v>
      </c>
      <c r="F6207" t="s">
        <v>19</v>
      </c>
      <c r="G6207" t="s">
        <v>20</v>
      </c>
      <c r="J6207" t="s">
        <v>17</v>
      </c>
      <c r="K6207" t="str">
        <f>"767514270"</f>
        <v>767514270</v>
      </c>
      <c r="L6207" t="str">
        <f>"767514270"</f>
        <v>767514270</v>
      </c>
      <c r="M6207" t="s">
        <v>75</v>
      </c>
      <c r="N6207" s="1">
        <v>42872.849305555559</v>
      </c>
      <c r="O6207" t="s">
        <v>19</v>
      </c>
    </row>
    <row r="6208" spans="1:15" x14ac:dyDescent="0.25">
      <c r="A6208" t="s">
        <v>4552</v>
      </c>
      <c r="B6208" t="s">
        <v>15</v>
      </c>
      <c r="C6208" t="s">
        <v>16</v>
      </c>
      <c r="D6208" t="s">
        <v>17</v>
      </c>
      <c r="E6208" t="s">
        <v>18</v>
      </c>
      <c r="F6208" t="s">
        <v>19</v>
      </c>
      <c r="G6208" t="s">
        <v>20</v>
      </c>
      <c r="J6208" t="s">
        <v>17</v>
      </c>
      <c r="K6208" t="str">
        <f>"767714270"</f>
        <v>767714270</v>
      </c>
      <c r="L6208" t="str">
        <f>"767714270"</f>
        <v>767714270</v>
      </c>
      <c r="M6208" t="s">
        <v>75</v>
      </c>
      <c r="N6208" s="1">
        <v>42872.849305555559</v>
      </c>
      <c r="O6208" t="s">
        <v>19</v>
      </c>
    </row>
    <row r="6209" spans="1:15" x14ac:dyDescent="0.25">
      <c r="A6209" t="s">
        <v>4553</v>
      </c>
      <c r="B6209" t="s">
        <v>15</v>
      </c>
      <c r="C6209" t="s">
        <v>16</v>
      </c>
      <c r="D6209" t="s">
        <v>17</v>
      </c>
      <c r="E6209" t="s">
        <v>18</v>
      </c>
      <c r="F6209" t="s">
        <v>19</v>
      </c>
      <c r="G6209" t="s">
        <v>20</v>
      </c>
      <c r="J6209" t="s">
        <v>17</v>
      </c>
      <c r="K6209" t="str">
        <f>"76581447"</f>
        <v>76581447</v>
      </c>
      <c r="L6209" t="str">
        <f>"76581447"</f>
        <v>76581447</v>
      </c>
      <c r="M6209" t="s">
        <v>75</v>
      </c>
      <c r="N6209" s="1">
        <v>42872.847222222219</v>
      </c>
      <c r="O6209" t="s">
        <v>19</v>
      </c>
    </row>
    <row r="6210" spans="1:15" x14ac:dyDescent="0.25">
      <c r="A6210" t="s">
        <v>4554</v>
      </c>
      <c r="B6210" t="s">
        <v>15</v>
      </c>
      <c r="C6210" t="s">
        <v>16</v>
      </c>
      <c r="D6210" t="s">
        <v>17</v>
      </c>
      <c r="E6210" t="s">
        <v>18</v>
      </c>
      <c r="F6210" t="s">
        <v>19</v>
      </c>
      <c r="G6210" t="s">
        <v>20</v>
      </c>
      <c r="J6210" t="s">
        <v>17</v>
      </c>
      <c r="K6210" t="str">
        <f>"177514266"</f>
        <v>177514266</v>
      </c>
      <c r="L6210" t="str">
        <f>"177514266"</f>
        <v>177514266</v>
      </c>
      <c r="M6210" t="s">
        <v>75</v>
      </c>
      <c r="N6210" s="1">
        <v>43132.663888888892</v>
      </c>
      <c r="O6210" t="s">
        <v>19</v>
      </c>
    </row>
    <row r="6211" spans="1:15" x14ac:dyDescent="0.25">
      <c r="A6211" t="s">
        <v>4555</v>
      </c>
      <c r="B6211" t="s">
        <v>15</v>
      </c>
      <c r="C6211" t="s">
        <v>16</v>
      </c>
      <c r="D6211" t="s">
        <v>17</v>
      </c>
      <c r="E6211" t="s">
        <v>18</v>
      </c>
      <c r="F6211" t="s">
        <v>19</v>
      </c>
      <c r="G6211" t="s">
        <v>20</v>
      </c>
      <c r="J6211" t="s">
        <v>17</v>
      </c>
      <c r="K6211" t="str">
        <f>"177514129"</f>
        <v>177514129</v>
      </c>
      <c r="L6211" t="str">
        <f>"177514129"</f>
        <v>177514129</v>
      </c>
      <c r="M6211" t="s">
        <v>75</v>
      </c>
      <c r="N6211" s="1">
        <v>43132.666666666664</v>
      </c>
      <c r="O6211" t="s">
        <v>19</v>
      </c>
    </row>
    <row r="6212" spans="1:15" x14ac:dyDescent="0.25">
      <c r="A6212" t="s">
        <v>4556</v>
      </c>
      <c r="B6212" t="s">
        <v>15</v>
      </c>
      <c r="C6212" t="s">
        <v>16</v>
      </c>
      <c r="D6212" t="s">
        <v>17</v>
      </c>
      <c r="E6212" t="s">
        <v>18</v>
      </c>
      <c r="F6212" t="s">
        <v>19</v>
      </c>
      <c r="G6212" t="s">
        <v>20</v>
      </c>
      <c r="J6212" t="s">
        <v>17</v>
      </c>
      <c r="K6212" t="str">
        <f>"767514191"</f>
        <v>767514191</v>
      </c>
      <c r="L6212" t="str">
        <f>"767514191"</f>
        <v>767514191</v>
      </c>
      <c r="M6212" t="s">
        <v>75</v>
      </c>
      <c r="N6212" s="1">
        <v>43012.925694444442</v>
      </c>
      <c r="O6212" t="s">
        <v>19</v>
      </c>
    </row>
    <row r="6213" spans="1:15" x14ac:dyDescent="0.25">
      <c r="A6213" t="s">
        <v>4557</v>
      </c>
      <c r="B6213" t="s">
        <v>15</v>
      </c>
      <c r="C6213" t="s">
        <v>16</v>
      </c>
      <c r="D6213" t="s">
        <v>17</v>
      </c>
      <c r="E6213" t="s">
        <v>18</v>
      </c>
      <c r="F6213" t="s">
        <v>19</v>
      </c>
      <c r="G6213" t="s">
        <v>20</v>
      </c>
      <c r="J6213" t="s">
        <v>17</v>
      </c>
      <c r="K6213" t="str">
        <f>"767514200"</f>
        <v>767514200</v>
      </c>
      <c r="L6213" t="str">
        <f>"767514200"</f>
        <v>767514200</v>
      </c>
      <c r="M6213" t="s">
        <v>75</v>
      </c>
      <c r="N6213" s="1">
        <v>42896.79583333333</v>
      </c>
      <c r="O6213" t="s">
        <v>19</v>
      </c>
    </row>
    <row r="6214" spans="1:15" x14ac:dyDescent="0.25">
      <c r="A6214" t="s">
        <v>4558</v>
      </c>
      <c r="B6214" t="s">
        <v>15</v>
      </c>
      <c r="C6214" t="s">
        <v>16</v>
      </c>
      <c r="D6214" t="s">
        <v>17</v>
      </c>
      <c r="E6214" t="s">
        <v>18</v>
      </c>
      <c r="F6214" t="s">
        <v>19</v>
      </c>
      <c r="G6214" t="s">
        <v>20</v>
      </c>
      <c r="J6214" t="s">
        <v>17</v>
      </c>
      <c r="K6214" t="str">
        <f>"767514126"</f>
        <v>767514126</v>
      </c>
      <c r="L6214" t="str">
        <f>"767514126"</f>
        <v>767514126</v>
      </c>
      <c r="M6214" t="s">
        <v>75</v>
      </c>
      <c r="N6214" s="1">
        <v>42872.849305555559</v>
      </c>
      <c r="O6214" t="s">
        <v>19</v>
      </c>
    </row>
    <row r="6215" spans="1:15" x14ac:dyDescent="0.25">
      <c r="A6215" t="s">
        <v>4559</v>
      </c>
      <c r="B6215" t="s">
        <v>15</v>
      </c>
      <c r="C6215" t="s">
        <v>16</v>
      </c>
      <c r="D6215" t="s">
        <v>17</v>
      </c>
      <c r="E6215" t="s">
        <v>18</v>
      </c>
      <c r="F6215" t="s">
        <v>19</v>
      </c>
      <c r="G6215" t="s">
        <v>20</v>
      </c>
      <c r="J6215" t="s">
        <v>17</v>
      </c>
      <c r="K6215" t="str">
        <f>"765814270"</f>
        <v>765814270</v>
      </c>
      <c r="L6215" t="str">
        <f>"765814270"</f>
        <v>765814270</v>
      </c>
      <c r="M6215" t="s">
        <v>75</v>
      </c>
      <c r="N6215" s="1">
        <v>42872.849305555559</v>
      </c>
      <c r="O6215" t="s">
        <v>19</v>
      </c>
    </row>
    <row r="6216" spans="1:15" x14ac:dyDescent="0.25">
      <c r="A6216" t="s">
        <v>4560</v>
      </c>
      <c r="B6216" t="s">
        <v>15</v>
      </c>
      <c r="C6216" t="s">
        <v>16</v>
      </c>
      <c r="D6216" t="s">
        <v>17</v>
      </c>
      <c r="E6216" t="s">
        <v>18</v>
      </c>
      <c r="F6216" t="s">
        <v>19</v>
      </c>
      <c r="G6216" t="s">
        <v>20</v>
      </c>
      <c r="J6216" t="s">
        <v>17</v>
      </c>
      <c r="K6216" t="str">
        <f>"765814266"</f>
        <v>765814266</v>
      </c>
      <c r="L6216" t="str">
        <f>"765814266"</f>
        <v>765814266</v>
      </c>
      <c r="M6216" t="s">
        <v>75</v>
      </c>
      <c r="N6216" s="1">
        <v>42872.849305555559</v>
      </c>
      <c r="O6216" t="s">
        <v>19</v>
      </c>
    </row>
    <row r="6217" spans="1:15" x14ac:dyDescent="0.25">
      <c r="A6217" t="s">
        <v>4561</v>
      </c>
      <c r="B6217" t="s">
        <v>15</v>
      </c>
      <c r="C6217" t="s">
        <v>16</v>
      </c>
      <c r="D6217" t="s">
        <v>17</v>
      </c>
      <c r="E6217" t="s">
        <v>18</v>
      </c>
      <c r="F6217" t="s">
        <v>19</v>
      </c>
      <c r="G6217" t="s">
        <v>20</v>
      </c>
      <c r="J6217" t="s">
        <v>17</v>
      </c>
      <c r="K6217" t="str">
        <f>"76581416"</f>
        <v>76581416</v>
      </c>
      <c r="L6217" t="str">
        <f>"76581416"</f>
        <v>76581416</v>
      </c>
      <c r="M6217" t="s">
        <v>75</v>
      </c>
      <c r="N6217" s="1">
        <v>42872.847222222219</v>
      </c>
      <c r="O6217" t="s">
        <v>19</v>
      </c>
    </row>
    <row r="6218" spans="1:15" x14ac:dyDescent="0.25">
      <c r="A6218" t="s">
        <v>4561</v>
      </c>
      <c r="B6218" t="s">
        <v>15</v>
      </c>
      <c r="C6218" t="s">
        <v>16</v>
      </c>
      <c r="D6218" t="s">
        <v>17</v>
      </c>
      <c r="E6218" t="s">
        <v>18</v>
      </c>
      <c r="F6218" t="s">
        <v>19</v>
      </c>
      <c r="G6218" t="s">
        <v>20</v>
      </c>
      <c r="J6218" t="s">
        <v>17</v>
      </c>
      <c r="K6218" t="str">
        <f>"76581486"</f>
        <v>76581486</v>
      </c>
      <c r="L6218" t="str">
        <f>"76581486"</f>
        <v>76581486</v>
      </c>
      <c r="M6218" t="s">
        <v>75</v>
      </c>
      <c r="N6218" s="1">
        <v>42872.847222222219</v>
      </c>
      <c r="O6218" t="s">
        <v>19</v>
      </c>
    </row>
    <row r="6219" spans="1:15" x14ac:dyDescent="0.25">
      <c r="A6219" t="s">
        <v>4562</v>
      </c>
      <c r="B6219" t="s">
        <v>15</v>
      </c>
      <c r="C6219" t="s">
        <v>16</v>
      </c>
      <c r="D6219" t="s">
        <v>17</v>
      </c>
      <c r="E6219" t="s">
        <v>18</v>
      </c>
      <c r="F6219" t="s">
        <v>19</v>
      </c>
      <c r="G6219" t="s">
        <v>20</v>
      </c>
      <c r="J6219" t="s">
        <v>17</v>
      </c>
      <c r="K6219" t="str">
        <f>"767510234"</f>
        <v>767510234</v>
      </c>
      <c r="L6219" t="str">
        <f>"767510234"</f>
        <v>767510234</v>
      </c>
      <c r="M6219" t="s">
        <v>75</v>
      </c>
      <c r="N6219" s="1">
        <v>42872.849305555559</v>
      </c>
      <c r="O6219" t="s">
        <v>19</v>
      </c>
    </row>
    <row r="6220" spans="1:15" x14ac:dyDescent="0.25">
      <c r="A6220" t="s">
        <v>4563</v>
      </c>
      <c r="B6220" t="s">
        <v>15</v>
      </c>
      <c r="C6220" t="s">
        <v>16</v>
      </c>
      <c r="D6220" t="s">
        <v>17</v>
      </c>
      <c r="E6220" t="s">
        <v>18</v>
      </c>
      <c r="F6220" t="s">
        <v>19</v>
      </c>
      <c r="G6220" t="s">
        <v>20</v>
      </c>
      <c r="J6220" t="s">
        <v>17</v>
      </c>
      <c r="K6220" t="str">
        <f>"76772445"</f>
        <v>76772445</v>
      </c>
      <c r="L6220" t="str">
        <f>"76772445"</f>
        <v>76772445</v>
      </c>
      <c r="M6220" t="s">
        <v>75</v>
      </c>
      <c r="N6220" s="1">
        <v>42872.847222222219</v>
      </c>
      <c r="O6220" t="s">
        <v>19</v>
      </c>
    </row>
    <row r="6221" spans="1:15" x14ac:dyDescent="0.25">
      <c r="A6221" t="s">
        <v>4564</v>
      </c>
      <c r="B6221" t="s">
        <v>15</v>
      </c>
      <c r="C6221" t="s">
        <v>16</v>
      </c>
      <c r="D6221" t="s">
        <v>17</v>
      </c>
      <c r="E6221" t="s">
        <v>18</v>
      </c>
      <c r="F6221" t="s">
        <v>19</v>
      </c>
      <c r="G6221" t="s">
        <v>20</v>
      </c>
      <c r="J6221" t="s">
        <v>17</v>
      </c>
      <c r="K6221" t="str">
        <f>"767515310"</f>
        <v>767515310</v>
      </c>
      <c r="L6221" t="str">
        <f>"767515310"</f>
        <v>767515310</v>
      </c>
      <c r="M6221" t="s">
        <v>75</v>
      </c>
      <c r="N6221" s="1">
        <v>43045.747916666667</v>
      </c>
      <c r="O6221" t="s">
        <v>19</v>
      </c>
    </row>
    <row r="6222" spans="1:15" x14ac:dyDescent="0.25">
      <c r="A6222" t="s">
        <v>4565</v>
      </c>
      <c r="B6222" t="s">
        <v>15</v>
      </c>
      <c r="C6222" t="s">
        <v>16</v>
      </c>
      <c r="D6222" t="s">
        <v>17</v>
      </c>
      <c r="E6222" t="s">
        <v>18</v>
      </c>
      <c r="F6222" t="s">
        <v>19</v>
      </c>
      <c r="G6222" t="s">
        <v>20</v>
      </c>
      <c r="J6222" t="s">
        <v>17</v>
      </c>
      <c r="K6222" t="str">
        <f>"767515287"</f>
        <v>767515287</v>
      </c>
      <c r="L6222" t="str">
        <f>"767515287"</f>
        <v>767515287</v>
      </c>
      <c r="M6222" t="s">
        <v>75</v>
      </c>
      <c r="N6222" s="1">
        <v>43045.756944444445</v>
      </c>
      <c r="O6222" t="s">
        <v>19</v>
      </c>
    </row>
    <row r="6223" spans="1:15" x14ac:dyDescent="0.25">
      <c r="A6223" t="s">
        <v>4566</v>
      </c>
      <c r="B6223" t="s">
        <v>15</v>
      </c>
      <c r="C6223" t="s">
        <v>4179</v>
      </c>
      <c r="D6223" t="s">
        <v>17</v>
      </c>
      <c r="E6223" t="s">
        <v>18</v>
      </c>
      <c r="F6223" t="s">
        <v>19</v>
      </c>
      <c r="G6223" t="s">
        <v>20</v>
      </c>
      <c r="J6223" t="s">
        <v>17</v>
      </c>
      <c r="K6223" t="str">
        <f>"767514268"</f>
        <v>767514268</v>
      </c>
      <c r="L6223" t="str">
        <f>"767514268"</f>
        <v>767514268</v>
      </c>
      <c r="M6223" t="s">
        <v>75</v>
      </c>
      <c r="N6223" s="1">
        <v>42872.849305555559</v>
      </c>
      <c r="O6223" t="s">
        <v>19</v>
      </c>
    </row>
    <row r="6224" spans="1:15" x14ac:dyDescent="0.25">
      <c r="A6224" t="s">
        <v>4567</v>
      </c>
      <c r="B6224" t="s">
        <v>15</v>
      </c>
      <c r="C6224" t="s">
        <v>16</v>
      </c>
      <c r="D6224" t="s">
        <v>17</v>
      </c>
      <c r="E6224" t="s">
        <v>18</v>
      </c>
      <c r="F6224" t="s">
        <v>19</v>
      </c>
      <c r="G6224" t="s">
        <v>20</v>
      </c>
      <c r="J6224" t="s">
        <v>17</v>
      </c>
      <c r="K6224" t="str">
        <f>"76771062"</f>
        <v>76771062</v>
      </c>
      <c r="L6224" t="str">
        <f>"76771062"</f>
        <v>76771062</v>
      </c>
      <c r="M6224" t="s">
        <v>75</v>
      </c>
      <c r="N6224" s="1">
        <v>42872.847222222219</v>
      </c>
      <c r="O6224" t="s">
        <v>19</v>
      </c>
    </row>
    <row r="6225" spans="1:15" x14ac:dyDescent="0.25">
      <c r="A6225" t="s">
        <v>4568</v>
      </c>
      <c r="B6225" t="s">
        <v>15</v>
      </c>
      <c r="C6225" t="s">
        <v>16</v>
      </c>
      <c r="D6225" t="s">
        <v>17</v>
      </c>
      <c r="E6225" t="s">
        <v>18</v>
      </c>
      <c r="F6225" t="s">
        <v>19</v>
      </c>
      <c r="G6225" t="s">
        <v>20</v>
      </c>
      <c r="J6225" t="s">
        <v>17</v>
      </c>
      <c r="K6225" t="str">
        <f>"76751430"</f>
        <v>76751430</v>
      </c>
      <c r="L6225" t="str">
        <f>"76751430"</f>
        <v>76751430</v>
      </c>
      <c r="M6225" t="s">
        <v>75</v>
      </c>
      <c r="N6225" s="1">
        <v>42872.847222222219</v>
      </c>
      <c r="O6225" t="s">
        <v>19</v>
      </c>
    </row>
    <row r="6226" spans="1:15" x14ac:dyDescent="0.25">
      <c r="A6226" t="s">
        <v>4569</v>
      </c>
      <c r="B6226" t="s">
        <v>15</v>
      </c>
      <c r="C6226" t="s">
        <v>27</v>
      </c>
      <c r="D6226" t="s">
        <v>17</v>
      </c>
      <c r="E6226" t="s">
        <v>18</v>
      </c>
      <c r="F6226" t="s">
        <v>19</v>
      </c>
      <c r="G6226" t="s">
        <v>20</v>
      </c>
      <c r="J6226" t="s">
        <v>17</v>
      </c>
      <c r="K6226" t="str">
        <f>"175805238"</f>
        <v>175805238</v>
      </c>
      <c r="L6226" t="str">
        <f>"175805238"</f>
        <v>175805238</v>
      </c>
      <c r="M6226" t="s">
        <v>75</v>
      </c>
      <c r="N6226" s="1">
        <v>42872.849305555559</v>
      </c>
      <c r="O6226" t="s">
        <v>19</v>
      </c>
    </row>
    <row r="6227" spans="1:15" x14ac:dyDescent="0.25">
      <c r="A6227" t="s">
        <v>4570</v>
      </c>
      <c r="B6227" t="s">
        <v>15</v>
      </c>
      <c r="C6227" t="s">
        <v>27</v>
      </c>
      <c r="D6227" t="s">
        <v>17</v>
      </c>
      <c r="E6227" t="s">
        <v>18</v>
      </c>
      <c r="F6227" t="s">
        <v>19</v>
      </c>
      <c r="G6227" t="s">
        <v>20</v>
      </c>
      <c r="J6227" t="s">
        <v>17</v>
      </c>
      <c r="K6227" t="str">
        <f>"175807253"</f>
        <v>175807253</v>
      </c>
      <c r="L6227" t="str">
        <f>"175807253"</f>
        <v>175807253</v>
      </c>
      <c r="M6227" t="s">
        <v>75</v>
      </c>
      <c r="N6227" s="1">
        <v>42872.849305555559</v>
      </c>
      <c r="O6227" t="s">
        <v>19</v>
      </c>
    </row>
    <row r="6228" spans="1:15" x14ac:dyDescent="0.25">
      <c r="A6228" t="s">
        <v>4571</v>
      </c>
      <c r="B6228" t="s">
        <v>15</v>
      </c>
      <c r="C6228" t="s">
        <v>16</v>
      </c>
      <c r="D6228" t="s">
        <v>17</v>
      </c>
      <c r="E6228" t="s">
        <v>18</v>
      </c>
      <c r="F6228" t="s">
        <v>19</v>
      </c>
      <c r="G6228" t="s">
        <v>20</v>
      </c>
      <c r="J6228" t="s">
        <v>17</v>
      </c>
      <c r="K6228" t="str">
        <f>"764805195"</f>
        <v>764805195</v>
      </c>
      <c r="L6228" t="str">
        <f>"764805195"</f>
        <v>764805195</v>
      </c>
      <c r="M6228" t="s">
        <v>75</v>
      </c>
      <c r="N6228" s="1">
        <v>42872.849305555559</v>
      </c>
      <c r="O6228" t="s">
        <v>19</v>
      </c>
    </row>
    <row r="6229" spans="1:15" x14ac:dyDescent="0.25">
      <c r="A6229" t="s">
        <v>4572</v>
      </c>
      <c r="B6229" t="s">
        <v>15</v>
      </c>
      <c r="C6229" t="s">
        <v>27</v>
      </c>
      <c r="D6229" t="s">
        <v>17</v>
      </c>
      <c r="E6229" t="s">
        <v>18</v>
      </c>
      <c r="F6229" t="s">
        <v>19</v>
      </c>
      <c r="G6229" t="s">
        <v>20</v>
      </c>
      <c r="J6229" t="s">
        <v>17</v>
      </c>
      <c r="K6229" t="str">
        <f>"76581430"</f>
        <v>76581430</v>
      </c>
      <c r="L6229" t="str">
        <f>"76581430"</f>
        <v>76581430</v>
      </c>
      <c r="M6229" t="s">
        <v>75</v>
      </c>
      <c r="N6229" s="1">
        <v>42872.847222222219</v>
      </c>
      <c r="O6229" t="s">
        <v>19</v>
      </c>
    </row>
    <row r="6230" spans="1:15" x14ac:dyDescent="0.25">
      <c r="A6230" t="s">
        <v>4573</v>
      </c>
      <c r="B6230" t="s">
        <v>15</v>
      </c>
      <c r="C6230" t="s">
        <v>16</v>
      </c>
      <c r="D6230" t="s">
        <v>17</v>
      </c>
      <c r="E6230" t="s">
        <v>18</v>
      </c>
      <c r="F6230" t="s">
        <v>19</v>
      </c>
      <c r="G6230" t="s">
        <v>20</v>
      </c>
      <c r="J6230" t="s">
        <v>17</v>
      </c>
      <c r="K6230" t="str">
        <f>"767714108"</f>
        <v>767714108</v>
      </c>
      <c r="L6230" t="str">
        <f>"767714108"</f>
        <v>767714108</v>
      </c>
      <c r="M6230" t="s">
        <v>75</v>
      </c>
      <c r="N6230" s="1">
        <v>42872.849305555559</v>
      </c>
      <c r="O6230" t="s">
        <v>19</v>
      </c>
    </row>
    <row r="6231" spans="1:15" x14ac:dyDescent="0.25">
      <c r="A6231" t="s">
        <v>4574</v>
      </c>
      <c r="B6231" t="s">
        <v>15</v>
      </c>
      <c r="C6231" t="s">
        <v>27</v>
      </c>
      <c r="D6231" t="s">
        <v>17</v>
      </c>
      <c r="E6231" t="s">
        <v>18</v>
      </c>
      <c r="F6231" t="s">
        <v>19</v>
      </c>
      <c r="G6231" t="s">
        <v>20</v>
      </c>
      <c r="J6231" t="s">
        <v>17</v>
      </c>
      <c r="K6231" t="str">
        <f>"11003161"</f>
        <v>11003161</v>
      </c>
      <c r="L6231" t="str">
        <f>"11003161"</f>
        <v>11003161</v>
      </c>
      <c r="M6231" t="s">
        <v>75</v>
      </c>
      <c r="N6231" s="1">
        <v>42872.839583333334</v>
      </c>
      <c r="O6231" t="s">
        <v>19</v>
      </c>
    </row>
    <row r="6232" spans="1:15" x14ac:dyDescent="0.25">
      <c r="A6232" t="s">
        <v>4575</v>
      </c>
      <c r="B6232" t="s">
        <v>15</v>
      </c>
      <c r="C6232" t="s">
        <v>16</v>
      </c>
      <c r="D6232" t="s">
        <v>17</v>
      </c>
      <c r="E6232" t="s">
        <v>18</v>
      </c>
      <c r="F6232" t="s">
        <v>19</v>
      </c>
      <c r="G6232" t="s">
        <v>20</v>
      </c>
      <c r="J6232" t="s">
        <v>17</v>
      </c>
      <c r="K6232" t="str">
        <f>"275823232"</f>
        <v>275823232</v>
      </c>
      <c r="L6232" t="str">
        <f>"275823232"</f>
        <v>275823232</v>
      </c>
      <c r="M6232" t="s">
        <v>75</v>
      </c>
      <c r="N6232" s="1">
        <v>42872.849305555559</v>
      </c>
      <c r="O6232" t="s">
        <v>19</v>
      </c>
    </row>
    <row r="6233" spans="1:15" x14ac:dyDescent="0.25">
      <c r="A6233" t="s">
        <v>4576</v>
      </c>
      <c r="B6233" t="s">
        <v>15</v>
      </c>
      <c r="C6233" t="s">
        <v>16</v>
      </c>
      <c r="D6233" t="s">
        <v>17</v>
      </c>
      <c r="E6233" t="s">
        <v>18</v>
      </c>
      <c r="F6233" t="s">
        <v>19</v>
      </c>
      <c r="G6233" t="s">
        <v>20</v>
      </c>
      <c r="J6233" t="s">
        <v>17</v>
      </c>
      <c r="K6233" t="str">
        <f>"275807253"</f>
        <v>275807253</v>
      </c>
      <c r="L6233" t="str">
        <f>"275807253"</f>
        <v>275807253</v>
      </c>
      <c r="M6233" t="s">
        <v>75</v>
      </c>
      <c r="N6233" s="1">
        <v>42872.849305555559</v>
      </c>
      <c r="O6233" t="s">
        <v>19</v>
      </c>
    </row>
    <row r="6234" spans="1:15" x14ac:dyDescent="0.25">
      <c r="A6234" t="s">
        <v>4577</v>
      </c>
      <c r="B6234" t="s">
        <v>15</v>
      </c>
      <c r="C6234" t="s">
        <v>16</v>
      </c>
      <c r="D6234" t="s">
        <v>17</v>
      </c>
      <c r="E6234" t="s">
        <v>18</v>
      </c>
      <c r="F6234" t="s">
        <v>19</v>
      </c>
      <c r="G6234" t="s">
        <v>20</v>
      </c>
      <c r="J6234" t="s">
        <v>17</v>
      </c>
      <c r="K6234" t="str">
        <f>"275814136"</f>
        <v>275814136</v>
      </c>
      <c r="L6234" t="str">
        <f>"275814136"</f>
        <v>275814136</v>
      </c>
      <c r="M6234" t="s">
        <v>75</v>
      </c>
      <c r="N6234" s="1">
        <v>42872.849305555559</v>
      </c>
      <c r="O6234" t="s">
        <v>19</v>
      </c>
    </row>
    <row r="6235" spans="1:15" x14ac:dyDescent="0.25">
      <c r="A6235" t="s">
        <v>4578</v>
      </c>
      <c r="B6235" t="s">
        <v>15</v>
      </c>
      <c r="C6235" t="s">
        <v>16</v>
      </c>
      <c r="D6235" t="s">
        <v>17</v>
      </c>
      <c r="E6235" t="s">
        <v>18</v>
      </c>
      <c r="F6235" t="s">
        <v>19</v>
      </c>
      <c r="G6235" t="s">
        <v>20</v>
      </c>
      <c r="J6235" t="s">
        <v>17</v>
      </c>
      <c r="K6235" t="str">
        <f>"275814270"</f>
        <v>275814270</v>
      </c>
      <c r="L6235" t="str">
        <f>"275814270"</f>
        <v>275814270</v>
      </c>
      <c r="M6235" t="s">
        <v>75</v>
      </c>
      <c r="N6235" s="1">
        <v>42872.849305555559</v>
      </c>
      <c r="O6235" t="s">
        <v>19</v>
      </c>
    </row>
    <row r="6236" spans="1:15" x14ac:dyDescent="0.25">
      <c r="A6236" t="s">
        <v>4579</v>
      </c>
      <c r="B6236" t="s">
        <v>15</v>
      </c>
      <c r="C6236" t="s">
        <v>16</v>
      </c>
      <c r="D6236" t="s">
        <v>17</v>
      </c>
      <c r="E6236" t="s">
        <v>18</v>
      </c>
      <c r="F6236" t="s">
        <v>19</v>
      </c>
      <c r="G6236" t="s">
        <v>20</v>
      </c>
      <c r="J6236" t="s">
        <v>17</v>
      </c>
      <c r="K6236" t="str">
        <f>"275809271"</f>
        <v>275809271</v>
      </c>
      <c r="L6236" t="str">
        <f>"275809271"</f>
        <v>275809271</v>
      </c>
      <c r="M6236" t="s">
        <v>75</v>
      </c>
      <c r="N6236" s="1">
        <v>42872.849305555559</v>
      </c>
      <c r="O6236" t="s">
        <v>19</v>
      </c>
    </row>
    <row r="6237" spans="1:15" x14ac:dyDescent="0.25">
      <c r="A6237" t="s">
        <v>4580</v>
      </c>
      <c r="B6237" t="s">
        <v>15</v>
      </c>
      <c r="C6237" t="s">
        <v>16</v>
      </c>
      <c r="D6237" t="s">
        <v>17</v>
      </c>
      <c r="E6237" t="s">
        <v>18</v>
      </c>
      <c r="F6237" t="s">
        <v>19</v>
      </c>
      <c r="G6237" t="s">
        <v>20</v>
      </c>
      <c r="J6237" t="s">
        <v>17</v>
      </c>
      <c r="K6237" t="str">
        <f>"275809285"</f>
        <v>275809285</v>
      </c>
      <c r="L6237" t="str">
        <f>"275809285"</f>
        <v>275809285</v>
      </c>
      <c r="M6237" t="s">
        <v>75</v>
      </c>
      <c r="N6237" s="1">
        <v>42872.849305555559</v>
      </c>
      <c r="O6237" t="s">
        <v>19</v>
      </c>
    </row>
    <row r="6238" spans="1:15" x14ac:dyDescent="0.25">
      <c r="A6238" t="s">
        <v>4581</v>
      </c>
      <c r="B6238" t="s">
        <v>15</v>
      </c>
      <c r="C6238" t="s">
        <v>16</v>
      </c>
      <c r="D6238" t="s">
        <v>17</v>
      </c>
      <c r="E6238" t="s">
        <v>18</v>
      </c>
      <c r="F6238" t="s">
        <v>19</v>
      </c>
      <c r="G6238" t="s">
        <v>20</v>
      </c>
      <c r="J6238" t="s">
        <v>17</v>
      </c>
      <c r="K6238" t="str">
        <f>"17581064"</f>
        <v>17581064</v>
      </c>
      <c r="L6238" t="str">
        <f>"17581064"</f>
        <v>17581064</v>
      </c>
      <c r="M6238" t="s">
        <v>75</v>
      </c>
      <c r="N6238" s="1">
        <v>42872.839583333334</v>
      </c>
      <c r="O6238" t="s">
        <v>19</v>
      </c>
    </row>
    <row r="6239" spans="1:15" x14ac:dyDescent="0.25">
      <c r="A6239" t="s">
        <v>4581</v>
      </c>
      <c r="B6239" t="s">
        <v>15</v>
      </c>
      <c r="C6239" t="s">
        <v>16</v>
      </c>
      <c r="D6239" t="s">
        <v>17</v>
      </c>
      <c r="E6239" t="s">
        <v>18</v>
      </c>
      <c r="F6239" t="s">
        <v>19</v>
      </c>
      <c r="G6239" t="s">
        <v>20</v>
      </c>
      <c r="J6239" t="s">
        <v>17</v>
      </c>
      <c r="K6239" t="str">
        <f>"27581064"</f>
        <v>27581064</v>
      </c>
      <c r="L6239" t="str">
        <f>"27581064"</f>
        <v>27581064</v>
      </c>
      <c r="M6239" t="s">
        <v>75</v>
      </c>
      <c r="N6239" s="1">
        <v>42872.839583333334</v>
      </c>
      <c r="O6239" t="s">
        <v>19</v>
      </c>
    </row>
    <row r="6240" spans="1:15" x14ac:dyDescent="0.25">
      <c r="A6240" t="s">
        <v>4582</v>
      </c>
      <c r="B6240" t="s">
        <v>15</v>
      </c>
      <c r="C6240" t="s">
        <v>16</v>
      </c>
      <c r="D6240" t="s">
        <v>17</v>
      </c>
      <c r="E6240" t="s">
        <v>18</v>
      </c>
      <c r="F6240" t="s">
        <v>19</v>
      </c>
      <c r="G6240" t="s">
        <v>20</v>
      </c>
      <c r="J6240" t="s">
        <v>17</v>
      </c>
      <c r="K6240" t="str">
        <f>"275814125"</f>
        <v>275814125</v>
      </c>
      <c r="L6240" t="str">
        <f>"275814125"</f>
        <v>275814125</v>
      </c>
      <c r="M6240" t="s">
        <v>75</v>
      </c>
      <c r="N6240" s="1">
        <v>42872.849305555559</v>
      </c>
      <c r="O6240" t="s">
        <v>19</v>
      </c>
    </row>
    <row r="6241" spans="1:15" x14ac:dyDescent="0.25">
      <c r="A6241" t="s">
        <v>4583</v>
      </c>
      <c r="B6241" t="s">
        <v>15</v>
      </c>
      <c r="C6241" t="s">
        <v>16</v>
      </c>
      <c r="D6241" t="s">
        <v>17</v>
      </c>
      <c r="E6241" t="s">
        <v>18</v>
      </c>
      <c r="F6241" t="s">
        <v>19</v>
      </c>
      <c r="G6241" t="s">
        <v>20</v>
      </c>
      <c r="J6241" t="s">
        <v>17</v>
      </c>
      <c r="K6241" t="str">
        <f>"275814266"</f>
        <v>275814266</v>
      </c>
      <c r="L6241" t="str">
        <f>"275814266"</f>
        <v>275814266</v>
      </c>
      <c r="M6241" t="s">
        <v>75</v>
      </c>
      <c r="N6241" s="1">
        <v>42872.849305555559</v>
      </c>
      <c r="O6241" t="s">
        <v>19</v>
      </c>
    </row>
    <row r="6242" spans="1:15" x14ac:dyDescent="0.25">
      <c r="A6242" t="s">
        <v>4584</v>
      </c>
      <c r="B6242" t="s">
        <v>15</v>
      </c>
      <c r="C6242" t="s">
        <v>16</v>
      </c>
      <c r="D6242" t="s">
        <v>17</v>
      </c>
      <c r="E6242" t="s">
        <v>18</v>
      </c>
      <c r="F6242" t="s">
        <v>19</v>
      </c>
      <c r="G6242" t="s">
        <v>20</v>
      </c>
      <c r="J6242" t="s">
        <v>17</v>
      </c>
      <c r="K6242" t="str">
        <f>"275814127"</f>
        <v>275814127</v>
      </c>
      <c r="L6242" t="str">
        <f>"275814127"</f>
        <v>275814127</v>
      </c>
      <c r="M6242" t="s">
        <v>75</v>
      </c>
      <c r="N6242" s="1">
        <v>42872.849305555559</v>
      </c>
      <c r="O6242" t="s">
        <v>19</v>
      </c>
    </row>
    <row r="6243" spans="1:15" x14ac:dyDescent="0.25">
      <c r="A6243" t="s">
        <v>4585</v>
      </c>
      <c r="B6243" t="s">
        <v>15</v>
      </c>
      <c r="C6243" t="s">
        <v>16</v>
      </c>
      <c r="D6243" t="s">
        <v>17</v>
      </c>
      <c r="E6243" t="s">
        <v>18</v>
      </c>
      <c r="F6243" t="s">
        <v>19</v>
      </c>
      <c r="G6243" t="s">
        <v>20</v>
      </c>
      <c r="J6243" t="s">
        <v>17</v>
      </c>
      <c r="K6243" t="str">
        <f>"27581487"</f>
        <v>27581487</v>
      </c>
      <c r="L6243" t="str">
        <f>"27581487"</f>
        <v>27581487</v>
      </c>
      <c r="M6243" t="s">
        <v>75</v>
      </c>
      <c r="N6243" s="1">
        <v>42872.839583333334</v>
      </c>
      <c r="O6243" t="s">
        <v>19</v>
      </c>
    </row>
    <row r="6244" spans="1:15" x14ac:dyDescent="0.25">
      <c r="A6244" t="s">
        <v>4586</v>
      </c>
      <c r="B6244" t="s">
        <v>15</v>
      </c>
      <c r="C6244" t="s">
        <v>16</v>
      </c>
      <c r="D6244" t="s">
        <v>17</v>
      </c>
      <c r="E6244" t="s">
        <v>18</v>
      </c>
      <c r="F6244" t="s">
        <v>19</v>
      </c>
      <c r="G6244" t="s">
        <v>20</v>
      </c>
      <c r="J6244" t="s">
        <v>17</v>
      </c>
      <c r="K6244" t="str">
        <f>"27581485"</f>
        <v>27581485</v>
      </c>
      <c r="L6244" t="str">
        <f>"27581485"</f>
        <v>27581485</v>
      </c>
      <c r="M6244" t="s">
        <v>75</v>
      </c>
      <c r="N6244" s="1">
        <v>42872.839583333334</v>
      </c>
      <c r="O6244" t="s">
        <v>19</v>
      </c>
    </row>
    <row r="6245" spans="1:15" x14ac:dyDescent="0.25">
      <c r="A6245" t="s">
        <v>4587</v>
      </c>
      <c r="B6245" t="s">
        <v>15</v>
      </c>
      <c r="C6245" t="s">
        <v>16</v>
      </c>
      <c r="D6245" t="s">
        <v>17</v>
      </c>
      <c r="E6245" t="s">
        <v>18</v>
      </c>
      <c r="F6245" t="s">
        <v>19</v>
      </c>
      <c r="G6245" t="s">
        <v>20</v>
      </c>
      <c r="J6245" t="s">
        <v>17</v>
      </c>
      <c r="K6245" t="str">
        <f>"27581496"</f>
        <v>27581496</v>
      </c>
      <c r="L6245" t="str">
        <f>"27581496"</f>
        <v>27581496</v>
      </c>
      <c r="M6245" t="s">
        <v>75</v>
      </c>
      <c r="N6245" s="1">
        <v>42872.839583333334</v>
      </c>
      <c r="O6245" t="s">
        <v>19</v>
      </c>
    </row>
    <row r="6246" spans="1:15" x14ac:dyDescent="0.25">
      <c r="A6246" t="s">
        <v>4588</v>
      </c>
      <c r="B6246" t="s">
        <v>15</v>
      </c>
      <c r="C6246" t="s">
        <v>16</v>
      </c>
      <c r="D6246" t="s">
        <v>17</v>
      </c>
      <c r="E6246" t="s">
        <v>18</v>
      </c>
      <c r="F6246" t="s">
        <v>19</v>
      </c>
      <c r="G6246" t="s">
        <v>20</v>
      </c>
      <c r="J6246" t="s">
        <v>17</v>
      </c>
      <c r="K6246" t="str">
        <f>"17770548"</f>
        <v>17770548</v>
      </c>
      <c r="L6246" t="str">
        <f>"17770548"</f>
        <v>17770548</v>
      </c>
      <c r="M6246" t="s">
        <v>75</v>
      </c>
      <c r="N6246" s="1">
        <v>42872.839583333334</v>
      </c>
      <c r="O6246" t="s">
        <v>19</v>
      </c>
    </row>
    <row r="6247" spans="1:15" x14ac:dyDescent="0.25">
      <c r="A6247" t="s">
        <v>4589</v>
      </c>
      <c r="B6247" t="s">
        <v>15</v>
      </c>
      <c r="C6247" t="s">
        <v>16</v>
      </c>
      <c r="D6247" t="s">
        <v>17</v>
      </c>
      <c r="E6247" t="s">
        <v>18</v>
      </c>
      <c r="F6247" t="s">
        <v>19</v>
      </c>
      <c r="G6247" t="s">
        <v>20</v>
      </c>
      <c r="J6247" t="s">
        <v>17</v>
      </c>
      <c r="K6247" t="str">
        <f>"347514266"</f>
        <v>347514266</v>
      </c>
      <c r="L6247" t="str">
        <f>"347514266"</f>
        <v>347514266</v>
      </c>
      <c r="M6247" t="s">
        <v>75</v>
      </c>
      <c r="N6247" s="1">
        <v>42872.849305555559</v>
      </c>
      <c r="O6247" t="s">
        <v>19</v>
      </c>
    </row>
    <row r="6248" spans="1:15" x14ac:dyDescent="0.25">
      <c r="A6248" t="s">
        <v>4590</v>
      </c>
      <c r="B6248" t="s">
        <v>15</v>
      </c>
      <c r="C6248" t="s">
        <v>16</v>
      </c>
      <c r="D6248" t="s">
        <v>17</v>
      </c>
      <c r="E6248" t="s">
        <v>18</v>
      </c>
      <c r="F6248" t="s">
        <v>19</v>
      </c>
      <c r="G6248" t="s">
        <v>20</v>
      </c>
      <c r="J6248" t="s">
        <v>17</v>
      </c>
      <c r="K6248" t="str">
        <f>"177532214"</f>
        <v>177532214</v>
      </c>
      <c r="L6248" t="str">
        <f>"177532214"</f>
        <v>177532214</v>
      </c>
      <c r="M6248" t="s">
        <v>75</v>
      </c>
      <c r="N6248" s="1">
        <v>42872.849305555559</v>
      </c>
      <c r="O6248" t="s">
        <v>19</v>
      </c>
    </row>
    <row r="6249" spans="1:15" x14ac:dyDescent="0.25">
      <c r="A6249" t="s">
        <v>4591</v>
      </c>
      <c r="B6249" t="s">
        <v>15</v>
      </c>
      <c r="C6249" t="s">
        <v>16</v>
      </c>
      <c r="D6249" t="s">
        <v>17</v>
      </c>
      <c r="E6249" t="s">
        <v>18</v>
      </c>
      <c r="F6249" t="s">
        <v>19</v>
      </c>
      <c r="G6249" t="s">
        <v>20</v>
      </c>
      <c r="J6249" t="s">
        <v>17</v>
      </c>
      <c r="K6249" t="str">
        <f>"27580715"</f>
        <v>27580715</v>
      </c>
      <c r="L6249" t="str">
        <f>"27580715"</f>
        <v>27580715</v>
      </c>
      <c r="M6249" t="s">
        <v>75</v>
      </c>
      <c r="N6249" s="1">
        <v>42872.839583333334</v>
      </c>
      <c r="O6249" t="s">
        <v>19</v>
      </c>
    </row>
    <row r="6250" spans="1:15" x14ac:dyDescent="0.25">
      <c r="A6250" t="s">
        <v>4592</v>
      </c>
      <c r="B6250" t="s">
        <v>15</v>
      </c>
      <c r="C6250" t="s">
        <v>16</v>
      </c>
      <c r="D6250" t="s">
        <v>17</v>
      </c>
      <c r="E6250" t="s">
        <v>18</v>
      </c>
      <c r="F6250" t="s">
        <v>19</v>
      </c>
      <c r="G6250" t="s">
        <v>20</v>
      </c>
      <c r="J6250" t="s">
        <v>17</v>
      </c>
      <c r="K6250" t="str">
        <f>"275810121"</f>
        <v>275810121</v>
      </c>
      <c r="L6250" t="str">
        <f>"275810121"</f>
        <v>275810121</v>
      </c>
      <c r="M6250" t="s">
        <v>75</v>
      </c>
      <c r="N6250" s="1">
        <v>42872.849305555559</v>
      </c>
      <c r="O6250" t="s">
        <v>19</v>
      </c>
    </row>
    <row r="6251" spans="1:15" x14ac:dyDescent="0.25">
      <c r="A6251" t="s">
        <v>4593</v>
      </c>
      <c r="B6251" t="s">
        <v>15</v>
      </c>
      <c r="C6251" t="s">
        <v>16</v>
      </c>
      <c r="D6251" t="s">
        <v>17</v>
      </c>
      <c r="E6251" t="s">
        <v>18</v>
      </c>
      <c r="F6251" t="s">
        <v>19</v>
      </c>
      <c r="G6251" t="s">
        <v>20</v>
      </c>
      <c r="J6251" t="s">
        <v>17</v>
      </c>
      <c r="K6251" t="str">
        <f>"27580716"</f>
        <v>27580716</v>
      </c>
      <c r="L6251" t="str">
        <f>"27580716"</f>
        <v>27580716</v>
      </c>
      <c r="M6251" t="s">
        <v>75</v>
      </c>
      <c r="N6251" s="1">
        <v>42872.839583333334</v>
      </c>
      <c r="O6251" t="s">
        <v>19</v>
      </c>
    </row>
    <row r="6252" spans="1:15" x14ac:dyDescent="0.25">
      <c r="A6252" t="s">
        <v>4594</v>
      </c>
      <c r="B6252" t="s">
        <v>15</v>
      </c>
      <c r="C6252" t="s">
        <v>16</v>
      </c>
      <c r="D6252" t="s">
        <v>17</v>
      </c>
      <c r="E6252" t="s">
        <v>18</v>
      </c>
      <c r="F6252" t="s">
        <v>19</v>
      </c>
      <c r="G6252" t="s">
        <v>20</v>
      </c>
      <c r="J6252" t="s">
        <v>17</v>
      </c>
      <c r="K6252" t="str">
        <f>"27580720"</f>
        <v>27580720</v>
      </c>
      <c r="L6252" t="str">
        <f>"27580720"</f>
        <v>27580720</v>
      </c>
      <c r="M6252" t="s">
        <v>75</v>
      </c>
      <c r="N6252" s="1">
        <v>42872.839583333334</v>
      </c>
      <c r="O6252" t="s">
        <v>19</v>
      </c>
    </row>
    <row r="6253" spans="1:15" x14ac:dyDescent="0.25">
      <c r="A6253" t="s">
        <v>4595</v>
      </c>
      <c r="B6253" t="s">
        <v>15</v>
      </c>
      <c r="C6253" t="s">
        <v>16</v>
      </c>
      <c r="D6253" t="s">
        <v>17</v>
      </c>
      <c r="E6253" t="s">
        <v>18</v>
      </c>
      <c r="F6253" t="s">
        <v>19</v>
      </c>
      <c r="G6253" t="s">
        <v>20</v>
      </c>
      <c r="J6253" t="s">
        <v>17</v>
      </c>
      <c r="K6253" t="str">
        <f>"27583214"</f>
        <v>27583214</v>
      </c>
      <c r="L6253" t="str">
        <f>"27583214"</f>
        <v>27583214</v>
      </c>
      <c r="M6253" t="s">
        <v>75</v>
      </c>
      <c r="N6253" s="1">
        <v>42872.839583333334</v>
      </c>
      <c r="O6253" t="s">
        <v>19</v>
      </c>
    </row>
    <row r="6254" spans="1:15" x14ac:dyDescent="0.25">
      <c r="A6254" t="s">
        <v>4595</v>
      </c>
      <c r="B6254" t="s">
        <v>15</v>
      </c>
      <c r="C6254" t="s">
        <v>16</v>
      </c>
      <c r="D6254" t="s">
        <v>17</v>
      </c>
      <c r="E6254" t="s">
        <v>18</v>
      </c>
      <c r="F6254" t="s">
        <v>19</v>
      </c>
      <c r="G6254" t="s">
        <v>20</v>
      </c>
      <c r="J6254" t="s">
        <v>17</v>
      </c>
      <c r="K6254" t="str">
        <f>"275832214"</f>
        <v>275832214</v>
      </c>
      <c r="L6254" t="str">
        <f>"275832214"</f>
        <v>275832214</v>
      </c>
      <c r="M6254" t="s">
        <v>75</v>
      </c>
      <c r="N6254" s="1">
        <v>42872.849305555559</v>
      </c>
      <c r="O6254" t="s">
        <v>19</v>
      </c>
    </row>
    <row r="6255" spans="1:15" x14ac:dyDescent="0.25">
      <c r="A6255" t="s">
        <v>4596</v>
      </c>
      <c r="B6255" t="s">
        <v>15</v>
      </c>
      <c r="C6255" t="s">
        <v>16</v>
      </c>
      <c r="D6255" t="s">
        <v>17</v>
      </c>
      <c r="E6255" t="s">
        <v>18</v>
      </c>
      <c r="F6255" t="s">
        <v>19</v>
      </c>
      <c r="G6255" t="s">
        <v>20</v>
      </c>
      <c r="J6255" t="s">
        <v>17</v>
      </c>
      <c r="K6255" t="str">
        <f>"275809213"</f>
        <v>275809213</v>
      </c>
      <c r="L6255" t="str">
        <f>"275809213"</f>
        <v>275809213</v>
      </c>
      <c r="M6255" t="s">
        <v>75</v>
      </c>
      <c r="N6255" s="1">
        <v>42872.849305555559</v>
      </c>
      <c r="O6255" t="s">
        <v>19</v>
      </c>
    </row>
    <row r="6256" spans="1:15" x14ac:dyDescent="0.25">
      <c r="A6256" t="s">
        <v>4597</v>
      </c>
      <c r="B6256" t="s">
        <v>15</v>
      </c>
      <c r="C6256" t="s">
        <v>16</v>
      </c>
      <c r="D6256" t="s">
        <v>17</v>
      </c>
      <c r="E6256" t="s">
        <v>18</v>
      </c>
      <c r="F6256" t="s">
        <v>19</v>
      </c>
      <c r="G6256" t="s">
        <v>20</v>
      </c>
      <c r="J6256" t="s">
        <v>17</v>
      </c>
      <c r="K6256" t="str">
        <f>"27581059"</f>
        <v>27581059</v>
      </c>
      <c r="L6256" t="str">
        <f>"27581059"</f>
        <v>27581059</v>
      </c>
      <c r="M6256" t="s">
        <v>75</v>
      </c>
      <c r="N6256" s="1">
        <v>42872.839583333334</v>
      </c>
      <c r="O6256" t="s">
        <v>19</v>
      </c>
    </row>
    <row r="6257" spans="1:15" x14ac:dyDescent="0.25">
      <c r="A6257" t="s">
        <v>4598</v>
      </c>
      <c r="B6257" t="s">
        <v>15</v>
      </c>
      <c r="C6257" t="s">
        <v>16</v>
      </c>
      <c r="D6257" t="s">
        <v>17</v>
      </c>
      <c r="E6257" t="s">
        <v>18</v>
      </c>
      <c r="F6257" t="s">
        <v>19</v>
      </c>
      <c r="G6257" t="s">
        <v>20</v>
      </c>
      <c r="J6257" t="s">
        <v>17</v>
      </c>
      <c r="K6257" t="str">
        <f>"275810234"</f>
        <v>275810234</v>
      </c>
      <c r="L6257" t="str">
        <f>"275810234"</f>
        <v>275810234</v>
      </c>
      <c r="M6257" t="s">
        <v>75</v>
      </c>
      <c r="N6257" s="1">
        <v>42872.849305555559</v>
      </c>
      <c r="O6257" t="s">
        <v>19</v>
      </c>
    </row>
    <row r="6258" spans="1:15" x14ac:dyDescent="0.25">
      <c r="A6258" t="s">
        <v>4599</v>
      </c>
      <c r="B6258" t="s">
        <v>15</v>
      </c>
      <c r="C6258" t="s">
        <v>16</v>
      </c>
      <c r="D6258" t="s">
        <v>17</v>
      </c>
      <c r="E6258" t="s">
        <v>18</v>
      </c>
      <c r="F6258" t="s">
        <v>19</v>
      </c>
      <c r="G6258" t="s">
        <v>20</v>
      </c>
      <c r="J6258" t="s">
        <v>17</v>
      </c>
      <c r="K6258" t="str">
        <f>"275810231"</f>
        <v>275810231</v>
      </c>
      <c r="L6258" t="str">
        <f>"275810231"</f>
        <v>275810231</v>
      </c>
      <c r="M6258" t="s">
        <v>75</v>
      </c>
      <c r="N6258" s="1">
        <v>42872.849305555559</v>
      </c>
      <c r="O6258" t="s">
        <v>19</v>
      </c>
    </row>
    <row r="6259" spans="1:15" x14ac:dyDescent="0.25">
      <c r="A6259" t="s">
        <v>4600</v>
      </c>
      <c r="B6259" t="s">
        <v>15</v>
      </c>
      <c r="C6259" t="s">
        <v>16</v>
      </c>
      <c r="D6259" t="s">
        <v>17</v>
      </c>
      <c r="E6259" t="s">
        <v>18</v>
      </c>
      <c r="F6259" t="s">
        <v>19</v>
      </c>
      <c r="G6259" t="s">
        <v>20</v>
      </c>
      <c r="J6259" t="s">
        <v>17</v>
      </c>
      <c r="K6259" t="str">
        <f>"275809221"</f>
        <v>275809221</v>
      </c>
      <c r="L6259" t="str">
        <f>"275809221"</f>
        <v>275809221</v>
      </c>
      <c r="M6259" t="s">
        <v>75</v>
      </c>
      <c r="N6259" s="1">
        <v>42872.849305555559</v>
      </c>
      <c r="O6259" t="s">
        <v>19</v>
      </c>
    </row>
    <row r="6260" spans="1:15" x14ac:dyDescent="0.25">
      <c r="A6260" t="s">
        <v>4601</v>
      </c>
      <c r="B6260" t="s">
        <v>15</v>
      </c>
      <c r="C6260" t="s">
        <v>2074</v>
      </c>
      <c r="D6260" t="s">
        <v>17</v>
      </c>
      <c r="E6260" t="s">
        <v>18</v>
      </c>
      <c r="F6260" t="s">
        <v>19</v>
      </c>
      <c r="G6260" t="s">
        <v>20</v>
      </c>
      <c r="J6260" t="s">
        <v>17</v>
      </c>
      <c r="K6260" t="str">
        <f>"17782120"</f>
        <v>17782120</v>
      </c>
      <c r="L6260" t="str">
        <f>"17782120"</f>
        <v>17782120</v>
      </c>
      <c r="M6260" t="s">
        <v>75</v>
      </c>
      <c r="N6260" s="1">
        <v>42999.887499999997</v>
      </c>
      <c r="O6260" t="s">
        <v>19</v>
      </c>
    </row>
    <row r="6261" spans="1:15" x14ac:dyDescent="0.25">
      <c r="A6261" t="s">
        <v>4602</v>
      </c>
      <c r="B6261" t="s">
        <v>15</v>
      </c>
      <c r="C6261" t="s">
        <v>2074</v>
      </c>
      <c r="D6261" t="s">
        <v>17</v>
      </c>
      <c r="E6261" t="s">
        <v>18</v>
      </c>
      <c r="F6261" t="s">
        <v>19</v>
      </c>
      <c r="G6261" t="s">
        <v>20</v>
      </c>
      <c r="J6261" t="s">
        <v>17</v>
      </c>
      <c r="K6261" t="str">
        <f>"767822142"</f>
        <v>767822142</v>
      </c>
      <c r="L6261" t="str">
        <f>"767822142"</f>
        <v>767822142</v>
      </c>
      <c r="M6261" t="s">
        <v>75</v>
      </c>
      <c r="N6261" s="1">
        <v>42872.849305555559</v>
      </c>
      <c r="O6261" t="s">
        <v>19</v>
      </c>
    </row>
    <row r="6262" spans="1:15" x14ac:dyDescent="0.25">
      <c r="A6262" t="s">
        <v>4603</v>
      </c>
      <c r="B6262" t="s">
        <v>15</v>
      </c>
      <c r="C6262" t="s">
        <v>16</v>
      </c>
      <c r="D6262" t="s">
        <v>17</v>
      </c>
      <c r="E6262" t="s">
        <v>18</v>
      </c>
      <c r="F6262" t="s">
        <v>19</v>
      </c>
      <c r="G6262" t="s">
        <v>20</v>
      </c>
      <c r="J6262" t="s">
        <v>17</v>
      </c>
      <c r="K6262" t="str">
        <f>"76580568"</f>
        <v>76580568</v>
      </c>
      <c r="L6262" t="str">
        <f>"76580568"</f>
        <v>76580568</v>
      </c>
      <c r="M6262" t="s">
        <v>75</v>
      </c>
      <c r="N6262" s="1">
        <v>42872.847222222219</v>
      </c>
      <c r="O6262" t="s">
        <v>19</v>
      </c>
    </row>
    <row r="6263" spans="1:15" x14ac:dyDescent="0.25">
      <c r="A6263" t="s">
        <v>4604</v>
      </c>
      <c r="B6263" t="s">
        <v>15</v>
      </c>
      <c r="C6263" t="s">
        <v>16</v>
      </c>
      <c r="D6263" t="s">
        <v>17</v>
      </c>
      <c r="E6263" t="s">
        <v>18</v>
      </c>
      <c r="F6263" t="s">
        <v>19</v>
      </c>
      <c r="G6263" t="s">
        <v>20</v>
      </c>
      <c r="J6263" t="s">
        <v>17</v>
      </c>
      <c r="K6263" t="str">
        <f>"76580934"</f>
        <v>76580934</v>
      </c>
      <c r="L6263" t="str">
        <f>"76580934"</f>
        <v>76580934</v>
      </c>
      <c r="M6263" t="s">
        <v>75</v>
      </c>
      <c r="N6263" s="1">
        <v>42872.847222222219</v>
      </c>
      <c r="O6263" t="s">
        <v>19</v>
      </c>
    </row>
    <row r="6264" spans="1:15" x14ac:dyDescent="0.25">
      <c r="A6264" t="s">
        <v>4605</v>
      </c>
      <c r="B6264" t="s">
        <v>15</v>
      </c>
      <c r="C6264" t="s">
        <v>16</v>
      </c>
      <c r="D6264" t="s">
        <v>17</v>
      </c>
      <c r="E6264" t="s">
        <v>18</v>
      </c>
      <c r="F6264" t="s">
        <v>19</v>
      </c>
      <c r="G6264" t="s">
        <v>20</v>
      </c>
      <c r="J6264" t="s">
        <v>17</v>
      </c>
      <c r="K6264" t="str">
        <f>"76581082"</f>
        <v>76581082</v>
      </c>
      <c r="L6264" t="str">
        <f>"76581082"</f>
        <v>76581082</v>
      </c>
      <c r="M6264" t="s">
        <v>75</v>
      </c>
      <c r="N6264" s="1">
        <v>42872.847222222219</v>
      </c>
      <c r="O6264" t="s">
        <v>19</v>
      </c>
    </row>
    <row r="6265" spans="1:15" x14ac:dyDescent="0.25">
      <c r="A6265" t="s">
        <v>4606</v>
      </c>
      <c r="B6265" t="s">
        <v>15</v>
      </c>
      <c r="C6265" t="s">
        <v>16</v>
      </c>
      <c r="D6265" t="s">
        <v>17</v>
      </c>
      <c r="E6265" t="s">
        <v>18</v>
      </c>
      <c r="F6265" t="s">
        <v>19</v>
      </c>
      <c r="G6265" t="s">
        <v>20</v>
      </c>
      <c r="J6265" t="s">
        <v>17</v>
      </c>
      <c r="K6265" t="str">
        <f>"765810121"</f>
        <v>765810121</v>
      </c>
      <c r="L6265" t="str">
        <f>"765810121"</f>
        <v>765810121</v>
      </c>
      <c r="M6265" t="s">
        <v>75</v>
      </c>
      <c r="N6265" s="1">
        <v>42872.849305555559</v>
      </c>
      <c r="O6265" t="s">
        <v>19</v>
      </c>
    </row>
    <row r="6266" spans="1:15" x14ac:dyDescent="0.25">
      <c r="A6266" t="s">
        <v>4607</v>
      </c>
      <c r="B6266" t="s">
        <v>15</v>
      </c>
      <c r="C6266" t="s">
        <v>16</v>
      </c>
      <c r="D6266" t="s">
        <v>17</v>
      </c>
      <c r="E6266" t="s">
        <v>18</v>
      </c>
      <c r="F6266" t="s">
        <v>19</v>
      </c>
      <c r="G6266" t="s">
        <v>20</v>
      </c>
      <c r="J6266" t="s">
        <v>17</v>
      </c>
      <c r="K6266" t="str">
        <f>"765815111"</f>
        <v>765815111</v>
      </c>
      <c r="L6266" t="str">
        <f>"765815111"</f>
        <v>765815111</v>
      </c>
      <c r="M6266" t="s">
        <v>75</v>
      </c>
      <c r="N6266" s="1">
        <v>42872.849305555559</v>
      </c>
      <c r="O6266" t="s">
        <v>19</v>
      </c>
    </row>
    <row r="6267" spans="1:15" x14ac:dyDescent="0.25">
      <c r="A6267" t="s">
        <v>4608</v>
      </c>
      <c r="B6267" t="s">
        <v>15</v>
      </c>
      <c r="C6267" t="s">
        <v>16</v>
      </c>
      <c r="D6267" t="s">
        <v>17</v>
      </c>
      <c r="E6267" t="s">
        <v>18</v>
      </c>
      <c r="F6267" t="s">
        <v>19</v>
      </c>
      <c r="G6267" t="s">
        <v>20</v>
      </c>
      <c r="J6267" t="s">
        <v>17</v>
      </c>
      <c r="K6267" t="str">
        <f>"76751023"</f>
        <v>76751023</v>
      </c>
      <c r="L6267" t="str">
        <f>"76751023"</f>
        <v>76751023</v>
      </c>
      <c r="M6267" t="s">
        <v>75</v>
      </c>
      <c r="N6267" s="1">
        <v>42872.847222222219</v>
      </c>
      <c r="O6267" t="s">
        <v>19</v>
      </c>
    </row>
    <row r="6268" spans="1:15" x14ac:dyDescent="0.25">
      <c r="A6268" t="s">
        <v>4609</v>
      </c>
      <c r="B6268" t="s">
        <v>15</v>
      </c>
      <c r="C6268" t="s">
        <v>16</v>
      </c>
      <c r="D6268" t="s">
        <v>17</v>
      </c>
      <c r="E6268" t="s">
        <v>18</v>
      </c>
      <c r="F6268" t="s">
        <v>19</v>
      </c>
      <c r="G6268" t="s">
        <v>20</v>
      </c>
      <c r="J6268" t="s">
        <v>17</v>
      </c>
      <c r="K6268" t="str">
        <f>"76690714"</f>
        <v>76690714</v>
      </c>
      <c r="L6268" t="str">
        <f>"76690714"</f>
        <v>76690714</v>
      </c>
      <c r="M6268" t="s">
        <v>75</v>
      </c>
      <c r="N6268" s="1">
        <v>42872.847222222219</v>
      </c>
      <c r="O6268" t="s">
        <v>19</v>
      </c>
    </row>
    <row r="6269" spans="1:15" x14ac:dyDescent="0.25">
      <c r="A6269" t="s">
        <v>4610</v>
      </c>
      <c r="B6269" t="s">
        <v>15</v>
      </c>
      <c r="C6269" t="s">
        <v>1607</v>
      </c>
      <c r="D6269" t="s">
        <v>17</v>
      </c>
      <c r="E6269" t="s">
        <v>18</v>
      </c>
      <c r="F6269" t="s">
        <v>19</v>
      </c>
      <c r="G6269" t="s">
        <v>20</v>
      </c>
      <c r="J6269" t="s">
        <v>17</v>
      </c>
      <c r="K6269" t="str">
        <f>"76690715"</f>
        <v>76690715</v>
      </c>
      <c r="L6269" t="str">
        <f>"76690715"</f>
        <v>76690715</v>
      </c>
      <c r="M6269" t="s">
        <v>75</v>
      </c>
      <c r="N6269" s="1">
        <v>42872.847222222219</v>
      </c>
      <c r="O6269" t="s">
        <v>19</v>
      </c>
    </row>
    <row r="6270" spans="1:15" x14ac:dyDescent="0.25">
      <c r="A6270" t="s">
        <v>4611</v>
      </c>
      <c r="B6270" t="s">
        <v>15</v>
      </c>
      <c r="C6270" t="s">
        <v>16</v>
      </c>
      <c r="D6270" t="s">
        <v>17</v>
      </c>
      <c r="E6270" t="s">
        <v>18</v>
      </c>
      <c r="F6270" t="s">
        <v>19</v>
      </c>
      <c r="G6270" t="s">
        <v>20</v>
      </c>
      <c r="J6270" t="s">
        <v>17</v>
      </c>
      <c r="K6270" t="str">
        <f>"76690716"</f>
        <v>76690716</v>
      </c>
      <c r="L6270" t="str">
        <f>"76690716"</f>
        <v>76690716</v>
      </c>
      <c r="M6270" t="s">
        <v>75</v>
      </c>
      <c r="N6270" s="1">
        <v>42872.847222222219</v>
      </c>
      <c r="O6270" t="s">
        <v>19</v>
      </c>
    </row>
    <row r="6271" spans="1:15" x14ac:dyDescent="0.25">
      <c r="A6271" t="s">
        <v>4612</v>
      </c>
      <c r="B6271" t="s">
        <v>15</v>
      </c>
      <c r="C6271" t="s">
        <v>16</v>
      </c>
      <c r="D6271" t="s">
        <v>17</v>
      </c>
      <c r="E6271" t="s">
        <v>18</v>
      </c>
      <c r="F6271" t="s">
        <v>19</v>
      </c>
      <c r="G6271" t="s">
        <v>20</v>
      </c>
      <c r="J6271" t="s">
        <v>17</v>
      </c>
      <c r="K6271" t="str">
        <f>"766914125"</f>
        <v>766914125</v>
      </c>
      <c r="L6271" t="str">
        <f>"766914125"</f>
        <v>766914125</v>
      </c>
      <c r="M6271" t="s">
        <v>75</v>
      </c>
      <c r="N6271" s="1">
        <v>42872.849305555559</v>
      </c>
      <c r="O6271" t="s">
        <v>19</v>
      </c>
    </row>
    <row r="6272" spans="1:15" x14ac:dyDescent="0.25">
      <c r="A6272" t="s">
        <v>4613</v>
      </c>
      <c r="B6272" t="s">
        <v>15</v>
      </c>
      <c r="C6272" t="s">
        <v>27</v>
      </c>
      <c r="D6272" t="s">
        <v>17</v>
      </c>
      <c r="E6272" t="s">
        <v>18</v>
      </c>
      <c r="F6272" t="s">
        <v>19</v>
      </c>
      <c r="G6272" t="s">
        <v>20</v>
      </c>
      <c r="J6272" t="s">
        <v>17</v>
      </c>
      <c r="K6272" t="str">
        <f>"17201480"</f>
        <v>17201480</v>
      </c>
      <c r="L6272" t="str">
        <f>"17201480"</f>
        <v>17201480</v>
      </c>
      <c r="M6272" t="s">
        <v>75</v>
      </c>
      <c r="N6272" s="1">
        <v>42872.839583333334</v>
      </c>
      <c r="O6272" t="s">
        <v>19</v>
      </c>
    </row>
    <row r="6273" spans="1:15" x14ac:dyDescent="0.25">
      <c r="A6273" t="s">
        <v>4613</v>
      </c>
      <c r="B6273" t="s">
        <v>15</v>
      </c>
      <c r="C6273" t="s">
        <v>27</v>
      </c>
      <c r="D6273" t="s">
        <v>17</v>
      </c>
      <c r="E6273" t="s">
        <v>18</v>
      </c>
      <c r="F6273" t="s">
        <v>19</v>
      </c>
      <c r="G6273" t="s">
        <v>20</v>
      </c>
      <c r="J6273" t="s">
        <v>17</v>
      </c>
      <c r="K6273" t="str">
        <f>"76491480"</f>
        <v>76491480</v>
      </c>
      <c r="L6273" t="str">
        <f>"76491480"</f>
        <v>76491480</v>
      </c>
      <c r="M6273" t="s">
        <v>75</v>
      </c>
      <c r="N6273" s="1">
        <v>42872.847222222219</v>
      </c>
      <c r="O6273" t="s">
        <v>19</v>
      </c>
    </row>
    <row r="6274" spans="1:15" x14ac:dyDescent="0.25">
      <c r="A6274" t="s">
        <v>4614</v>
      </c>
      <c r="B6274" t="s">
        <v>15</v>
      </c>
      <c r="C6274" t="s">
        <v>16</v>
      </c>
      <c r="D6274" t="s">
        <v>17</v>
      </c>
      <c r="E6274" t="s">
        <v>18</v>
      </c>
      <c r="F6274" t="s">
        <v>19</v>
      </c>
      <c r="G6274" t="s">
        <v>20</v>
      </c>
      <c r="J6274" t="s">
        <v>17</v>
      </c>
      <c r="K6274" t="str">
        <f>"767505196"</f>
        <v>767505196</v>
      </c>
      <c r="L6274" t="str">
        <f>"767505196"</f>
        <v>767505196</v>
      </c>
      <c r="M6274" t="s">
        <v>75</v>
      </c>
      <c r="N6274" s="1">
        <v>42872.849305555559</v>
      </c>
      <c r="O6274" t="s">
        <v>19</v>
      </c>
    </row>
    <row r="6275" spans="1:15" x14ac:dyDescent="0.25">
      <c r="A6275" t="s">
        <v>4615</v>
      </c>
      <c r="B6275" t="s">
        <v>15</v>
      </c>
      <c r="C6275" t="s">
        <v>16</v>
      </c>
      <c r="D6275" t="s">
        <v>17</v>
      </c>
      <c r="E6275" t="s">
        <v>18</v>
      </c>
      <c r="F6275" t="s">
        <v>19</v>
      </c>
      <c r="G6275" t="s">
        <v>20</v>
      </c>
      <c r="J6275" t="s">
        <v>17</v>
      </c>
      <c r="K6275" t="str">
        <f>"347514270"</f>
        <v>347514270</v>
      </c>
      <c r="L6275" t="str">
        <f>"347514270"</f>
        <v>347514270</v>
      </c>
      <c r="M6275" t="s">
        <v>75</v>
      </c>
      <c r="N6275" s="1">
        <v>42872.849305555559</v>
      </c>
      <c r="O6275" t="s">
        <v>19</v>
      </c>
    </row>
    <row r="6276" spans="1:15" x14ac:dyDescent="0.25">
      <c r="A6276" t="s">
        <v>4616</v>
      </c>
      <c r="B6276" t="s">
        <v>15</v>
      </c>
      <c r="C6276" t="s">
        <v>16</v>
      </c>
      <c r="D6276" t="s">
        <v>17</v>
      </c>
      <c r="E6276" t="s">
        <v>18</v>
      </c>
      <c r="F6276" t="s">
        <v>19</v>
      </c>
      <c r="G6276" t="s">
        <v>20</v>
      </c>
      <c r="J6276" t="s">
        <v>17</v>
      </c>
      <c r="K6276" t="str">
        <f>"767710297"</f>
        <v>767710297</v>
      </c>
      <c r="L6276" t="str">
        <f>"767710297"</f>
        <v>767710297</v>
      </c>
      <c r="M6276" t="s">
        <v>75</v>
      </c>
      <c r="N6276" s="1">
        <v>42933.715277777781</v>
      </c>
      <c r="O6276" t="s">
        <v>19</v>
      </c>
    </row>
    <row r="6277" spans="1:15" x14ac:dyDescent="0.25">
      <c r="A6277" t="s">
        <v>4617</v>
      </c>
      <c r="B6277" t="s">
        <v>15</v>
      </c>
      <c r="C6277" t="s">
        <v>16</v>
      </c>
      <c r="D6277" t="s">
        <v>17</v>
      </c>
      <c r="E6277" t="s">
        <v>18</v>
      </c>
      <c r="F6277" t="s">
        <v>19</v>
      </c>
      <c r="G6277" t="s">
        <v>20</v>
      </c>
      <c r="J6277" t="s">
        <v>17</v>
      </c>
      <c r="K6277" t="str">
        <f>"17751445"</f>
        <v>17751445</v>
      </c>
      <c r="L6277" t="str">
        <f>"17751445"</f>
        <v>17751445</v>
      </c>
      <c r="M6277" t="s">
        <v>75</v>
      </c>
      <c r="N6277" s="1">
        <v>42872.839583333334</v>
      </c>
      <c r="O6277" t="s">
        <v>19</v>
      </c>
    </row>
    <row r="6278" spans="1:15" x14ac:dyDescent="0.25">
      <c r="A6278" t="s">
        <v>4618</v>
      </c>
      <c r="B6278" t="s">
        <v>15</v>
      </c>
      <c r="C6278" t="s">
        <v>16</v>
      </c>
      <c r="D6278" t="s">
        <v>17</v>
      </c>
      <c r="E6278" t="s">
        <v>18</v>
      </c>
      <c r="F6278" t="s">
        <v>19</v>
      </c>
      <c r="G6278" t="s">
        <v>20</v>
      </c>
      <c r="J6278" t="s">
        <v>17</v>
      </c>
      <c r="K6278" t="str">
        <f>"767705196"</f>
        <v>767705196</v>
      </c>
      <c r="L6278" t="str">
        <f>"767705196"</f>
        <v>767705196</v>
      </c>
      <c r="M6278" t="s">
        <v>75</v>
      </c>
      <c r="N6278" s="1">
        <v>42872.849305555559</v>
      </c>
      <c r="O6278" t="s">
        <v>19</v>
      </c>
    </row>
    <row r="6279" spans="1:15" x14ac:dyDescent="0.25">
      <c r="A6279" t="s">
        <v>4619</v>
      </c>
      <c r="B6279" t="s">
        <v>15</v>
      </c>
      <c r="C6279" t="s">
        <v>16</v>
      </c>
      <c r="D6279" t="s">
        <v>17</v>
      </c>
      <c r="E6279" t="s">
        <v>18</v>
      </c>
      <c r="F6279" t="s">
        <v>19</v>
      </c>
      <c r="G6279" t="s">
        <v>20</v>
      </c>
      <c r="J6279" t="s">
        <v>17</v>
      </c>
      <c r="K6279" t="str">
        <f>"76771064"</f>
        <v>76771064</v>
      </c>
      <c r="L6279" t="str">
        <f>"76771064"</f>
        <v>76771064</v>
      </c>
      <c r="M6279" t="s">
        <v>75</v>
      </c>
      <c r="N6279" s="1">
        <v>42872.847222222219</v>
      </c>
      <c r="O6279" t="s">
        <v>19</v>
      </c>
    </row>
    <row r="6280" spans="1:15" x14ac:dyDescent="0.25">
      <c r="A6280" t="s">
        <v>4620</v>
      </c>
      <c r="B6280" t="s">
        <v>15</v>
      </c>
      <c r="C6280" t="s">
        <v>16</v>
      </c>
      <c r="D6280" t="s">
        <v>17</v>
      </c>
      <c r="E6280" t="s">
        <v>18</v>
      </c>
      <c r="F6280" t="s">
        <v>19</v>
      </c>
      <c r="G6280" t="s">
        <v>20</v>
      </c>
      <c r="J6280" t="s">
        <v>17</v>
      </c>
      <c r="K6280" t="str">
        <f>"767710234"</f>
        <v>767710234</v>
      </c>
      <c r="L6280" t="str">
        <f>"767710234"</f>
        <v>767710234</v>
      </c>
      <c r="M6280" t="s">
        <v>75</v>
      </c>
      <c r="N6280" s="1">
        <v>42872.849305555559</v>
      </c>
      <c r="O6280" t="s">
        <v>19</v>
      </c>
    </row>
    <row r="6281" spans="1:15" x14ac:dyDescent="0.25">
      <c r="A6281" t="s">
        <v>4621</v>
      </c>
      <c r="B6281" t="s">
        <v>15</v>
      </c>
      <c r="C6281" t="s">
        <v>16</v>
      </c>
      <c r="D6281" t="s">
        <v>17</v>
      </c>
      <c r="E6281" t="s">
        <v>18</v>
      </c>
      <c r="F6281" t="s">
        <v>19</v>
      </c>
      <c r="G6281" t="s">
        <v>20</v>
      </c>
      <c r="J6281" t="s">
        <v>17</v>
      </c>
      <c r="K6281" t="str">
        <f>"76160717"</f>
        <v>76160717</v>
      </c>
      <c r="L6281" t="str">
        <f>"76160717"</f>
        <v>76160717</v>
      </c>
      <c r="M6281" t="s">
        <v>75</v>
      </c>
      <c r="N6281" s="1">
        <v>42898.981944444444</v>
      </c>
      <c r="O6281" t="s">
        <v>19</v>
      </c>
    </row>
    <row r="6282" spans="1:15" x14ac:dyDescent="0.25">
      <c r="A6282" t="s">
        <v>4622</v>
      </c>
      <c r="B6282" t="s">
        <v>15</v>
      </c>
      <c r="C6282" t="s">
        <v>16</v>
      </c>
      <c r="D6282" t="s">
        <v>17</v>
      </c>
      <c r="E6282" t="s">
        <v>18</v>
      </c>
      <c r="F6282" t="s">
        <v>19</v>
      </c>
      <c r="G6282" t="s">
        <v>20</v>
      </c>
      <c r="J6282" t="s">
        <v>17</v>
      </c>
      <c r="K6282" t="str">
        <f>"76160716"</f>
        <v>76160716</v>
      </c>
      <c r="L6282" t="str">
        <f>"76160716"</f>
        <v>76160716</v>
      </c>
      <c r="M6282" t="s">
        <v>75</v>
      </c>
      <c r="N6282" s="1">
        <v>42898.982638888891</v>
      </c>
      <c r="O6282" t="s">
        <v>19</v>
      </c>
    </row>
    <row r="6283" spans="1:15" x14ac:dyDescent="0.25">
      <c r="A6283" t="s">
        <v>4623</v>
      </c>
      <c r="B6283" t="s">
        <v>15</v>
      </c>
      <c r="C6283" t="s">
        <v>16</v>
      </c>
      <c r="D6283" t="s">
        <v>17</v>
      </c>
      <c r="E6283" t="s">
        <v>18</v>
      </c>
      <c r="F6283" t="s">
        <v>19</v>
      </c>
      <c r="G6283" t="s">
        <v>20</v>
      </c>
      <c r="J6283" t="s">
        <v>17</v>
      </c>
      <c r="K6283" t="str">
        <f>"76580714"</f>
        <v>76580714</v>
      </c>
      <c r="L6283" t="str">
        <f>"76580714"</f>
        <v>76580714</v>
      </c>
      <c r="M6283" t="s">
        <v>75</v>
      </c>
      <c r="N6283" s="1">
        <v>42872.847222222219</v>
      </c>
      <c r="O6283" t="s">
        <v>19</v>
      </c>
    </row>
    <row r="6284" spans="1:15" x14ac:dyDescent="0.25">
      <c r="A6284" t="s">
        <v>4624</v>
      </c>
      <c r="B6284" t="s">
        <v>15</v>
      </c>
      <c r="C6284" t="s">
        <v>32</v>
      </c>
      <c r="D6284" t="s">
        <v>17</v>
      </c>
      <c r="E6284" t="s">
        <v>18</v>
      </c>
      <c r="F6284" t="s">
        <v>19</v>
      </c>
      <c r="G6284" t="s">
        <v>20</v>
      </c>
      <c r="J6284" t="s">
        <v>17</v>
      </c>
      <c r="K6284" t="str">
        <f>"345714127"</f>
        <v>345714127</v>
      </c>
      <c r="L6284" t="str">
        <f>"345714127"</f>
        <v>345714127</v>
      </c>
      <c r="M6284" t="s">
        <v>75</v>
      </c>
      <c r="N6284" s="1">
        <v>42872.849305555559</v>
      </c>
      <c r="O6284" t="s">
        <v>19</v>
      </c>
    </row>
    <row r="6285" spans="1:15" x14ac:dyDescent="0.25">
      <c r="A6285" t="s">
        <v>4625</v>
      </c>
      <c r="B6285" t="s">
        <v>15</v>
      </c>
      <c r="C6285" t="s">
        <v>1607</v>
      </c>
      <c r="D6285" t="s">
        <v>17</v>
      </c>
      <c r="E6285" t="s">
        <v>18</v>
      </c>
      <c r="F6285" t="s">
        <v>19</v>
      </c>
      <c r="G6285" t="s">
        <v>20</v>
      </c>
      <c r="J6285" t="s">
        <v>17</v>
      </c>
      <c r="K6285" t="str">
        <f>"34680105"</f>
        <v>34680105</v>
      </c>
      <c r="L6285" t="str">
        <f>"34680105"</f>
        <v>34680105</v>
      </c>
      <c r="M6285" t="s">
        <v>75</v>
      </c>
      <c r="N6285" s="1">
        <v>42872.839583333334</v>
      </c>
      <c r="O6285" t="s">
        <v>19</v>
      </c>
    </row>
    <row r="6286" spans="1:15" x14ac:dyDescent="0.25">
      <c r="A6286" t="s">
        <v>4626</v>
      </c>
      <c r="B6286" t="s">
        <v>15</v>
      </c>
      <c r="C6286" t="s">
        <v>1607</v>
      </c>
      <c r="D6286" t="s">
        <v>17</v>
      </c>
      <c r="E6286" t="s">
        <v>18</v>
      </c>
      <c r="F6286" t="s">
        <v>19</v>
      </c>
      <c r="G6286" t="s">
        <v>20</v>
      </c>
      <c r="J6286" t="s">
        <v>17</v>
      </c>
      <c r="K6286" t="str">
        <f>"34680111"</f>
        <v>34680111</v>
      </c>
      <c r="L6286" t="str">
        <f>"34680111"</f>
        <v>34680111</v>
      </c>
      <c r="M6286" t="s">
        <v>75</v>
      </c>
      <c r="N6286" s="1">
        <v>42872.839583333334</v>
      </c>
      <c r="O6286" t="s">
        <v>19</v>
      </c>
    </row>
    <row r="6287" spans="1:15" x14ac:dyDescent="0.25">
      <c r="A6287" t="s">
        <v>4627</v>
      </c>
      <c r="B6287" t="s">
        <v>15</v>
      </c>
      <c r="C6287" t="s">
        <v>1607</v>
      </c>
      <c r="D6287" t="s">
        <v>17</v>
      </c>
      <c r="E6287" t="s">
        <v>18</v>
      </c>
      <c r="F6287" t="s">
        <v>19</v>
      </c>
      <c r="G6287" t="s">
        <v>20</v>
      </c>
      <c r="J6287" t="s">
        <v>17</v>
      </c>
      <c r="K6287" t="str">
        <f>"34680178"</f>
        <v>34680178</v>
      </c>
      <c r="L6287" t="str">
        <f>"34680178"</f>
        <v>34680178</v>
      </c>
      <c r="M6287" t="s">
        <v>75</v>
      </c>
      <c r="N6287" s="1">
        <v>42872.839583333334</v>
      </c>
      <c r="O6287" t="s">
        <v>19</v>
      </c>
    </row>
    <row r="6288" spans="1:15" x14ac:dyDescent="0.25">
      <c r="A6288" t="s">
        <v>4628</v>
      </c>
      <c r="B6288" t="s">
        <v>15</v>
      </c>
      <c r="C6288" t="s">
        <v>1607</v>
      </c>
      <c r="D6288" t="s">
        <v>17</v>
      </c>
      <c r="E6288" t="s">
        <v>18</v>
      </c>
      <c r="F6288" t="s">
        <v>19</v>
      </c>
      <c r="G6288" t="s">
        <v>20</v>
      </c>
      <c r="J6288" t="s">
        <v>17</v>
      </c>
      <c r="K6288" t="str">
        <f>"346801108"</f>
        <v>346801108</v>
      </c>
      <c r="L6288" t="str">
        <f>"346801108"</f>
        <v>346801108</v>
      </c>
      <c r="M6288" t="s">
        <v>75</v>
      </c>
      <c r="N6288" s="1">
        <v>42872.849305555559</v>
      </c>
      <c r="O6288" t="s">
        <v>19</v>
      </c>
    </row>
    <row r="6289" spans="1:15" x14ac:dyDescent="0.25">
      <c r="A6289" t="s">
        <v>4629</v>
      </c>
      <c r="B6289" t="s">
        <v>15</v>
      </c>
      <c r="C6289" t="s">
        <v>1607</v>
      </c>
      <c r="D6289" t="s">
        <v>17</v>
      </c>
      <c r="E6289" t="s">
        <v>18</v>
      </c>
      <c r="F6289" t="s">
        <v>19</v>
      </c>
      <c r="G6289" t="s">
        <v>20</v>
      </c>
      <c r="J6289" t="s">
        <v>17</v>
      </c>
      <c r="K6289" t="str">
        <f>"346801115"</f>
        <v>346801115</v>
      </c>
      <c r="L6289" t="str">
        <f>"346801115"</f>
        <v>346801115</v>
      </c>
      <c r="M6289" t="s">
        <v>75</v>
      </c>
      <c r="N6289" s="1">
        <v>42872.849305555559</v>
      </c>
      <c r="O6289" t="s">
        <v>19</v>
      </c>
    </row>
    <row r="6290" spans="1:15" x14ac:dyDescent="0.25">
      <c r="A6290" t="s">
        <v>4630</v>
      </c>
      <c r="B6290" t="s">
        <v>15</v>
      </c>
      <c r="C6290" t="s">
        <v>1607</v>
      </c>
      <c r="D6290" t="s">
        <v>17</v>
      </c>
      <c r="E6290" t="s">
        <v>18</v>
      </c>
      <c r="F6290" t="s">
        <v>19</v>
      </c>
      <c r="G6290" t="s">
        <v>20</v>
      </c>
      <c r="J6290" t="s">
        <v>17</v>
      </c>
      <c r="K6290" t="str">
        <f>"766823132"</f>
        <v>766823132</v>
      </c>
      <c r="L6290" t="str">
        <f>"766823132"</f>
        <v>766823132</v>
      </c>
      <c r="M6290" t="s">
        <v>75</v>
      </c>
      <c r="N6290" s="1">
        <v>42955.993055555555</v>
      </c>
      <c r="O6290" t="s">
        <v>19</v>
      </c>
    </row>
    <row r="6291" spans="1:15" x14ac:dyDescent="0.25">
      <c r="A6291" t="s">
        <v>4631</v>
      </c>
      <c r="B6291" t="s">
        <v>15</v>
      </c>
      <c r="C6291" t="s">
        <v>1607</v>
      </c>
      <c r="D6291" t="s">
        <v>17</v>
      </c>
      <c r="E6291" t="s">
        <v>18</v>
      </c>
      <c r="F6291" t="s">
        <v>19</v>
      </c>
      <c r="G6291" t="s">
        <v>20</v>
      </c>
      <c r="J6291" t="s">
        <v>17</v>
      </c>
      <c r="K6291" t="str">
        <f>"764921203"</f>
        <v>764921203</v>
      </c>
      <c r="L6291" t="str">
        <f>"764921203"</f>
        <v>764921203</v>
      </c>
      <c r="M6291" t="s">
        <v>75</v>
      </c>
      <c r="N6291" s="1">
        <v>42872.849305555559</v>
      </c>
      <c r="O6291" t="s">
        <v>19</v>
      </c>
    </row>
    <row r="6292" spans="1:15" x14ac:dyDescent="0.25">
      <c r="A6292" t="s">
        <v>4632</v>
      </c>
      <c r="B6292" t="s">
        <v>15</v>
      </c>
      <c r="C6292" t="s">
        <v>1607</v>
      </c>
      <c r="D6292" t="s">
        <v>17</v>
      </c>
      <c r="E6292" t="s">
        <v>18</v>
      </c>
      <c r="F6292" t="s">
        <v>19</v>
      </c>
      <c r="G6292" t="s">
        <v>20</v>
      </c>
      <c r="J6292" t="s">
        <v>17</v>
      </c>
      <c r="K6292" t="str">
        <f>"764921160"</f>
        <v>764921160</v>
      </c>
      <c r="L6292" t="str">
        <f>"764921160"</f>
        <v>764921160</v>
      </c>
      <c r="M6292" t="s">
        <v>75</v>
      </c>
      <c r="N6292" s="1">
        <v>42872.849305555559</v>
      </c>
      <c r="O6292" t="s">
        <v>19</v>
      </c>
    </row>
    <row r="6293" spans="1:15" x14ac:dyDescent="0.25">
      <c r="A6293" t="s">
        <v>4633</v>
      </c>
      <c r="B6293" t="s">
        <v>15</v>
      </c>
      <c r="C6293" t="s">
        <v>1607</v>
      </c>
      <c r="D6293" t="s">
        <v>17</v>
      </c>
      <c r="E6293" t="s">
        <v>18</v>
      </c>
      <c r="F6293" t="s">
        <v>19</v>
      </c>
      <c r="G6293" t="s">
        <v>20</v>
      </c>
      <c r="J6293" t="s">
        <v>17</v>
      </c>
      <c r="K6293" t="str">
        <f>"346821120"</f>
        <v>346821120</v>
      </c>
      <c r="L6293" t="str">
        <f>"346821120"</f>
        <v>346821120</v>
      </c>
      <c r="M6293" t="s">
        <v>75</v>
      </c>
      <c r="N6293" s="1">
        <v>42872.849305555559</v>
      </c>
      <c r="O6293" t="s">
        <v>19</v>
      </c>
    </row>
    <row r="6294" spans="1:15" x14ac:dyDescent="0.25">
      <c r="A6294" t="s">
        <v>4634</v>
      </c>
      <c r="B6294" t="s">
        <v>15</v>
      </c>
      <c r="C6294" t="s">
        <v>1607</v>
      </c>
      <c r="D6294" t="s">
        <v>17</v>
      </c>
      <c r="E6294" t="s">
        <v>18</v>
      </c>
      <c r="F6294" t="s">
        <v>19</v>
      </c>
      <c r="G6294" t="s">
        <v>20</v>
      </c>
      <c r="J6294" t="s">
        <v>17</v>
      </c>
      <c r="K6294" t="str">
        <f>"34680568"</f>
        <v>34680568</v>
      </c>
      <c r="L6294" t="str">
        <f>"34680568"</f>
        <v>34680568</v>
      </c>
      <c r="M6294" t="s">
        <v>75</v>
      </c>
      <c r="N6294" s="1">
        <v>42872.839583333334</v>
      </c>
      <c r="O6294" t="s">
        <v>19</v>
      </c>
    </row>
    <row r="6295" spans="1:15" x14ac:dyDescent="0.25">
      <c r="A6295" t="s">
        <v>4635</v>
      </c>
      <c r="B6295" t="s">
        <v>15</v>
      </c>
      <c r="C6295" t="s">
        <v>1607</v>
      </c>
      <c r="D6295" t="s">
        <v>17</v>
      </c>
      <c r="E6295" t="s">
        <v>18</v>
      </c>
      <c r="F6295" t="s">
        <v>19</v>
      </c>
      <c r="G6295" t="s">
        <v>20</v>
      </c>
      <c r="J6295" t="s">
        <v>17</v>
      </c>
      <c r="K6295" t="str">
        <f>"34680569"</f>
        <v>34680569</v>
      </c>
      <c r="L6295" t="str">
        <f>"34680569"</f>
        <v>34680569</v>
      </c>
      <c r="M6295" t="s">
        <v>75</v>
      </c>
      <c r="N6295" s="1">
        <v>42872.839583333334</v>
      </c>
      <c r="O6295" t="s">
        <v>19</v>
      </c>
    </row>
    <row r="6296" spans="1:15" x14ac:dyDescent="0.25">
      <c r="A6296" t="s">
        <v>4635</v>
      </c>
      <c r="B6296" t="s">
        <v>15</v>
      </c>
      <c r="C6296" t="s">
        <v>1607</v>
      </c>
      <c r="D6296" t="s">
        <v>17</v>
      </c>
      <c r="E6296" t="s">
        <v>18</v>
      </c>
      <c r="F6296" t="s">
        <v>19</v>
      </c>
      <c r="G6296" t="s">
        <v>20</v>
      </c>
      <c r="J6296" t="s">
        <v>17</v>
      </c>
      <c r="K6296" t="str">
        <f>"76680569"</f>
        <v>76680569</v>
      </c>
      <c r="L6296" t="str">
        <f>"76680569"</f>
        <v>76680569</v>
      </c>
      <c r="M6296" t="s">
        <v>75</v>
      </c>
      <c r="N6296" s="1">
        <v>42872.847222222219</v>
      </c>
      <c r="O6296" t="s">
        <v>19</v>
      </c>
    </row>
    <row r="6297" spans="1:15" x14ac:dyDescent="0.25">
      <c r="A6297" t="s">
        <v>4636</v>
      </c>
      <c r="B6297" t="s">
        <v>15</v>
      </c>
      <c r="C6297" t="s">
        <v>1607</v>
      </c>
      <c r="D6297" t="s">
        <v>17</v>
      </c>
      <c r="E6297" t="s">
        <v>18</v>
      </c>
      <c r="F6297" t="s">
        <v>19</v>
      </c>
      <c r="G6297" t="s">
        <v>20</v>
      </c>
      <c r="J6297" t="s">
        <v>17</v>
      </c>
      <c r="K6297" t="str">
        <f>"34680570"</f>
        <v>34680570</v>
      </c>
      <c r="L6297" t="str">
        <f>"34680570"</f>
        <v>34680570</v>
      </c>
      <c r="M6297" t="s">
        <v>75</v>
      </c>
      <c r="N6297" s="1">
        <v>42872.839583333334</v>
      </c>
      <c r="O6297" t="s">
        <v>19</v>
      </c>
    </row>
    <row r="6298" spans="1:15" x14ac:dyDescent="0.25">
      <c r="A6298" t="s">
        <v>4637</v>
      </c>
      <c r="B6298" t="s">
        <v>15</v>
      </c>
      <c r="C6298" t="s">
        <v>1607</v>
      </c>
      <c r="D6298" t="s">
        <v>17</v>
      </c>
      <c r="E6298" t="s">
        <v>18</v>
      </c>
      <c r="F6298" t="s">
        <v>19</v>
      </c>
      <c r="G6298" t="s">
        <v>20</v>
      </c>
      <c r="J6298" t="s">
        <v>17</v>
      </c>
      <c r="K6298" t="str">
        <f>"764905216"</f>
        <v>764905216</v>
      </c>
      <c r="L6298" t="str">
        <f>"764905216"</f>
        <v>764905216</v>
      </c>
      <c r="M6298" t="s">
        <v>75</v>
      </c>
      <c r="N6298" s="1">
        <v>42872.849305555559</v>
      </c>
      <c r="O6298" t="s">
        <v>19</v>
      </c>
    </row>
    <row r="6299" spans="1:15" x14ac:dyDescent="0.25">
      <c r="A6299" t="s">
        <v>4638</v>
      </c>
      <c r="B6299" t="s">
        <v>15</v>
      </c>
      <c r="C6299" t="s">
        <v>1607</v>
      </c>
      <c r="D6299" t="s">
        <v>17</v>
      </c>
      <c r="E6299" t="s">
        <v>18</v>
      </c>
      <c r="F6299" t="s">
        <v>19</v>
      </c>
      <c r="G6299" t="s">
        <v>20</v>
      </c>
      <c r="J6299" t="s">
        <v>17</v>
      </c>
      <c r="K6299" t="str">
        <f>"764905196"</f>
        <v>764905196</v>
      </c>
      <c r="L6299" t="str">
        <f>"764905196"</f>
        <v>764905196</v>
      </c>
      <c r="M6299" t="s">
        <v>75</v>
      </c>
      <c r="N6299" s="1">
        <v>42872.849305555559</v>
      </c>
      <c r="O6299" t="s">
        <v>19</v>
      </c>
    </row>
    <row r="6300" spans="1:15" x14ac:dyDescent="0.25">
      <c r="A6300" t="s">
        <v>4639</v>
      </c>
      <c r="B6300" t="s">
        <v>15</v>
      </c>
      <c r="C6300" t="s">
        <v>1607</v>
      </c>
      <c r="D6300" t="s">
        <v>17</v>
      </c>
      <c r="E6300" t="s">
        <v>18</v>
      </c>
      <c r="F6300" t="s">
        <v>19</v>
      </c>
      <c r="G6300" t="s">
        <v>20</v>
      </c>
      <c r="J6300" t="s">
        <v>17</v>
      </c>
      <c r="K6300" t="str">
        <f>"766805197"</f>
        <v>766805197</v>
      </c>
      <c r="L6300" t="str">
        <f>"766805197"</f>
        <v>766805197</v>
      </c>
      <c r="M6300" t="s">
        <v>75</v>
      </c>
      <c r="N6300" s="1">
        <v>43097.694444444445</v>
      </c>
      <c r="O6300" t="s">
        <v>19</v>
      </c>
    </row>
    <row r="6301" spans="1:15" x14ac:dyDescent="0.25">
      <c r="A6301" t="s">
        <v>4640</v>
      </c>
      <c r="B6301" t="s">
        <v>15</v>
      </c>
      <c r="C6301" t="s">
        <v>1607</v>
      </c>
      <c r="D6301" t="s">
        <v>17</v>
      </c>
      <c r="E6301" t="s">
        <v>18</v>
      </c>
      <c r="F6301" t="s">
        <v>19</v>
      </c>
      <c r="G6301" t="s">
        <v>20</v>
      </c>
      <c r="J6301" t="s">
        <v>17</v>
      </c>
      <c r="K6301" t="str">
        <f>"766805310"</f>
        <v>766805310</v>
      </c>
      <c r="L6301" t="str">
        <f>"766805310"</f>
        <v>766805310</v>
      </c>
      <c r="M6301" t="s">
        <v>75</v>
      </c>
      <c r="N6301" s="1">
        <v>43112.776388888888</v>
      </c>
      <c r="O6301" t="s">
        <v>19</v>
      </c>
    </row>
    <row r="6302" spans="1:15" x14ac:dyDescent="0.25">
      <c r="A6302" t="s">
        <v>4640</v>
      </c>
      <c r="B6302" t="s">
        <v>15</v>
      </c>
      <c r="C6302" t="s">
        <v>1607</v>
      </c>
      <c r="D6302" t="s">
        <v>17</v>
      </c>
      <c r="E6302" t="s">
        <v>18</v>
      </c>
      <c r="F6302" t="s">
        <v>19</v>
      </c>
      <c r="G6302" t="s">
        <v>20</v>
      </c>
      <c r="J6302" t="s">
        <v>17</v>
      </c>
      <c r="K6302" t="str">
        <f>"766805321"</f>
        <v>766805321</v>
      </c>
      <c r="L6302" t="str">
        <f>"766805321"</f>
        <v>766805321</v>
      </c>
      <c r="M6302" t="s">
        <v>75</v>
      </c>
      <c r="N6302" s="1">
        <v>43218.88958333333</v>
      </c>
      <c r="O6302" t="s">
        <v>19</v>
      </c>
    </row>
    <row r="6303" spans="1:15" x14ac:dyDescent="0.25">
      <c r="A6303" t="s">
        <v>4640</v>
      </c>
      <c r="B6303" t="s">
        <v>15</v>
      </c>
      <c r="C6303" t="s">
        <v>1607</v>
      </c>
      <c r="D6303" t="s">
        <v>17</v>
      </c>
      <c r="E6303" t="s">
        <v>18</v>
      </c>
      <c r="F6303" t="s">
        <v>19</v>
      </c>
      <c r="G6303" t="s">
        <v>20</v>
      </c>
      <c r="J6303" t="s">
        <v>17</v>
      </c>
      <c r="K6303" t="str">
        <f>"764905321"</f>
        <v>764905321</v>
      </c>
      <c r="L6303" t="str">
        <f>"764905321"</f>
        <v>764905321</v>
      </c>
      <c r="M6303" t="s">
        <v>84</v>
      </c>
      <c r="N6303" s="1">
        <v>43286.963194444441</v>
      </c>
      <c r="O6303" t="s">
        <v>19</v>
      </c>
    </row>
    <row r="6304" spans="1:15" x14ac:dyDescent="0.25">
      <c r="A6304" t="s">
        <v>4640</v>
      </c>
      <c r="B6304" t="s">
        <v>15</v>
      </c>
      <c r="C6304" t="s">
        <v>1607</v>
      </c>
      <c r="D6304" t="s">
        <v>17</v>
      </c>
      <c r="E6304" t="s">
        <v>18</v>
      </c>
      <c r="F6304" t="s">
        <v>19</v>
      </c>
      <c r="G6304" t="s">
        <v>20</v>
      </c>
      <c r="J6304" t="s">
        <v>17</v>
      </c>
      <c r="K6304" t="str">
        <f>"864905321"</f>
        <v>864905321</v>
      </c>
      <c r="L6304" t="str">
        <f>"864905321"</f>
        <v>864905321</v>
      </c>
      <c r="M6304" t="s">
        <v>84</v>
      </c>
      <c r="N6304" s="1">
        <v>43367.906944444447</v>
      </c>
      <c r="O6304" t="s">
        <v>19</v>
      </c>
    </row>
    <row r="6305" spans="1:15" x14ac:dyDescent="0.25">
      <c r="A6305" t="s">
        <v>4641</v>
      </c>
      <c r="B6305" t="s">
        <v>15</v>
      </c>
      <c r="C6305" t="s">
        <v>1607</v>
      </c>
      <c r="D6305" t="s">
        <v>17</v>
      </c>
      <c r="E6305" t="s">
        <v>18</v>
      </c>
      <c r="F6305" t="s">
        <v>19</v>
      </c>
      <c r="G6305" t="s">
        <v>20</v>
      </c>
      <c r="J6305" t="s">
        <v>17</v>
      </c>
      <c r="K6305" t="str">
        <f>"76680533"</f>
        <v>76680533</v>
      </c>
      <c r="L6305" t="str">
        <f>"76680533"</f>
        <v>76680533</v>
      </c>
      <c r="M6305" t="s">
        <v>75</v>
      </c>
      <c r="N6305" s="1">
        <v>43218.888194444444</v>
      </c>
      <c r="O6305" t="s">
        <v>19</v>
      </c>
    </row>
    <row r="6306" spans="1:15" x14ac:dyDescent="0.25">
      <c r="A6306" t="s">
        <v>4642</v>
      </c>
      <c r="B6306" t="s">
        <v>15</v>
      </c>
      <c r="C6306" t="s">
        <v>1607</v>
      </c>
      <c r="D6306" t="s">
        <v>17</v>
      </c>
      <c r="E6306" t="s">
        <v>18</v>
      </c>
      <c r="F6306" t="s">
        <v>19</v>
      </c>
      <c r="G6306" t="s">
        <v>20</v>
      </c>
      <c r="J6306" t="s">
        <v>17</v>
      </c>
      <c r="K6306" t="str">
        <f>"3820181069002"</f>
        <v>3820181069002</v>
      </c>
      <c r="L6306" t="str">
        <f>"344905307"</f>
        <v>344905307</v>
      </c>
      <c r="M6306" t="s">
        <v>84</v>
      </c>
      <c r="N6306" s="1">
        <v>43528.763888888891</v>
      </c>
      <c r="O6306" t="s">
        <v>19</v>
      </c>
    </row>
    <row r="6307" spans="1:15" x14ac:dyDescent="0.25">
      <c r="A6307" t="s">
        <v>4642</v>
      </c>
      <c r="B6307" t="s">
        <v>15</v>
      </c>
      <c r="C6307" t="s">
        <v>1607</v>
      </c>
      <c r="D6307" t="s">
        <v>17</v>
      </c>
      <c r="E6307" t="s">
        <v>18</v>
      </c>
      <c r="F6307" t="s">
        <v>19</v>
      </c>
      <c r="G6307" t="s">
        <v>20</v>
      </c>
      <c r="J6307" t="s">
        <v>17</v>
      </c>
      <c r="K6307" t="str">
        <f>"764905307"</f>
        <v>764905307</v>
      </c>
      <c r="L6307" t="str">
        <f>"764905307"</f>
        <v>764905307</v>
      </c>
      <c r="M6307" t="s">
        <v>21</v>
      </c>
      <c r="N6307" s="1">
        <v>43722.592361111114</v>
      </c>
      <c r="O6307" t="s">
        <v>19</v>
      </c>
    </row>
    <row r="6308" spans="1:15" x14ac:dyDescent="0.25">
      <c r="A6308" t="s">
        <v>4643</v>
      </c>
      <c r="B6308" t="s">
        <v>15</v>
      </c>
      <c r="C6308" t="s">
        <v>1607</v>
      </c>
      <c r="D6308" t="s">
        <v>17</v>
      </c>
      <c r="E6308" t="s">
        <v>18</v>
      </c>
      <c r="F6308" t="s">
        <v>19</v>
      </c>
      <c r="G6308" t="s">
        <v>20</v>
      </c>
      <c r="J6308" t="s">
        <v>17</v>
      </c>
      <c r="K6308" t="str">
        <f>"34680529"</f>
        <v>34680529</v>
      </c>
      <c r="L6308" t="str">
        <f>"34680529"</f>
        <v>34680529</v>
      </c>
      <c r="M6308" t="s">
        <v>75</v>
      </c>
      <c r="N6308" s="1">
        <v>42872.839583333334</v>
      </c>
      <c r="O6308" t="s">
        <v>19</v>
      </c>
    </row>
    <row r="6309" spans="1:15" x14ac:dyDescent="0.25">
      <c r="A6309" t="s">
        <v>4644</v>
      </c>
      <c r="B6309" t="s">
        <v>15</v>
      </c>
      <c r="C6309" t="s">
        <v>1607</v>
      </c>
      <c r="D6309" t="s">
        <v>17</v>
      </c>
      <c r="E6309" t="s">
        <v>18</v>
      </c>
      <c r="F6309" t="s">
        <v>19</v>
      </c>
      <c r="G6309" t="s">
        <v>20</v>
      </c>
      <c r="J6309" t="s">
        <v>17</v>
      </c>
      <c r="K6309" t="str">
        <f>"766805294"</f>
        <v>766805294</v>
      </c>
      <c r="L6309" t="str">
        <f>"766805294"</f>
        <v>766805294</v>
      </c>
      <c r="M6309" t="s">
        <v>75</v>
      </c>
      <c r="N6309" s="1">
        <v>42872.849305555559</v>
      </c>
      <c r="O6309" t="s">
        <v>19</v>
      </c>
    </row>
    <row r="6310" spans="1:15" x14ac:dyDescent="0.25">
      <c r="A6310" t="s">
        <v>4645</v>
      </c>
      <c r="B6310" t="s">
        <v>15</v>
      </c>
      <c r="C6310" t="s">
        <v>1607</v>
      </c>
      <c r="D6310" t="s">
        <v>17</v>
      </c>
      <c r="E6310" t="s">
        <v>18</v>
      </c>
      <c r="F6310" t="s">
        <v>19</v>
      </c>
      <c r="G6310" t="s">
        <v>20</v>
      </c>
      <c r="J6310" t="s">
        <v>17</v>
      </c>
      <c r="K6310" t="str">
        <f>"176805295"</f>
        <v>176805295</v>
      </c>
      <c r="L6310" t="str">
        <f>"176805295"</f>
        <v>176805295</v>
      </c>
      <c r="M6310" t="s">
        <v>75</v>
      </c>
      <c r="N6310" s="1">
        <v>42872.849305555559</v>
      </c>
      <c r="O6310" t="s">
        <v>19</v>
      </c>
    </row>
    <row r="6311" spans="1:15" x14ac:dyDescent="0.25">
      <c r="A6311" t="s">
        <v>4645</v>
      </c>
      <c r="B6311" t="s">
        <v>15</v>
      </c>
      <c r="C6311" t="s">
        <v>1607</v>
      </c>
      <c r="D6311" t="s">
        <v>17</v>
      </c>
      <c r="E6311" t="s">
        <v>18</v>
      </c>
      <c r="F6311" t="s">
        <v>19</v>
      </c>
      <c r="G6311" t="s">
        <v>20</v>
      </c>
      <c r="J6311" t="s">
        <v>17</v>
      </c>
      <c r="K6311" t="str">
        <f>"766805295"</f>
        <v>766805295</v>
      </c>
      <c r="L6311" t="str">
        <f>"766805295"</f>
        <v>766805295</v>
      </c>
      <c r="M6311" t="s">
        <v>75</v>
      </c>
      <c r="N6311" s="1">
        <v>42872.849305555559</v>
      </c>
      <c r="O6311" t="s">
        <v>19</v>
      </c>
    </row>
    <row r="6312" spans="1:15" x14ac:dyDescent="0.25">
      <c r="A6312" t="s">
        <v>4645</v>
      </c>
      <c r="B6312" t="s">
        <v>15</v>
      </c>
      <c r="C6312" t="s">
        <v>1607</v>
      </c>
      <c r="D6312" t="s">
        <v>17</v>
      </c>
      <c r="E6312" t="s">
        <v>18</v>
      </c>
      <c r="F6312" t="s">
        <v>19</v>
      </c>
      <c r="G6312" t="s">
        <v>20</v>
      </c>
      <c r="J6312" t="s">
        <v>17</v>
      </c>
      <c r="K6312" t="str">
        <f>"346805295"</f>
        <v>346805295</v>
      </c>
      <c r="L6312" t="str">
        <f>"346805295"</f>
        <v>346805295</v>
      </c>
      <c r="M6312" t="s">
        <v>84</v>
      </c>
      <c r="N6312" s="1">
        <v>43409.920138888891</v>
      </c>
      <c r="O6312" t="s">
        <v>19</v>
      </c>
    </row>
    <row r="6313" spans="1:15" x14ac:dyDescent="0.25">
      <c r="A6313" t="s">
        <v>4645</v>
      </c>
      <c r="B6313" t="s">
        <v>15</v>
      </c>
      <c r="C6313" t="s">
        <v>1607</v>
      </c>
      <c r="D6313" t="s">
        <v>17</v>
      </c>
      <c r="E6313" t="s">
        <v>18</v>
      </c>
      <c r="F6313" t="s">
        <v>19</v>
      </c>
      <c r="G6313" t="s">
        <v>20</v>
      </c>
      <c r="J6313" t="s">
        <v>17</v>
      </c>
      <c r="K6313" t="str">
        <f>"76685295"</f>
        <v>76685295</v>
      </c>
      <c r="L6313" t="str">
        <f>"76685295"</f>
        <v>76685295</v>
      </c>
      <c r="M6313" t="s">
        <v>21</v>
      </c>
      <c r="N6313" s="1">
        <v>43005.790277777778</v>
      </c>
      <c r="O6313" t="s">
        <v>33</v>
      </c>
    </row>
    <row r="6314" spans="1:15" x14ac:dyDescent="0.25">
      <c r="A6314" t="s">
        <v>4646</v>
      </c>
      <c r="B6314" t="s">
        <v>15</v>
      </c>
      <c r="C6314" t="s">
        <v>1607</v>
      </c>
      <c r="D6314" t="s">
        <v>17</v>
      </c>
      <c r="E6314" t="s">
        <v>18</v>
      </c>
      <c r="F6314" t="s">
        <v>19</v>
      </c>
      <c r="G6314" t="s">
        <v>20</v>
      </c>
      <c r="J6314" t="s">
        <v>17</v>
      </c>
      <c r="K6314" t="str">
        <f>"76490598"</f>
        <v>76490598</v>
      </c>
      <c r="L6314" t="str">
        <f>"76490598"</f>
        <v>76490598</v>
      </c>
      <c r="M6314" t="s">
        <v>75</v>
      </c>
      <c r="N6314" s="1">
        <v>42872.847222222219</v>
      </c>
      <c r="O6314" t="s">
        <v>19</v>
      </c>
    </row>
    <row r="6315" spans="1:15" x14ac:dyDescent="0.25">
      <c r="A6315" t="s">
        <v>4647</v>
      </c>
      <c r="B6315" t="s">
        <v>15</v>
      </c>
      <c r="C6315" t="s">
        <v>1607</v>
      </c>
      <c r="D6315" t="s">
        <v>17</v>
      </c>
      <c r="E6315" t="s">
        <v>18</v>
      </c>
      <c r="F6315" t="s">
        <v>19</v>
      </c>
      <c r="G6315" t="s">
        <v>20</v>
      </c>
      <c r="J6315" t="s">
        <v>17</v>
      </c>
      <c r="K6315" t="str">
        <f>"766805296"</f>
        <v>766805296</v>
      </c>
      <c r="L6315" t="str">
        <f>"766805296"</f>
        <v>766805296</v>
      </c>
      <c r="M6315" t="s">
        <v>75</v>
      </c>
      <c r="N6315" s="1">
        <v>42872.849305555559</v>
      </c>
      <c r="O6315" t="s">
        <v>19</v>
      </c>
    </row>
    <row r="6316" spans="1:15" x14ac:dyDescent="0.25">
      <c r="A6316" t="s">
        <v>4647</v>
      </c>
      <c r="B6316" t="s">
        <v>15</v>
      </c>
      <c r="C6316" t="s">
        <v>1607</v>
      </c>
      <c r="D6316" t="s">
        <v>17</v>
      </c>
      <c r="E6316" t="s">
        <v>18</v>
      </c>
      <c r="F6316" t="s">
        <v>19</v>
      </c>
      <c r="G6316" t="s">
        <v>20</v>
      </c>
      <c r="J6316" t="s">
        <v>17</v>
      </c>
      <c r="K6316" t="str">
        <f>"174905296"</f>
        <v>174905296</v>
      </c>
      <c r="L6316" t="str">
        <f>"174905296"</f>
        <v>174905296</v>
      </c>
      <c r="M6316" t="s">
        <v>75</v>
      </c>
      <c r="N6316" s="1">
        <v>43132.64166666667</v>
      </c>
      <c r="O6316" t="s">
        <v>19</v>
      </c>
    </row>
    <row r="6317" spans="1:15" x14ac:dyDescent="0.25">
      <c r="A6317" t="s">
        <v>4647</v>
      </c>
      <c r="B6317" t="s">
        <v>15</v>
      </c>
      <c r="C6317" t="s">
        <v>1607</v>
      </c>
      <c r="D6317" t="s">
        <v>17</v>
      </c>
      <c r="E6317" t="s">
        <v>18</v>
      </c>
      <c r="F6317" t="s">
        <v>19</v>
      </c>
      <c r="G6317" t="s">
        <v>20</v>
      </c>
      <c r="J6317" t="s">
        <v>17</v>
      </c>
      <c r="K6317" t="str">
        <f>"175705296"</f>
        <v>175705296</v>
      </c>
      <c r="L6317" t="str">
        <f>"175705296"</f>
        <v>175705296</v>
      </c>
      <c r="M6317" t="s">
        <v>75</v>
      </c>
      <c r="N6317" s="1">
        <v>43132.692361111112</v>
      </c>
      <c r="O6317" t="s">
        <v>19</v>
      </c>
    </row>
    <row r="6318" spans="1:15" x14ac:dyDescent="0.25">
      <c r="A6318" t="s">
        <v>4647</v>
      </c>
      <c r="B6318" t="s">
        <v>15</v>
      </c>
      <c r="C6318" t="s">
        <v>1607</v>
      </c>
      <c r="D6318" t="s">
        <v>17</v>
      </c>
      <c r="E6318" t="s">
        <v>18</v>
      </c>
      <c r="F6318" t="s">
        <v>19</v>
      </c>
      <c r="G6318" t="s">
        <v>20</v>
      </c>
      <c r="J6318" t="s">
        <v>17</v>
      </c>
      <c r="K6318" t="str">
        <f>"765705296"</f>
        <v>765705296</v>
      </c>
      <c r="L6318" t="str">
        <f>"765705296"</f>
        <v>765705296</v>
      </c>
      <c r="M6318" t="s">
        <v>75</v>
      </c>
      <c r="N6318" s="1">
        <v>43132.750694444447</v>
      </c>
      <c r="O6318" t="s">
        <v>19</v>
      </c>
    </row>
    <row r="6319" spans="1:15" x14ac:dyDescent="0.25">
      <c r="A6319" t="s">
        <v>4648</v>
      </c>
      <c r="B6319" t="s">
        <v>15</v>
      </c>
      <c r="C6319" t="s">
        <v>1607</v>
      </c>
      <c r="D6319" t="s">
        <v>17</v>
      </c>
      <c r="E6319" t="s">
        <v>18</v>
      </c>
      <c r="F6319" t="s">
        <v>19</v>
      </c>
      <c r="G6319" t="s">
        <v>20</v>
      </c>
      <c r="J6319" t="s">
        <v>17</v>
      </c>
      <c r="K6319" t="str">
        <f>"766805297"</f>
        <v>766805297</v>
      </c>
      <c r="L6319" t="str">
        <f>"766805297"</f>
        <v>766805297</v>
      </c>
      <c r="M6319" t="s">
        <v>75</v>
      </c>
      <c r="N6319" s="1">
        <v>42872.849305555559</v>
      </c>
      <c r="O6319" t="s">
        <v>19</v>
      </c>
    </row>
    <row r="6320" spans="1:15" x14ac:dyDescent="0.25">
      <c r="A6320" t="s">
        <v>4648</v>
      </c>
      <c r="B6320" t="s">
        <v>15</v>
      </c>
      <c r="C6320" t="s">
        <v>1607</v>
      </c>
      <c r="D6320" t="s">
        <v>17</v>
      </c>
      <c r="E6320" t="s">
        <v>18</v>
      </c>
      <c r="F6320" t="s">
        <v>19</v>
      </c>
      <c r="G6320" t="s">
        <v>20</v>
      </c>
      <c r="J6320" t="s">
        <v>17</v>
      </c>
      <c r="K6320" t="str">
        <f>"764905297"</f>
        <v>764905297</v>
      </c>
      <c r="L6320" t="str">
        <f>"764905297"</f>
        <v>764905297</v>
      </c>
      <c r="M6320" t="s">
        <v>75</v>
      </c>
      <c r="N6320" s="1">
        <v>43179.666666666664</v>
      </c>
      <c r="O6320" t="s">
        <v>19</v>
      </c>
    </row>
    <row r="6321" spans="1:15" x14ac:dyDescent="0.25">
      <c r="A6321" t="s">
        <v>4649</v>
      </c>
      <c r="B6321" t="s">
        <v>15</v>
      </c>
      <c r="C6321" t="s">
        <v>1607</v>
      </c>
      <c r="D6321" t="s">
        <v>17</v>
      </c>
      <c r="E6321" t="s">
        <v>18</v>
      </c>
      <c r="F6321" t="s">
        <v>19</v>
      </c>
      <c r="G6321" t="s">
        <v>20</v>
      </c>
      <c r="J6321" t="s">
        <v>17</v>
      </c>
      <c r="K6321" t="str">
        <f>"766805300"</f>
        <v>766805300</v>
      </c>
      <c r="L6321" t="str">
        <f>"766805300"</f>
        <v>766805300</v>
      </c>
      <c r="M6321" t="s">
        <v>75</v>
      </c>
      <c r="N6321" s="1">
        <v>43237.65625</v>
      </c>
      <c r="O6321" t="s">
        <v>19</v>
      </c>
    </row>
    <row r="6322" spans="1:15" x14ac:dyDescent="0.25">
      <c r="A6322" t="s">
        <v>4649</v>
      </c>
      <c r="B6322" t="s">
        <v>15</v>
      </c>
      <c r="C6322" t="s">
        <v>1607</v>
      </c>
      <c r="D6322" t="s">
        <v>17</v>
      </c>
      <c r="E6322" t="s">
        <v>18</v>
      </c>
      <c r="F6322" t="s">
        <v>19</v>
      </c>
      <c r="G6322" t="s">
        <v>20</v>
      </c>
      <c r="J6322" t="s">
        <v>17</v>
      </c>
      <c r="K6322" t="str">
        <f>"346805300"</f>
        <v>346805300</v>
      </c>
      <c r="L6322" t="str">
        <f>"346805300"</f>
        <v>346805300</v>
      </c>
      <c r="M6322" t="s">
        <v>75</v>
      </c>
      <c r="N6322" s="1">
        <v>43237.877083333333</v>
      </c>
      <c r="O6322" t="s">
        <v>19</v>
      </c>
    </row>
    <row r="6323" spans="1:15" x14ac:dyDescent="0.25">
      <c r="A6323" t="s">
        <v>4650</v>
      </c>
      <c r="B6323" t="s">
        <v>15</v>
      </c>
      <c r="C6323" t="s">
        <v>1607</v>
      </c>
      <c r="D6323" t="s">
        <v>17</v>
      </c>
      <c r="E6323" t="s">
        <v>18</v>
      </c>
      <c r="F6323" t="s">
        <v>19</v>
      </c>
      <c r="G6323" t="s">
        <v>20</v>
      </c>
      <c r="J6323" t="s">
        <v>17</v>
      </c>
      <c r="K6323" t="str">
        <f>"766805302"</f>
        <v>766805302</v>
      </c>
      <c r="L6323" t="str">
        <f>"766805302"</f>
        <v>766805302</v>
      </c>
      <c r="M6323" t="s">
        <v>75</v>
      </c>
      <c r="N6323" s="1">
        <v>43237.65347222222</v>
      </c>
      <c r="O6323" t="s">
        <v>19</v>
      </c>
    </row>
    <row r="6324" spans="1:15" x14ac:dyDescent="0.25">
      <c r="A6324" t="s">
        <v>4650</v>
      </c>
      <c r="B6324" t="s">
        <v>15</v>
      </c>
      <c r="C6324" t="s">
        <v>1607</v>
      </c>
      <c r="D6324" t="s">
        <v>17</v>
      </c>
      <c r="E6324" t="s">
        <v>18</v>
      </c>
      <c r="F6324" t="s">
        <v>19</v>
      </c>
      <c r="G6324" t="s">
        <v>20</v>
      </c>
      <c r="J6324" t="s">
        <v>17</v>
      </c>
      <c r="K6324" t="str">
        <f>"346805305"</f>
        <v>346805305</v>
      </c>
      <c r="L6324" t="str">
        <f>"346805305"</f>
        <v>346805305</v>
      </c>
      <c r="M6324" t="s">
        <v>75</v>
      </c>
      <c r="N6324" s="1">
        <v>43237.879166666666</v>
      </c>
      <c r="O6324" t="s">
        <v>19</v>
      </c>
    </row>
    <row r="6325" spans="1:15" x14ac:dyDescent="0.25">
      <c r="A6325" t="s">
        <v>4651</v>
      </c>
      <c r="B6325" t="s">
        <v>15</v>
      </c>
      <c r="C6325" t="s">
        <v>1607</v>
      </c>
      <c r="D6325" t="s">
        <v>17</v>
      </c>
      <c r="E6325" t="s">
        <v>18</v>
      </c>
      <c r="F6325" t="s">
        <v>19</v>
      </c>
      <c r="G6325" t="s">
        <v>20</v>
      </c>
      <c r="J6325" t="s">
        <v>17</v>
      </c>
      <c r="K6325" t="str">
        <f>"764905316"</f>
        <v>764905316</v>
      </c>
      <c r="L6325" t="str">
        <f>"764905316"</f>
        <v>764905316</v>
      </c>
      <c r="M6325" t="s">
        <v>21</v>
      </c>
      <c r="N6325" s="1">
        <v>44251.86041666667</v>
      </c>
      <c r="O6325" t="s">
        <v>19</v>
      </c>
    </row>
    <row r="6326" spans="1:15" x14ac:dyDescent="0.25">
      <c r="A6326" t="s">
        <v>4652</v>
      </c>
      <c r="B6326" t="s">
        <v>15</v>
      </c>
      <c r="C6326" t="s">
        <v>1607</v>
      </c>
      <c r="D6326" t="s">
        <v>17</v>
      </c>
      <c r="E6326" t="s">
        <v>18</v>
      </c>
      <c r="F6326" t="s">
        <v>19</v>
      </c>
      <c r="G6326" t="s">
        <v>20</v>
      </c>
      <c r="J6326" t="s">
        <v>17</v>
      </c>
      <c r="K6326" t="str">
        <f>"766805303"</f>
        <v>766805303</v>
      </c>
      <c r="L6326" t="str">
        <f>"766805303"</f>
        <v>766805303</v>
      </c>
      <c r="M6326" t="s">
        <v>75</v>
      </c>
      <c r="N6326" s="1">
        <v>43237.655555555553</v>
      </c>
      <c r="O6326" t="s">
        <v>19</v>
      </c>
    </row>
    <row r="6327" spans="1:15" x14ac:dyDescent="0.25">
      <c r="A6327" t="s">
        <v>4652</v>
      </c>
      <c r="B6327" t="s">
        <v>15</v>
      </c>
      <c r="C6327" t="s">
        <v>1607</v>
      </c>
      <c r="D6327" t="s">
        <v>17</v>
      </c>
      <c r="E6327" t="s">
        <v>18</v>
      </c>
      <c r="F6327" t="s">
        <v>19</v>
      </c>
      <c r="G6327" t="s">
        <v>20</v>
      </c>
      <c r="J6327" t="s">
        <v>17</v>
      </c>
      <c r="K6327" t="str">
        <f>"764905303"</f>
        <v>764905303</v>
      </c>
      <c r="L6327" t="str">
        <f>"764905303"</f>
        <v>764905303</v>
      </c>
      <c r="M6327" t="s">
        <v>84</v>
      </c>
      <c r="N6327" s="1">
        <v>43370.691666666666</v>
      </c>
      <c r="O6327" t="s">
        <v>19</v>
      </c>
    </row>
    <row r="6328" spans="1:15" x14ac:dyDescent="0.25">
      <c r="A6328" t="s">
        <v>4652</v>
      </c>
      <c r="B6328" t="s">
        <v>15</v>
      </c>
      <c r="C6328" t="s">
        <v>1607</v>
      </c>
      <c r="D6328" t="s">
        <v>17</v>
      </c>
      <c r="E6328" t="s">
        <v>18</v>
      </c>
      <c r="F6328" t="s">
        <v>19</v>
      </c>
      <c r="G6328" t="s">
        <v>20</v>
      </c>
      <c r="J6328" t="s">
        <v>17</v>
      </c>
      <c r="K6328" t="str">
        <f>"614905303"</f>
        <v>614905303</v>
      </c>
      <c r="L6328" t="str">
        <f>"614905303"</f>
        <v>614905303</v>
      </c>
      <c r="M6328" t="s">
        <v>84</v>
      </c>
      <c r="N6328" s="1">
        <v>43420.701388888891</v>
      </c>
      <c r="O6328" t="s">
        <v>19</v>
      </c>
    </row>
    <row r="6329" spans="1:15" x14ac:dyDescent="0.25">
      <c r="A6329" t="s">
        <v>4652</v>
      </c>
      <c r="B6329" t="s">
        <v>15</v>
      </c>
      <c r="C6329" t="s">
        <v>1607</v>
      </c>
      <c r="D6329" t="s">
        <v>17</v>
      </c>
      <c r="E6329" t="s">
        <v>18</v>
      </c>
      <c r="F6329" t="s">
        <v>19</v>
      </c>
      <c r="G6329" t="s">
        <v>20</v>
      </c>
      <c r="J6329" t="s">
        <v>17</v>
      </c>
      <c r="K6329" t="str">
        <f>"202006101117"</f>
        <v>202006101117</v>
      </c>
      <c r="L6329" t="str">
        <f>"184905328"</f>
        <v>184905328</v>
      </c>
      <c r="M6329" t="s">
        <v>21</v>
      </c>
      <c r="N6329" s="1">
        <v>43649.656944444447</v>
      </c>
      <c r="O6329" t="s">
        <v>19</v>
      </c>
    </row>
    <row r="6330" spans="1:15" x14ac:dyDescent="0.25">
      <c r="A6330" t="s">
        <v>4652</v>
      </c>
      <c r="B6330" t="s">
        <v>15</v>
      </c>
      <c r="C6330" t="s">
        <v>1607</v>
      </c>
      <c r="D6330" t="s">
        <v>17</v>
      </c>
      <c r="E6330" t="s">
        <v>18</v>
      </c>
      <c r="F6330" t="s">
        <v>19</v>
      </c>
      <c r="G6330" t="s">
        <v>20</v>
      </c>
      <c r="J6330" t="s">
        <v>17</v>
      </c>
      <c r="K6330" t="str">
        <f>"2019512588043"</f>
        <v>2019512588043</v>
      </c>
      <c r="L6330" t="str">
        <f>"344905303"</f>
        <v>344905303</v>
      </c>
      <c r="M6330" t="s">
        <v>21</v>
      </c>
      <c r="N6330" s="1">
        <v>43668.783333333333</v>
      </c>
      <c r="O6330" t="s">
        <v>19</v>
      </c>
    </row>
    <row r="6331" spans="1:15" x14ac:dyDescent="0.25">
      <c r="A6331" t="s">
        <v>4652</v>
      </c>
      <c r="B6331" t="s">
        <v>15</v>
      </c>
      <c r="C6331" t="s">
        <v>1607</v>
      </c>
      <c r="D6331" t="s">
        <v>17</v>
      </c>
      <c r="E6331" t="s">
        <v>18</v>
      </c>
      <c r="F6331" t="s">
        <v>19</v>
      </c>
      <c r="G6331" t="s">
        <v>20</v>
      </c>
      <c r="J6331" t="s">
        <v>17</v>
      </c>
      <c r="K6331" t="str">
        <f>"684905303"</f>
        <v>684905303</v>
      </c>
      <c r="L6331" t="str">
        <f>"684905303"</f>
        <v>684905303</v>
      </c>
      <c r="M6331" t="s">
        <v>21</v>
      </c>
      <c r="N6331" s="1">
        <v>43798.838194444441</v>
      </c>
      <c r="O6331" t="s">
        <v>19</v>
      </c>
    </row>
    <row r="6332" spans="1:15" x14ac:dyDescent="0.25">
      <c r="A6332" t="s">
        <v>4652</v>
      </c>
      <c r="B6332" t="s">
        <v>15</v>
      </c>
      <c r="C6332" t="s">
        <v>32</v>
      </c>
      <c r="D6332" t="s">
        <v>17</v>
      </c>
      <c r="E6332" t="s">
        <v>18</v>
      </c>
      <c r="F6332" t="s">
        <v>19</v>
      </c>
      <c r="G6332" t="s">
        <v>20</v>
      </c>
      <c r="J6332" t="s">
        <v>17</v>
      </c>
      <c r="K6332" t="str">
        <f>"764905328"</f>
        <v>764905328</v>
      </c>
      <c r="L6332" t="str">
        <f>"764905328"</f>
        <v>764905328</v>
      </c>
      <c r="M6332" t="s">
        <v>21</v>
      </c>
      <c r="N6332" s="1">
        <v>43862.832638888889</v>
      </c>
      <c r="O6332" t="s">
        <v>19</v>
      </c>
    </row>
    <row r="6333" spans="1:15" x14ac:dyDescent="0.25">
      <c r="A6333" t="s">
        <v>4653</v>
      </c>
      <c r="B6333" t="s">
        <v>15</v>
      </c>
      <c r="C6333" t="s">
        <v>27</v>
      </c>
      <c r="D6333" t="s">
        <v>17</v>
      </c>
      <c r="E6333" t="s">
        <v>18</v>
      </c>
      <c r="F6333" t="s">
        <v>19</v>
      </c>
      <c r="G6333" t="s">
        <v>20</v>
      </c>
      <c r="J6333" t="s">
        <v>17</v>
      </c>
      <c r="K6333" t="str">
        <f>"34680598"</f>
        <v>34680598</v>
      </c>
      <c r="L6333" t="str">
        <f>"34680598"</f>
        <v>34680598</v>
      </c>
      <c r="M6333" t="s">
        <v>75</v>
      </c>
      <c r="N6333" s="1">
        <v>42872.839583333334</v>
      </c>
      <c r="O6333" t="s">
        <v>19</v>
      </c>
    </row>
    <row r="6334" spans="1:15" x14ac:dyDescent="0.25">
      <c r="A6334" t="s">
        <v>4654</v>
      </c>
      <c r="B6334" t="s">
        <v>15</v>
      </c>
      <c r="C6334" t="s">
        <v>1607</v>
      </c>
      <c r="D6334" t="s">
        <v>17</v>
      </c>
      <c r="E6334" t="s">
        <v>18</v>
      </c>
      <c r="F6334" t="s">
        <v>19</v>
      </c>
      <c r="G6334" t="s">
        <v>20</v>
      </c>
      <c r="J6334" t="s">
        <v>17</v>
      </c>
      <c r="K6334" t="str">
        <f>"34680548"</f>
        <v>34680548</v>
      </c>
      <c r="L6334" t="str">
        <f>"34680548"</f>
        <v>34680548</v>
      </c>
      <c r="M6334" t="s">
        <v>75</v>
      </c>
      <c r="N6334" s="1">
        <v>42872.839583333334</v>
      </c>
      <c r="O6334" t="s">
        <v>19</v>
      </c>
    </row>
    <row r="6335" spans="1:15" x14ac:dyDescent="0.25">
      <c r="A6335" t="s">
        <v>4654</v>
      </c>
      <c r="B6335" t="s">
        <v>15</v>
      </c>
      <c r="C6335" t="s">
        <v>1607</v>
      </c>
      <c r="D6335" t="s">
        <v>17</v>
      </c>
      <c r="E6335" t="s">
        <v>18</v>
      </c>
      <c r="F6335" t="s">
        <v>19</v>
      </c>
      <c r="G6335" t="s">
        <v>20</v>
      </c>
      <c r="J6335" t="s">
        <v>17</v>
      </c>
      <c r="K6335" t="str">
        <f>"76470548"</f>
        <v>76470548</v>
      </c>
      <c r="L6335" t="str">
        <f>"76470548"</f>
        <v>76470548</v>
      </c>
      <c r="M6335" t="s">
        <v>75</v>
      </c>
      <c r="N6335" s="1">
        <v>42872.847222222219</v>
      </c>
      <c r="O6335" t="s">
        <v>19</v>
      </c>
    </row>
    <row r="6336" spans="1:15" x14ac:dyDescent="0.25">
      <c r="A6336" t="s">
        <v>4654</v>
      </c>
      <c r="B6336" t="s">
        <v>15</v>
      </c>
      <c r="C6336" t="s">
        <v>1607</v>
      </c>
      <c r="D6336" t="s">
        <v>17</v>
      </c>
      <c r="E6336" t="s">
        <v>18</v>
      </c>
      <c r="F6336" t="s">
        <v>19</v>
      </c>
      <c r="G6336" t="s">
        <v>20</v>
      </c>
      <c r="J6336" t="s">
        <v>17</v>
      </c>
      <c r="K6336" t="str">
        <f>"76680548"</f>
        <v>76680548</v>
      </c>
      <c r="L6336" t="str">
        <f>"76680548"</f>
        <v>76680548</v>
      </c>
      <c r="M6336" t="s">
        <v>75</v>
      </c>
      <c r="N6336" s="1">
        <v>42872.847222222219</v>
      </c>
      <c r="O6336" t="s">
        <v>19</v>
      </c>
    </row>
    <row r="6337" spans="1:15" x14ac:dyDescent="0.25">
      <c r="A6337" t="s">
        <v>4654</v>
      </c>
      <c r="B6337" t="s">
        <v>15</v>
      </c>
      <c r="C6337" t="s">
        <v>1607</v>
      </c>
      <c r="D6337" t="s">
        <v>17</v>
      </c>
      <c r="E6337" t="s">
        <v>18</v>
      </c>
      <c r="F6337" t="s">
        <v>19</v>
      </c>
      <c r="G6337" t="s">
        <v>20</v>
      </c>
      <c r="J6337" t="s">
        <v>17</v>
      </c>
      <c r="K6337" t="str">
        <f>"346805103"</f>
        <v>346805103</v>
      </c>
      <c r="L6337" t="str">
        <f>"346805103"</f>
        <v>346805103</v>
      </c>
      <c r="M6337" t="s">
        <v>75</v>
      </c>
      <c r="N6337" s="1">
        <v>42872.849305555559</v>
      </c>
      <c r="O6337" t="s">
        <v>19</v>
      </c>
    </row>
    <row r="6338" spans="1:15" x14ac:dyDescent="0.25">
      <c r="A6338" t="s">
        <v>4654</v>
      </c>
      <c r="B6338" t="s">
        <v>15</v>
      </c>
      <c r="C6338" t="s">
        <v>1607</v>
      </c>
      <c r="D6338" t="s">
        <v>17</v>
      </c>
      <c r="E6338" t="s">
        <v>18</v>
      </c>
      <c r="F6338" t="s">
        <v>19</v>
      </c>
      <c r="G6338" t="s">
        <v>20</v>
      </c>
      <c r="J6338" t="s">
        <v>17</v>
      </c>
      <c r="K6338" t="str">
        <f>"766805103"</f>
        <v>766805103</v>
      </c>
      <c r="L6338" t="str">
        <f>"766805103"</f>
        <v>766805103</v>
      </c>
      <c r="M6338" t="s">
        <v>75</v>
      </c>
      <c r="N6338" s="1">
        <v>42872.849305555559</v>
      </c>
      <c r="O6338" t="s">
        <v>19</v>
      </c>
    </row>
    <row r="6339" spans="1:15" x14ac:dyDescent="0.25">
      <c r="A6339" t="s">
        <v>4655</v>
      </c>
      <c r="B6339" t="s">
        <v>15</v>
      </c>
      <c r="C6339" t="s">
        <v>1607</v>
      </c>
      <c r="D6339" t="s">
        <v>17</v>
      </c>
      <c r="E6339" t="s">
        <v>18</v>
      </c>
      <c r="F6339" t="s">
        <v>19</v>
      </c>
      <c r="G6339" t="s">
        <v>20</v>
      </c>
      <c r="J6339" t="s">
        <v>17</v>
      </c>
      <c r="K6339" t="str">
        <f>"766805247"</f>
        <v>766805247</v>
      </c>
      <c r="L6339" t="str">
        <f>"766805247"</f>
        <v>766805247</v>
      </c>
      <c r="M6339" t="s">
        <v>75</v>
      </c>
      <c r="N6339" s="1">
        <v>42907.824305555558</v>
      </c>
      <c r="O6339" t="s">
        <v>19</v>
      </c>
    </row>
    <row r="6340" spans="1:15" x14ac:dyDescent="0.25">
      <c r="A6340" t="s">
        <v>4655</v>
      </c>
      <c r="B6340" t="s">
        <v>15</v>
      </c>
      <c r="C6340" t="s">
        <v>1607</v>
      </c>
      <c r="D6340" t="s">
        <v>17</v>
      </c>
      <c r="E6340" t="s">
        <v>18</v>
      </c>
      <c r="F6340" t="s">
        <v>19</v>
      </c>
      <c r="G6340" t="s">
        <v>20</v>
      </c>
      <c r="J6340" t="s">
        <v>17</v>
      </c>
      <c r="K6340" t="str">
        <f>"174905247"</f>
        <v>174905247</v>
      </c>
      <c r="L6340" t="str">
        <f>"174905247"</f>
        <v>174905247</v>
      </c>
      <c r="M6340" t="s">
        <v>75</v>
      </c>
      <c r="N6340" s="1">
        <v>43132.638888888891</v>
      </c>
      <c r="O6340" t="s">
        <v>19</v>
      </c>
    </row>
    <row r="6341" spans="1:15" x14ac:dyDescent="0.25">
      <c r="A6341" t="s">
        <v>4655</v>
      </c>
      <c r="B6341" t="s">
        <v>15</v>
      </c>
      <c r="C6341" t="s">
        <v>1607</v>
      </c>
      <c r="D6341" t="s">
        <v>17</v>
      </c>
      <c r="E6341" t="s">
        <v>18</v>
      </c>
      <c r="F6341" t="s">
        <v>19</v>
      </c>
      <c r="G6341" t="s">
        <v>20</v>
      </c>
      <c r="J6341" t="s">
        <v>17</v>
      </c>
      <c r="K6341" t="str">
        <f>"764905247"</f>
        <v>764905247</v>
      </c>
      <c r="L6341" t="str">
        <f>"764905247"</f>
        <v>764905247</v>
      </c>
      <c r="M6341" t="s">
        <v>75</v>
      </c>
      <c r="N6341" s="1">
        <v>43132.748611111114</v>
      </c>
      <c r="O6341" t="s">
        <v>19</v>
      </c>
    </row>
    <row r="6342" spans="1:15" x14ac:dyDescent="0.25">
      <c r="A6342" t="s">
        <v>4656</v>
      </c>
      <c r="B6342" t="s">
        <v>15</v>
      </c>
      <c r="C6342" t="s">
        <v>1607</v>
      </c>
      <c r="D6342" t="s">
        <v>17</v>
      </c>
      <c r="E6342" t="s">
        <v>18</v>
      </c>
      <c r="F6342" t="s">
        <v>19</v>
      </c>
      <c r="G6342" t="s">
        <v>20</v>
      </c>
      <c r="J6342" t="s">
        <v>17</v>
      </c>
      <c r="K6342" t="str">
        <f>"346805299"</f>
        <v>346805299</v>
      </c>
      <c r="L6342" t="str">
        <f>"346805299"</f>
        <v>346805299</v>
      </c>
      <c r="M6342" t="s">
        <v>84</v>
      </c>
      <c r="N6342" s="1">
        <v>43409.918749999997</v>
      </c>
      <c r="O6342" t="s">
        <v>19</v>
      </c>
    </row>
    <row r="6343" spans="1:15" x14ac:dyDescent="0.25">
      <c r="A6343" t="s">
        <v>4657</v>
      </c>
      <c r="B6343" t="s">
        <v>15</v>
      </c>
      <c r="C6343" t="s">
        <v>1607</v>
      </c>
      <c r="D6343" t="s">
        <v>17</v>
      </c>
      <c r="E6343" t="s">
        <v>18</v>
      </c>
      <c r="F6343" t="s">
        <v>19</v>
      </c>
      <c r="G6343" t="s">
        <v>20</v>
      </c>
      <c r="J6343" t="s">
        <v>17</v>
      </c>
      <c r="K6343" t="str">
        <f>"766805329"</f>
        <v>766805329</v>
      </c>
      <c r="L6343" t="str">
        <f>"766805329"</f>
        <v>766805329</v>
      </c>
      <c r="M6343" t="s">
        <v>75</v>
      </c>
      <c r="N6343" s="1">
        <v>43112.775694444441</v>
      </c>
      <c r="O6343" t="s">
        <v>19</v>
      </c>
    </row>
    <row r="6344" spans="1:15" x14ac:dyDescent="0.25">
      <c r="A6344" t="s">
        <v>4657</v>
      </c>
      <c r="B6344" t="s">
        <v>15</v>
      </c>
      <c r="C6344" t="s">
        <v>1607</v>
      </c>
      <c r="D6344" t="s">
        <v>17</v>
      </c>
      <c r="E6344" t="s">
        <v>18</v>
      </c>
      <c r="F6344" t="s">
        <v>19</v>
      </c>
      <c r="G6344" t="s">
        <v>20</v>
      </c>
      <c r="J6344" t="s">
        <v>17</v>
      </c>
      <c r="K6344" t="str">
        <f>"764905329"</f>
        <v>764905329</v>
      </c>
      <c r="L6344" t="str">
        <f>"764905329"</f>
        <v>764905329</v>
      </c>
      <c r="M6344" t="s">
        <v>75</v>
      </c>
      <c r="N6344" s="1">
        <v>43147.874305555553</v>
      </c>
      <c r="O6344" t="s">
        <v>19</v>
      </c>
    </row>
    <row r="6345" spans="1:15" x14ac:dyDescent="0.25">
      <c r="A6345" t="s">
        <v>4658</v>
      </c>
      <c r="B6345" t="s">
        <v>15</v>
      </c>
      <c r="C6345" t="s">
        <v>1607</v>
      </c>
      <c r="D6345" t="s">
        <v>17</v>
      </c>
      <c r="E6345" t="s">
        <v>18</v>
      </c>
      <c r="F6345" t="s">
        <v>19</v>
      </c>
      <c r="G6345" t="s">
        <v>20</v>
      </c>
      <c r="J6345" t="s">
        <v>17</v>
      </c>
      <c r="K6345" t="str">
        <f>"766805248"</f>
        <v>766805248</v>
      </c>
      <c r="L6345" t="str">
        <f>"766805248"</f>
        <v>766805248</v>
      </c>
      <c r="M6345" t="s">
        <v>75</v>
      </c>
      <c r="N6345" s="1">
        <v>43033.822916666664</v>
      </c>
      <c r="O6345" t="s">
        <v>19</v>
      </c>
    </row>
    <row r="6346" spans="1:15" x14ac:dyDescent="0.25">
      <c r="A6346" t="s">
        <v>4658</v>
      </c>
      <c r="B6346" t="s">
        <v>15</v>
      </c>
      <c r="C6346" t="s">
        <v>1607</v>
      </c>
      <c r="D6346" t="s">
        <v>17</v>
      </c>
      <c r="E6346" t="s">
        <v>18</v>
      </c>
      <c r="F6346" t="s">
        <v>19</v>
      </c>
      <c r="G6346" t="s">
        <v>20</v>
      </c>
      <c r="J6346" t="s">
        <v>17</v>
      </c>
      <c r="K6346" t="str">
        <f>"764905248"</f>
        <v>764905248</v>
      </c>
      <c r="L6346" t="str">
        <f>"764905248"</f>
        <v>764905248</v>
      </c>
      <c r="M6346" t="s">
        <v>75</v>
      </c>
      <c r="N6346" s="1">
        <v>43147.871527777781</v>
      </c>
      <c r="O6346" t="s">
        <v>19</v>
      </c>
    </row>
    <row r="6347" spans="1:15" x14ac:dyDescent="0.25">
      <c r="A6347" t="s">
        <v>4659</v>
      </c>
      <c r="B6347" t="s">
        <v>15</v>
      </c>
      <c r="C6347" t="s">
        <v>1607</v>
      </c>
      <c r="D6347" t="s">
        <v>17</v>
      </c>
      <c r="E6347" t="s">
        <v>18</v>
      </c>
      <c r="F6347" t="s">
        <v>19</v>
      </c>
      <c r="G6347" t="s">
        <v>20</v>
      </c>
      <c r="J6347" t="s">
        <v>17</v>
      </c>
      <c r="K6347" t="str">
        <f>"346805304"</f>
        <v>346805304</v>
      </c>
      <c r="L6347" t="str">
        <f>"346805304"</f>
        <v>346805304</v>
      </c>
      <c r="M6347" t="s">
        <v>75</v>
      </c>
      <c r="N6347" s="1">
        <v>43237.878472222219</v>
      </c>
      <c r="O6347" t="s">
        <v>19</v>
      </c>
    </row>
    <row r="6348" spans="1:15" x14ac:dyDescent="0.25">
      <c r="A6348" t="s">
        <v>4659</v>
      </c>
      <c r="B6348" t="s">
        <v>15</v>
      </c>
      <c r="C6348" t="s">
        <v>1607</v>
      </c>
      <c r="D6348" t="s">
        <v>17</v>
      </c>
      <c r="E6348" t="s">
        <v>18</v>
      </c>
      <c r="F6348" t="s">
        <v>19</v>
      </c>
      <c r="G6348" t="s">
        <v>20</v>
      </c>
      <c r="J6348" t="s">
        <v>17</v>
      </c>
      <c r="K6348" t="str">
        <f>"866805304"</f>
        <v>866805304</v>
      </c>
      <c r="L6348" t="str">
        <f>"866805304"</f>
        <v>866805304</v>
      </c>
      <c r="M6348" t="s">
        <v>84</v>
      </c>
      <c r="N6348" s="1">
        <v>43314.984722222223</v>
      </c>
      <c r="O6348" t="s">
        <v>19</v>
      </c>
    </row>
    <row r="6349" spans="1:15" x14ac:dyDescent="0.25">
      <c r="A6349" t="s">
        <v>4659</v>
      </c>
      <c r="B6349" t="s">
        <v>15</v>
      </c>
      <c r="C6349" t="s">
        <v>1607</v>
      </c>
      <c r="D6349" t="s">
        <v>17</v>
      </c>
      <c r="E6349" t="s">
        <v>18</v>
      </c>
      <c r="F6349" t="s">
        <v>19</v>
      </c>
      <c r="G6349" t="s">
        <v>20</v>
      </c>
      <c r="J6349" t="s">
        <v>17</v>
      </c>
      <c r="K6349" t="str">
        <f>"864905304"</f>
        <v>864905304</v>
      </c>
      <c r="L6349" t="str">
        <f>"864905304"</f>
        <v>864905304</v>
      </c>
      <c r="M6349" t="s">
        <v>84</v>
      </c>
      <c r="N6349" s="1">
        <v>43367.906944444447</v>
      </c>
      <c r="O6349" t="s">
        <v>19</v>
      </c>
    </row>
    <row r="6350" spans="1:15" x14ac:dyDescent="0.25">
      <c r="A6350" t="s">
        <v>4659</v>
      </c>
      <c r="B6350" t="s">
        <v>15</v>
      </c>
      <c r="C6350" t="s">
        <v>1607</v>
      </c>
      <c r="D6350" t="s">
        <v>17</v>
      </c>
      <c r="E6350" t="s">
        <v>18</v>
      </c>
      <c r="F6350" t="s">
        <v>19</v>
      </c>
      <c r="G6350" t="s">
        <v>20</v>
      </c>
      <c r="J6350" t="s">
        <v>17</v>
      </c>
      <c r="K6350" t="str">
        <f>"764905304"</f>
        <v>764905304</v>
      </c>
      <c r="L6350" t="str">
        <f>"764905304"</f>
        <v>764905304</v>
      </c>
      <c r="M6350" t="s">
        <v>84</v>
      </c>
      <c r="N6350" s="1">
        <v>43567.719444444447</v>
      </c>
      <c r="O6350" t="s">
        <v>19</v>
      </c>
    </row>
    <row r="6351" spans="1:15" x14ac:dyDescent="0.25">
      <c r="A6351" t="s">
        <v>4660</v>
      </c>
      <c r="B6351" t="s">
        <v>15</v>
      </c>
      <c r="C6351" t="s">
        <v>1607</v>
      </c>
      <c r="D6351" t="s">
        <v>17</v>
      </c>
      <c r="E6351" t="s">
        <v>18</v>
      </c>
      <c r="F6351" t="s">
        <v>19</v>
      </c>
      <c r="G6351" t="s">
        <v>20</v>
      </c>
      <c r="J6351" t="s">
        <v>17</v>
      </c>
      <c r="K6351" t="str">
        <f>"764905313"</f>
        <v>764905313</v>
      </c>
      <c r="L6351" t="str">
        <f>"764905313"</f>
        <v>764905313</v>
      </c>
      <c r="M6351" t="s">
        <v>84</v>
      </c>
      <c r="N6351" s="1">
        <v>43567.716666666667</v>
      </c>
      <c r="O6351" t="s">
        <v>19</v>
      </c>
    </row>
    <row r="6352" spans="1:15" x14ac:dyDescent="0.25">
      <c r="A6352" t="s">
        <v>4661</v>
      </c>
      <c r="B6352" t="s">
        <v>15</v>
      </c>
      <c r="C6352" t="s">
        <v>1607</v>
      </c>
      <c r="D6352" t="s">
        <v>17</v>
      </c>
      <c r="E6352" t="s">
        <v>18</v>
      </c>
      <c r="F6352" t="s">
        <v>19</v>
      </c>
      <c r="G6352" t="s">
        <v>20</v>
      </c>
      <c r="J6352" t="s">
        <v>17</v>
      </c>
      <c r="K6352" t="str">
        <f>"766805183"</f>
        <v>766805183</v>
      </c>
      <c r="L6352" t="str">
        <f>"766805183"</f>
        <v>766805183</v>
      </c>
      <c r="M6352" t="s">
        <v>75</v>
      </c>
      <c r="N6352" s="1">
        <v>42872.849305555559</v>
      </c>
      <c r="O6352" t="s">
        <v>19</v>
      </c>
    </row>
    <row r="6353" spans="1:15" x14ac:dyDescent="0.25">
      <c r="A6353" t="s">
        <v>4662</v>
      </c>
      <c r="B6353" t="s">
        <v>15</v>
      </c>
      <c r="C6353" t="s">
        <v>1607</v>
      </c>
      <c r="D6353" t="s">
        <v>17</v>
      </c>
      <c r="E6353" t="s">
        <v>18</v>
      </c>
      <c r="F6353" t="s">
        <v>19</v>
      </c>
      <c r="G6353" t="s">
        <v>20</v>
      </c>
      <c r="J6353" t="s">
        <v>17</v>
      </c>
      <c r="K6353" t="str">
        <f>"766805282"</f>
        <v>766805282</v>
      </c>
      <c r="L6353" t="str">
        <f>"766805282"</f>
        <v>766805282</v>
      </c>
      <c r="M6353" t="s">
        <v>75</v>
      </c>
      <c r="N6353" s="1">
        <v>43237.652083333334</v>
      </c>
      <c r="O6353" t="s">
        <v>19</v>
      </c>
    </row>
    <row r="6354" spans="1:15" x14ac:dyDescent="0.25">
      <c r="A6354" t="s">
        <v>4662</v>
      </c>
      <c r="B6354" t="s">
        <v>15</v>
      </c>
      <c r="C6354" t="s">
        <v>1607</v>
      </c>
      <c r="D6354" t="s">
        <v>17</v>
      </c>
      <c r="E6354" t="s">
        <v>18</v>
      </c>
      <c r="F6354" t="s">
        <v>19</v>
      </c>
      <c r="G6354" t="s">
        <v>20</v>
      </c>
      <c r="J6354" t="s">
        <v>17</v>
      </c>
      <c r="K6354" t="str">
        <f>"864905282"</f>
        <v>864905282</v>
      </c>
      <c r="L6354" t="str">
        <f>"864905282"</f>
        <v>864905282</v>
      </c>
      <c r="M6354" t="s">
        <v>84</v>
      </c>
      <c r="N6354" s="1">
        <v>43367.904166666667</v>
      </c>
      <c r="O6354" t="s">
        <v>19</v>
      </c>
    </row>
    <row r="6355" spans="1:15" x14ac:dyDescent="0.25">
      <c r="A6355" t="s">
        <v>4662</v>
      </c>
      <c r="B6355" t="s">
        <v>15</v>
      </c>
      <c r="C6355" t="s">
        <v>1607</v>
      </c>
      <c r="D6355" t="s">
        <v>17</v>
      </c>
      <c r="E6355" t="s">
        <v>18</v>
      </c>
      <c r="F6355" t="s">
        <v>19</v>
      </c>
      <c r="G6355" t="s">
        <v>20</v>
      </c>
      <c r="J6355" t="s">
        <v>17</v>
      </c>
      <c r="K6355" t="str">
        <f>"764905282"</f>
        <v>764905282</v>
      </c>
      <c r="L6355" t="str">
        <f>"764905282"</f>
        <v>764905282</v>
      </c>
      <c r="M6355" t="s">
        <v>84</v>
      </c>
      <c r="N6355" s="1">
        <v>43370.695833333331</v>
      </c>
      <c r="O6355" t="s">
        <v>19</v>
      </c>
    </row>
    <row r="6356" spans="1:15" x14ac:dyDescent="0.25">
      <c r="A6356" t="s">
        <v>4663</v>
      </c>
      <c r="B6356" t="s">
        <v>15</v>
      </c>
      <c r="C6356" t="s">
        <v>1607</v>
      </c>
      <c r="D6356" t="s">
        <v>17</v>
      </c>
      <c r="E6356" t="s">
        <v>18</v>
      </c>
      <c r="F6356" t="s">
        <v>19</v>
      </c>
      <c r="G6356" t="s">
        <v>20</v>
      </c>
      <c r="J6356" t="s">
        <v>17</v>
      </c>
      <c r="K6356" t="str">
        <f>"764905317"</f>
        <v>764905317</v>
      </c>
      <c r="L6356" t="str">
        <f>"764905317"</f>
        <v>764905317</v>
      </c>
      <c r="M6356" t="s">
        <v>21</v>
      </c>
      <c r="N6356" s="1">
        <v>43610.681250000001</v>
      </c>
      <c r="O6356" t="s">
        <v>19</v>
      </c>
    </row>
    <row r="6357" spans="1:15" x14ac:dyDescent="0.25">
      <c r="A6357" t="s">
        <v>4663</v>
      </c>
      <c r="B6357" t="s">
        <v>15</v>
      </c>
      <c r="C6357" t="s">
        <v>1607</v>
      </c>
      <c r="D6357" t="s">
        <v>17</v>
      </c>
      <c r="E6357" t="s">
        <v>18</v>
      </c>
      <c r="F6357" t="s">
        <v>19</v>
      </c>
      <c r="G6357" t="s">
        <v>20</v>
      </c>
      <c r="J6357" t="s">
        <v>17</v>
      </c>
      <c r="K6357" t="str">
        <f>"2019512588047"</f>
        <v>2019512588047</v>
      </c>
      <c r="L6357" t="str">
        <f>"344905317"</f>
        <v>344905317</v>
      </c>
      <c r="M6357" t="s">
        <v>21</v>
      </c>
      <c r="N6357" s="1">
        <v>43825.92291666667</v>
      </c>
      <c r="O6357" t="s">
        <v>19</v>
      </c>
    </row>
    <row r="6358" spans="1:15" x14ac:dyDescent="0.25">
      <c r="A6358" t="s">
        <v>4664</v>
      </c>
      <c r="B6358" t="s">
        <v>15</v>
      </c>
      <c r="C6358" t="s">
        <v>1607</v>
      </c>
      <c r="D6358" t="s">
        <v>17</v>
      </c>
      <c r="E6358" t="s">
        <v>18</v>
      </c>
      <c r="F6358" t="s">
        <v>19</v>
      </c>
      <c r="G6358" t="s">
        <v>20</v>
      </c>
      <c r="J6358" t="s">
        <v>17</v>
      </c>
      <c r="K6358" t="str">
        <f>"766805280"</f>
        <v>766805280</v>
      </c>
      <c r="L6358" t="str">
        <f>"766805280"</f>
        <v>766805280</v>
      </c>
      <c r="M6358" t="s">
        <v>75</v>
      </c>
      <c r="N6358" s="1">
        <v>42959.731249999997</v>
      </c>
      <c r="O6358" t="s">
        <v>19</v>
      </c>
    </row>
    <row r="6359" spans="1:15" x14ac:dyDescent="0.25">
      <c r="A6359" t="s">
        <v>4664</v>
      </c>
      <c r="B6359" t="s">
        <v>15</v>
      </c>
      <c r="C6359" t="s">
        <v>1607</v>
      </c>
      <c r="D6359" t="s">
        <v>17</v>
      </c>
      <c r="E6359" t="s">
        <v>18</v>
      </c>
      <c r="F6359" t="s">
        <v>19</v>
      </c>
      <c r="G6359" t="s">
        <v>20</v>
      </c>
      <c r="J6359" t="s">
        <v>17</v>
      </c>
      <c r="K6359" t="str">
        <f>"414905280"</f>
        <v>414905280</v>
      </c>
      <c r="L6359" t="str">
        <f>"414905280"</f>
        <v>414905280</v>
      </c>
      <c r="M6359" t="s">
        <v>75</v>
      </c>
      <c r="N6359" s="1">
        <v>43131.832638888889</v>
      </c>
      <c r="O6359" t="s">
        <v>19</v>
      </c>
    </row>
    <row r="6360" spans="1:15" x14ac:dyDescent="0.25">
      <c r="A6360" t="s">
        <v>4665</v>
      </c>
      <c r="B6360" t="s">
        <v>15</v>
      </c>
      <c r="C6360" t="s">
        <v>1607</v>
      </c>
      <c r="D6360" t="s">
        <v>17</v>
      </c>
      <c r="E6360" t="s">
        <v>18</v>
      </c>
      <c r="F6360" t="s">
        <v>19</v>
      </c>
      <c r="G6360" t="s">
        <v>20</v>
      </c>
      <c r="J6360" t="s">
        <v>17</v>
      </c>
      <c r="K6360" t="str">
        <f>"174905280"</f>
        <v>174905280</v>
      </c>
      <c r="L6360" t="str">
        <f>"174905280"</f>
        <v>174905280</v>
      </c>
      <c r="M6360" t="s">
        <v>75</v>
      </c>
      <c r="N6360" s="1">
        <v>43132.63958333333</v>
      </c>
      <c r="O6360" t="s">
        <v>19</v>
      </c>
    </row>
    <row r="6361" spans="1:15" x14ac:dyDescent="0.25">
      <c r="A6361" t="s">
        <v>4664</v>
      </c>
      <c r="B6361" t="s">
        <v>15</v>
      </c>
      <c r="C6361" t="s">
        <v>1607</v>
      </c>
      <c r="D6361" t="s">
        <v>17</v>
      </c>
      <c r="E6361" t="s">
        <v>18</v>
      </c>
      <c r="F6361" t="s">
        <v>19</v>
      </c>
      <c r="G6361" t="s">
        <v>20</v>
      </c>
      <c r="J6361" t="s">
        <v>17</v>
      </c>
      <c r="K6361" t="str">
        <f>"764905280"</f>
        <v>764905280</v>
      </c>
      <c r="L6361" t="str">
        <f>"764905280"</f>
        <v>764905280</v>
      </c>
      <c r="M6361" t="s">
        <v>75</v>
      </c>
      <c r="N6361" s="1">
        <v>43132.749305555553</v>
      </c>
      <c r="O6361" t="s">
        <v>19</v>
      </c>
    </row>
    <row r="6362" spans="1:15" x14ac:dyDescent="0.25">
      <c r="A6362" t="s">
        <v>4664</v>
      </c>
      <c r="B6362" t="s">
        <v>15</v>
      </c>
      <c r="C6362" t="s">
        <v>1607</v>
      </c>
      <c r="D6362" t="s">
        <v>17</v>
      </c>
      <c r="E6362" t="s">
        <v>18</v>
      </c>
      <c r="F6362" t="s">
        <v>19</v>
      </c>
      <c r="G6362" t="s">
        <v>20</v>
      </c>
      <c r="J6362" t="s">
        <v>17</v>
      </c>
      <c r="K6362" t="str">
        <f>"866805280"</f>
        <v>866805280</v>
      </c>
      <c r="L6362" t="str">
        <f>"866805280"</f>
        <v>866805280</v>
      </c>
      <c r="M6362" t="s">
        <v>84</v>
      </c>
      <c r="N6362" s="1">
        <v>43314.933333333334</v>
      </c>
      <c r="O6362" t="s">
        <v>19</v>
      </c>
    </row>
    <row r="6363" spans="1:15" x14ac:dyDescent="0.25">
      <c r="A6363" t="s">
        <v>4666</v>
      </c>
      <c r="B6363" t="s">
        <v>15</v>
      </c>
      <c r="C6363" t="s">
        <v>1607</v>
      </c>
      <c r="D6363" t="s">
        <v>17</v>
      </c>
      <c r="E6363" t="s">
        <v>18</v>
      </c>
      <c r="F6363" t="s">
        <v>19</v>
      </c>
      <c r="G6363" t="s">
        <v>20</v>
      </c>
      <c r="J6363" t="s">
        <v>17</v>
      </c>
      <c r="K6363" t="str">
        <f>"34680549"</f>
        <v>34680549</v>
      </c>
      <c r="L6363" t="str">
        <f>"34680549"</f>
        <v>34680549</v>
      </c>
      <c r="M6363" t="s">
        <v>75</v>
      </c>
      <c r="N6363" s="1">
        <v>42983.845138888886</v>
      </c>
      <c r="O6363" t="s">
        <v>19</v>
      </c>
    </row>
    <row r="6364" spans="1:15" x14ac:dyDescent="0.25">
      <c r="A6364" t="s">
        <v>4667</v>
      </c>
      <c r="B6364" t="s">
        <v>15</v>
      </c>
      <c r="C6364" t="s">
        <v>1607</v>
      </c>
      <c r="D6364" t="s">
        <v>17</v>
      </c>
      <c r="E6364" t="s">
        <v>18</v>
      </c>
      <c r="F6364" t="s">
        <v>19</v>
      </c>
      <c r="G6364" t="s">
        <v>20</v>
      </c>
      <c r="J6364" t="s">
        <v>17</v>
      </c>
      <c r="K6364" t="str">
        <f>"346805118"</f>
        <v>346805118</v>
      </c>
      <c r="L6364" t="str">
        <f>"346805118"</f>
        <v>346805118</v>
      </c>
      <c r="M6364" t="s">
        <v>75</v>
      </c>
      <c r="N6364" s="1">
        <v>42872.849305555559</v>
      </c>
      <c r="O6364" t="s">
        <v>19</v>
      </c>
    </row>
    <row r="6365" spans="1:15" x14ac:dyDescent="0.25">
      <c r="A6365" t="s">
        <v>4668</v>
      </c>
      <c r="B6365" t="s">
        <v>15</v>
      </c>
      <c r="C6365" t="s">
        <v>1607</v>
      </c>
      <c r="D6365" t="s">
        <v>17</v>
      </c>
      <c r="E6365" t="s">
        <v>18</v>
      </c>
      <c r="F6365" t="s">
        <v>19</v>
      </c>
      <c r="G6365" t="s">
        <v>20</v>
      </c>
      <c r="J6365" t="s">
        <v>17</v>
      </c>
      <c r="K6365" t="str">
        <f>"764914275"</f>
        <v>764914275</v>
      </c>
      <c r="L6365" t="str">
        <f>"764914275"</f>
        <v>764914275</v>
      </c>
      <c r="M6365" t="s">
        <v>84</v>
      </c>
      <c r="N6365" s="1">
        <v>43567.722916666666</v>
      </c>
      <c r="O6365" t="s">
        <v>19</v>
      </c>
    </row>
    <row r="6366" spans="1:15" x14ac:dyDescent="0.25">
      <c r="A6366" t="s">
        <v>4668</v>
      </c>
      <c r="B6366" t="s">
        <v>15</v>
      </c>
      <c r="C6366" t="s">
        <v>1607</v>
      </c>
      <c r="D6366" t="s">
        <v>17</v>
      </c>
      <c r="E6366" t="s">
        <v>18</v>
      </c>
      <c r="F6366" t="s">
        <v>19</v>
      </c>
      <c r="G6366" t="s">
        <v>20</v>
      </c>
      <c r="J6366" t="s">
        <v>17</v>
      </c>
      <c r="K6366" t="str">
        <f>"202006101113"</f>
        <v>202006101113</v>
      </c>
      <c r="L6366" t="str">
        <f>"184905329"</f>
        <v>184905329</v>
      </c>
      <c r="M6366" t="s">
        <v>21</v>
      </c>
      <c r="N6366" s="1">
        <v>43649.658333333333</v>
      </c>
      <c r="O6366" t="s">
        <v>19</v>
      </c>
    </row>
    <row r="6367" spans="1:15" x14ac:dyDescent="0.25">
      <c r="A6367" t="s">
        <v>4669</v>
      </c>
      <c r="B6367" t="s">
        <v>15</v>
      </c>
      <c r="C6367" t="s">
        <v>1607</v>
      </c>
      <c r="D6367" t="s">
        <v>17</v>
      </c>
      <c r="E6367" t="s">
        <v>18</v>
      </c>
      <c r="F6367" t="s">
        <v>19</v>
      </c>
      <c r="G6367" t="s">
        <v>20</v>
      </c>
      <c r="J6367" t="s">
        <v>17</v>
      </c>
      <c r="K6367" t="str">
        <f>"764914274"</f>
        <v>764914274</v>
      </c>
      <c r="L6367" t="str">
        <f>"764914274"</f>
        <v>764914274</v>
      </c>
      <c r="M6367" t="s">
        <v>84</v>
      </c>
      <c r="N6367" s="1">
        <v>43567.722222222219</v>
      </c>
      <c r="O6367" t="s">
        <v>19</v>
      </c>
    </row>
    <row r="6368" spans="1:15" x14ac:dyDescent="0.25">
      <c r="A6368" t="s">
        <v>4669</v>
      </c>
      <c r="B6368" t="s">
        <v>15</v>
      </c>
      <c r="C6368" t="s">
        <v>1607</v>
      </c>
      <c r="D6368" t="s">
        <v>17</v>
      </c>
      <c r="E6368" t="s">
        <v>18</v>
      </c>
      <c r="F6368" t="s">
        <v>19</v>
      </c>
      <c r="G6368" t="s">
        <v>20</v>
      </c>
      <c r="J6368" t="s">
        <v>17</v>
      </c>
      <c r="K6368" t="str">
        <f>"202006101110"</f>
        <v>202006101110</v>
      </c>
      <c r="L6368" t="str">
        <f>"184905330"</f>
        <v>184905330</v>
      </c>
      <c r="M6368" t="s">
        <v>21</v>
      </c>
      <c r="N6368" s="1">
        <v>43649.657638888886</v>
      </c>
      <c r="O6368" t="s">
        <v>19</v>
      </c>
    </row>
    <row r="6369" spans="1:15" x14ac:dyDescent="0.25">
      <c r="A6369" t="s">
        <v>4669</v>
      </c>
      <c r="B6369" t="s">
        <v>15</v>
      </c>
      <c r="C6369" t="s">
        <v>1607</v>
      </c>
      <c r="D6369" t="s">
        <v>17</v>
      </c>
      <c r="E6369" t="s">
        <v>18</v>
      </c>
      <c r="F6369" t="s">
        <v>19</v>
      </c>
      <c r="G6369" t="s">
        <v>20</v>
      </c>
      <c r="J6369" t="s">
        <v>17</v>
      </c>
      <c r="K6369" t="str">
        <f>"2019512588054"</f>
        <v>2019512588054</v>
      </c>
      <c r="L6369" t="str">
        <f>"344914274"</f>
        <v>344914274</v>
      </c>
      <c r="M6369" t="s">
        <v>21</v>
      </c>
      <c r="N6369" s="1">
        <v>43754.925694444442</v>
      </c>
      <c r="O6369" t="s">
        <v>19</v>
      </c>
    </row>
    <row r="6370" spans="1:15" x14ac:dyDescent="0.25">
      <c r="A6370" t="s">
        <v>4670</v>
      </c>
      <c r="B6370" t="s">
        <v>15</v>
      </c>
      <c r="C6370" t="s">
        <v>1607</v>
      </c>
      <c r="D6370" t="s">
        <v>17</v>
      </c>
      <c r="E6370" t="s">
        <v>18</v>
      </c>
      <c r="F6370" t="s">
        <v>19</v>
      </c>
      <c r="G6370" t="s">
        <v>20</v>
      </c>
      <c r="J6370" t="s">
        <v>17</v>
      </c>
      <c r="K6370" t="str">
        <f>"766805160"</f>
        <v>766805160</v>
      </c>
      <c r="L6370" t="str">
        <f>"766805160"</f>
        <v>766805160</v>
      </c>
      <c r="M6370" t="s">
        <v>75</v>
      </c>
      <c r="N6370" s="1">
        <v>43045.718055555553</v>
      </c>
      <c r="O6370" t="s">
        <v>19</v>
      </c>
    </row>
    <row r="6371" spans="1:15" x14ac:dyDescent="0.25">
      <c r="A6371" t="s">
        <v>4670</v>
      </c>
      <c r="B6371" t="s">
        <v>15</v>
      </c>
      <c r="C6371" t="s">
        <v>1607</v>
      </c>
      <c r="D6371" t="s">
        <v>17</v>
      </c>
      <c r="E6371" t="s">
        <v>18</v>
      </c>
      <c r="F6371" t="s">
        <v>19</v>
      </c>
      <c r="G6371" t="s">
        <v>20</v>
      </c>
      <c r="J6371" t="s">
        <v>17</v>
      </c>
      <c r="K6371" t="str">
        <f>"174905160"</f>
        <v>174905160</v>
      </c>
      <c r="L6371" t="str">
        <f>"174905160"</f>
        <v>174905160</v>
      </c>
      <c r="M6371" t="s">
        <v>75</v>
      </c>
      <c r="N6371" s="1">
        <v>43132.643055555556</v>
      </c>
      <c r="O6371" t="s">
        <v>19</v>
      </c>
    </row>
    <row r="6372" spans="1:15" x14ac:dyDescent="0.25">
      <c r="A6372" t="s">
        <v>4670</v>
      </c>
      <c r="B6372" t="s">
        <v>15</v>
      </c>
      <c r="C6372" t="s">
        <v>1607</v>
      </c>
      <c r="D6372" t="s">
        <v>17</v>
      </c>
      <c r="E6372" t="s">
        <v>18</v>
      </c>
      <c r="F6372" t="s">
        <v>19</v>
      </c>
      <c r="G6372" t="s">
        <v>20</v>
      </c>
      <c r="J6372" t="s">
        <v>17</v>
      </c>
      <c r="K6372" t="str">
        <f>"764905160"</f>
        <v>764905160</v>
      </c>
      <c r="L6372" t="str">
        <f>"764905160"</f>
        <v>764905160</v>
      </c>
      <c r="M6372" t="s">
        <v>75</v>
      </c>
      <c r="N6372" s="1">
        <v>43132.751388888886</v>
      </c>
      <c r="O6372" t="s">
        <v>19</v>
      </c>
    </row>
    <row r="6373" spans="1:15" x14ac:dyDescent="0.25">
      <c r="A6373" t="s">
        <v>4670</v>
      </c>
      <c r="B6373" t="s">
        <v>15</v>
      </c>
      <c r="C6373" t="s">
        <v>1607</v>
      </c>
      <c r="D6373" t="s">
        <v>17</v>
      </c>
      <c r="E6373" t="s">
        <v>18</v>
      </c>
      <c r="F6373" t="s">
        <v>19</v>
      </c>
      <c r="G6373" t="s">
        <v>20</v>
      </c>
      <c r="J6373" t="s">
        <v>17</v>
      </c>
      <c r="K6373" t="str">
        <f>"764605160"</f>
        <v>764605160</v>
      </c>
      <c r="L6373" t="str">
        <f>"764605160"</f>
        <v>764605160</v>
      </c>
      <c r="M6373" t="s">
        <v>84</v>
      </c>
      <c r="N6373" s="1">
        <v>43286.97152777778</v>
      </c>
      <c r="O6373" t="s">
        <v>19</v>
      </c>
    </row>
    <row r="6374" spans="1:15" x14ac:dyDescent="0.25">
      <c r="A6374" t="s">
        <v>4671</v>
      </c>
      <c r="B6374" t="s">
        <v>15</v>
      </c>
      <c r="C6374" t="s">
        <v>1607</v>
      </c>
      <c r="D6374" t="s">
        <v>17</v>
      </c>
      <c r="E6374" t="s">
        <v>18</v>
      </c>
      <c r="F6374" t="s">
        <v>19</v>
      </c>
      <c r="G6374" t="s">
        <v>20</v>
      </c>
      <c r="J6374" t="s">
        <v>17</v>
      </c>
      <c r="K6374" t="str">
        <f>"766805162"</f>
        <v>766805162</v>
      </c>
      <c r="L6374" t="str">
        <f>"766805162"</f>
        <v>766805162</v>
      </c>
      <c r="M6374" t="s">
        <v>75</v>
      </c>
      <c r="N6374" s="1">
        <v>43237.650694444441</v>
      </c>
      <c r="O6374" t="s">
        <v>19</v>
      </c>
    </row>
    <row r="6375" spans="1:15" x14ac:dyDescent="0.25">
      <c r="A6375" t="s">
        <v>4671</v>
      </c>
      <c r="B6375" t="s">
        <v>15</v>
      </c>
      <c r="C6375" t="s">
        <v>1607</v>
      </c>
      <c r="D6375" t="s">
        <v>17</v>
      </c>
      <c r="E6375" t="s">
        <v>18</v>
      </c>
      <c r="F6375" t="s">
        <v>19</v>
      </c>
      <c r="G6375" t="s">
        <v>20</v>
      </c>
      <c r="J6375" t="s">
        <v>17</v>
      </c>
      <c r="K6375" t="str">
        <f>"764905162"</f>
        <v>764905162</v>
      </c>
      <c r="L6375" t="str">
        <f>"764905162"</f>
        <v>764905162</v>
      </c>
      <c r="M6375" t="s">
        <v>84</v>
      </c>
      <c r="N6375" s="1">
        <v>43465.72152777778</v>
      </c>
      <c r="O6375" t="s">
        <v>19</v>
      </c>
    </row>
    <row r="6376" spans="1:15" x14ac:dyDescent="0.25">
      <c r="A6376" t="s">
        <v>4672</v>
      </c>
      <c r="B6376" t="s">
        <v>15</v>
      </c>
      <c r="C6376" t="s">
        <v>1607</v>
      </c>
      <c r="D6376" t="s">
        <v>17</v>
      </c>
      <c r="E6376" t="s">
        <v>18</v>
      </c>
      <c r="F6376" t="s">
        <v>19</v>
      </c>
      <c r="G6376" t="s">
        <v>20</v>
      </c>
      <c r="J6376" t="s">
        <v>17</v>
      </c>
      <c r="K6376" t="str">
        <f>"764905315"</f>
        <v>764905315</v>
      </c>
      <c r="L6376" t="str">
        <f>"764905315"</f>
        <v>764905315</v>
      </c>
      <c r="M6376" t="s">
        <v>84</v>
      </c>
      <c r="N6376" s="1">
        <v>43567.720833333333</v>
      </c>
      <c r="O6376" t="s">
        <v>19</v>
      </c>
    </row>
    <row r="6377" spans="1:15" x14ac:dyDescent="0.25">
      <c r="A6377" t="s">
        <v>4673</v>
      </c>
      <c r="B6377" t="s">
        <v>15</v>
      </c>
      <c r="C6377" t="s">
        <v>1607</v>
      </c>
      <c r="D6377" t="s">
        <v>17</v>
      </c>
      <c r="E6377" t="s">
        <v>18</v>
      </c>
      <c r="F6377" t="s">
        <v>19</v>
      </c>
      <c r="G6377" t="s">
        <v>20</v>
      </c>
      <c r="J6377" t="s">
        <v>17</v>
      </c>
      <c r="K6377" t="str">
        <f>"764907259"</f>
        <v>764907259</v>
      </c>
      <c r="L6377" t="str">
        <f>"764907259"</f>
        <v>764907259</v>
      </c>
      <c r="M6377" t="s">
        <v>84</v>
      </c>
      <c r="N6377" s="1">
        <v>43409.64166666667</v>
      </c>
      <c r="O6377" t="s">
        <v>19</v>
      </c>
    </row>
    <row r="6378" spans="1:15" x14ac:dyDescent="0.25">
      <c r="A6378" t="s">
        <v>4673</v>
      </c>
      <c r="B6378" t="s">
        <v>15</v>
      </c>
      <c r="C6378" t="s">
        <v>1607</v>
      </c>
      <c r="D6378" t="s">
        <v>17</v>
      </c>
      <c r="E6378" t="s">
        <v>18</v>
      </c>
      <c r="F6378" t="s">
        <v>19</v>
      </c>
      <c r="G6378" t="s">
        <v>20</v>
      </c>
      <c r="J6378" t="s">
        <v>17</v>
      </c>
      <c r="K6378" t="str">
        <f>"766807259"</f>
        <v>766807259</v>
      </c>
      <c r="L6378" t="str">
        <f>"766807259"</f>
        <v>766807259</v>
      </c>
      <c r="M6378" t="s">
        <v>84</v>
      </c>
      <c r="N6378" s="1">
        <v>43451.65902777778</v>
      </c>
      <c r="O6378" t="s">
        <v>19</v>
      </c>
    </row>
    <row r="6379" spans="1:15" x14ac:dyDescent="0.25">
      <c r="A6379" t="s">
        <v>4673</v>
      </c>
      <c r="B6379" t="s">
        <v>15</v>
      </c>
      <c r="C6379" t="s">
        <v>1607</v>
      </c>
      <c r="D6379" t="s">
        <v>17</v>
      </c>
      <c r="E6379" t="s">
        <v>18</v>
      </c>
      <c r="F6379" t="s">
        <v>19</v>
      </c>
      <c r="G6379" t="s">
        <v>20</v>
      </c>
      <c r="J6379" t="s">
        <v>17</v>
      </c>
      <c r="K6379" t="str">
        <f>"202006101114"</f>
        <v>202006101114</v>
      </c>
      <c r="L6379" t="str">
        <f>"184905324"</f>
        <v>184905324</v>
      </c>
      <c r="M6379" t="s">
        <v>21</v>
      </c>
      <c r="N6379" s="1">
        <v>43649.65625</v>
      </c>
      <c r="O6379" t="s">
        <v>19</v>
      </c>
    </row>
    <row r="6380" spans="1:15" x14ac:dyDescent="0.25">
      <c r="A6380" t="s">
        <v>4673</v>
      </c>
      <c r="B6380" t="s">
        <v>15</v>
      </c>
      <c r="C6380" t="s">
        <v>1607</v>
      </c>
      <c r="D6380" t="s">
        <v>17</v>
      </c>
      <c r="E6380" t="s">
        <v>18</v>
      </c>
      <c r="F6380" t="s">
        <v>19</v>
      </c>
      <c r="G6380" t="s">
        <v>20</v>
      </c>
      <c r="J6380" t="s">
        <v>17</v>
      </c>
      <c r="K6380" t="str">
        <f>"2019512588038 "</f>
        <v xml:space="preserve">2019512588038 </v>
      </c>
      <c r="L6380" t="str">
        <f>"344907259"</f>
        <v>344907259</v>
      </c>
      <c r="M6380" t="s">
        <v>21</v>
      </c>
      <c r="N6380" s="1">
        <v>43668.831944444442</v>
      </c>
      <c r="O6380" t="s">
        <v>19</v>
      </c>
    </row>
    <row r="6381" spans="1:15" x14ac:dyDescent="0.25">
      <c r="A6381" t="s">
        <v>4673</v>
      </c>
      <c r="B6381" t="s">
        <v>15</v>
      </c>
      <c r="C6381" t="s">
        <v>1607</v>
      </c>
      <c r="D6381" t="s">
        <v>17</v>
      </c>
      <c r="E6381" t="s">
        <v>18</v>
      </c>
      <c r="F6381" t="s">
        <v>19</v>
      </c>
      <c r="G6381" t="s">
        <v>20</v>
      </c>
      <c r="J6381" t="s">
        <v>17</v>
      </c>
      <c r="K6381" t="str">
        <f>"684907259"</f>
        <v>684907259</v>
      </c>
      <c r="L6381" t="str">
        <f>"684907259"</f>
        <v>684907259</v>
      </c>
      <c r="M6381" t="s">
        <v>21</v>
      </c>
      <c r="N6381" s="1">
        <v>43819.709722222222</v>
      </c>
      <c r="O6381" t="s">
        <v>19</v>
      </c>
    </row>
    <row r="6382" spans="1:15" x14ac:dyDescent="0.25">
      <c r="A6382" t="s">
        <v>4674</v>
      </c>
      <c r="B6382" t="s">
        <v>15</v>
      </c>
      <c r="C6382" t="s">
        <v>1607</v>
      </c>
      <c r="D6382" t="s">
        <v>17</v>
      </c>
      <c r="E6382" t="s">
        <v>18</v>
      </c>
      <c r="F6382" t="s">
        <v>19</v>
      </c>
      <c r="G6382" t="s">
        <v>20</v>
      </c>
      <c r="J6382" t="s">
        <v>17</v>
      </c>
      <c r="K6382" t="str">
        <f>"10340716"</f>
        <v>10340716</v>
      </c>
      <c r="L6382" t="str">
        <f>"10340716"</f>
        <v>10340716</v>
      </c>
      <c r="M6382" t="s">
        <v>75</v>
      </c>
      <c r="N6382" s="1">
        <v>42872.839583333334</v>
      </c>
      <c r="O6382" t="s">
        <v>19</v>
      </c>
    </row>
    <row r="6383" spans="1:15" x14ac:dyDescent="0.25">
      <c r="A6383" t="s">
        <v>4674</v>
      </c>
      <c r="B6383" t="s">
        <v>15</v>
      </c>
      <c r="C6383" t="s">
        <v>1607</v>
      </c>
      <c r="D6383" t="s">
        <v>17</v>
      </c>
      <c r="E6383" t="s">
        <v>18</v>
      </c>
      <c r="F6383" t="s">
        <v>19</v>
      </c>
      <c r="G6383" t="s">
        <v>20</v>
      </c>
      <c r="J6383" t="s">
        <v>17</v>
      </c>
      <c r="K6383" t="str">
        <f>"34570715"</f>
        <v>34570715</v>
      </c>
      <c r="L6383" t="str">
        <f>"34570715"</f>
        <v>34570715</v>
      </c>
      <c r="M6383" t="s">
        <v>75</v>
      </c>
      <c r="N6383" s="1">
        <v>42872.839583333334</v>
      </c>
      <c r="O6383" t="s">
        <v>19</v>
      </c>
    </row>
    <row r="6384" spans="1:15" x14ac:dyDescent="0.25">
      <c r="A6384" t="s">
        <v>4674</v>
      </c>
      <c r="B6384" t="s">
        <v>15</v>
      </c>
      <c r="C6384" t="s">
        <v>1607</v>
      </c>
      <c r="D6384" t="s">
        <v>17</v>
      </c>
      <c r="E6384" t="s">
        <v>18</v>
      </c>
      <c r="F6384" t="s">
        <v>19</v>
      </c>
      <c r="G6384" t="s">
        <v>20</v>
      </c>
      <c r="J6384" t="s">
        <v>17</v>
      </c>
      <c r="K6384" t="str">
        <f>"34680716"</f>
        <v>34680716</v>
      </c>
      <c r="L6384" t="str">
        <f>"34680716"</f>
        <v>34680716</v>
      </c>
      <c r="M6384" t="s">
        <v>75</v>
      </c>
      <c r="N6384" s="1">
        <v>42872.839583333334</v>
      </c>
      <c r="O6384" t="s">
        <v>19</v>
      </c>
    </row>
    <row r="6385" spans="1:15" x14ac:dyDescent="0.25">
      <c r="A6385" t="s">
        <v>4674</v>
      </c>
      <c r="B6385" t="s">
        <v>15</v>
      </c>
      <c r="C6385" t="s">
        <v>1607</v>
      </c>
      <c r="D6385" t="s">
        <v>17</v>
      </c>
      <c r="E6385" t="s">
        <v>18</v>
      </c>
      <c r="F6385" t="s">
        <v>19</v>
      </c>
      <c r="G6385" t="s">
        <v>20</v>
      </c>
      <c r="J6385" t="s">
        <v>17</v>
      </c>
      <c r="K6385" t="str">
        <f>"202006101115"</f>
        <v>202006101115</v>
      </c>
      <c r="L6385" t="str">
        <f>"184905325"</f>
        <v>184905325</v>
      </c>
      <c r="M6385" t="s">
        <v>21</v>
      </c>
      <c r="N6385" s="1">
        <v>43649.656944444447</v>
      </c>
      <c r="O6385" t="s">
        <v>19</v>
      </c>
    </row>
    <row r="6386" spans="1:15" x14ac:dyDescent="0.25">
      <c r="A6386" t="s">
        <v>4674</v>
      </c>
      <c r="B6386" t="s">
        <v>15</v>
      </c>
      <c r="C6386" t="s">
        <v>1607</v>
      </c>
      <c r="D6386" t="s">
        <v>17</v>
      </c>
      <c r="E6386" t="s">
        <v>18</v>
      </c>
      <c r="F6386" t="s">
        <v>19</v>
      </c>
      <c r="G6386" t="s">
        <v>20</v>
      </c>
      <c r="J6386" t="s">
        <v>17</v>
      </c>
      <c r="K6386" t="str">
        <f>"67390715"</f>
        <v>67390715</v>
      </c>
      <c r="L6386" t="str">
        <f>"67390715"</f>
        <v>67390715</v>
      </c>
      <c r="M6386" t="s">
        <v>21</v>
      </c>
      <c r="N6386" s="1">
        <v>43873.782638888886</v>
      </c>
      <c r="O6386" t="s">
        <v>19</v>
      </c>
    </row>
    <row r="6387" spans="1:15" x14ac:dyDescent="0.25">
      <c r="A6387" t="s">
        <v>4675</v>
      </c>
      <c r="B6387" t="s">
        <v>15</v>
      </c>
      <c r="C6387" t="s">
        <v>1607</v>
      </c>
      <c r="D6387" t="s">
        <v>17</v>
      </c>
      <c r="E6387" t="s">
        <v>18</v>
      </c>
      <c r="F6387" t="s">
        <v>19</v>
      </c>
      <c r="G6387" t="s">
        <v>20</v>
      </c>
      <c r="J6387" t="s">
        <v>17</v>
      </c>
      <c r="K6387" t="str">
        <f>"202006101111"</f>
        <v>202006101111</v>
      </c>
      <c r="L6387" t="str">
        <f>"184905331"</f>
        <v>184905331</v>
      </c>
      <c r="M6387" t="s">
        <v>21</v>
      </c>
      <c r="N6387" s="1">
        <v>43890.572916666664</v>
      </c>
      <c r="O6387" t="s">
        <v>19</v>
      </c>
    </row>
    <row r="6388" spans="1:15" x14ac:dyDescent="0.25">
      <c r="A6388" t="s">
        <v>4676</v>
      </c>
      <c r="B6388" t="s">
        <v>15</v>
      </c>
      <c r="C6388" t="s">
        <v>1607</v>
      </c>
      <c r="D6388" t="s">
        <v>17</v>
      </c>
      <c r="E6388" t="s">
        <v>18</v>
      </c>
      <c r="F6388" t="s">
        <v>19</v>
      </c>
      <c r="G6388" t="s">
        <v>20</v>
      </c>
      <c r="J6388" t="s">
        <v>17</v>
      </c>
      <c r="K6388" t="str">
        <f>"134905319"</f>
        <v>134905319</v>
      </c>
      <c r="L6388" t="str">
        <f>"134905319"</f>
        <v>134905319</v>
      </c>
      <c r="M6388" t="s">
        <v>21</v>
      </c>
      <c r="N6388" s="1">
        <v>44348.857638888891</v>
      </c>
      <c r="O6388" t="s">
        <v>19</v>
      </c>
    </row>
    <row r="6389" spans="1:15" x14ac:dyDescent="0.25">
      <c r="A6389" t="s">
        <v>4677</v>
      </c>
      <c r="B6389" t="s">
        <v>15</v>
      </c>
      <c r="C6389" t="s">
        <v>1607</v>
      </c>
      <c r="D6389" t="s">
        <v>17</v>
      </c>
      <c r="E6389" t="s">
        <v>18</v>
      </c>
      <c r="F6389" t="s">
        <v>19</v>
      </c>
      <c r="G6389" t="s">
        <v>20</v>
      </c>
      <c r="J6389" t="s">
        <v>17</v>
      </c>
      <c r="K6389" t="str">
        <f>"766805161"</f>
        <v>766805161</v>
      </c>
      <c r="L6389" t="str">
        <f>"766805161"</f>
        <v>766805161</v>
      </c>
      <c r="M6389" t="s">
        <v>75</v>
      </c>
      <c r="N6389" s="1">
        <v>43237.651388888888</v>
      </c>
      <c r="O6389" t="s">
        <v>19</v>
      </c>
    </row>
    <row r="6390" spans="1:15" x14ac:dyDescent="0.25">
      <c r="A6390" t="s">
        <v>4677</v>
      </c>
      <c r="B6390" t="s">
        <v>15</v>
      </c>
      <c r="C6390" t="s">
        <v>1607</v>
      </c>
      <c r="D6390" t="s">
        <v>17</v>
      </c>
      <c r="E6390" t="s">
        <v>18</v>
      </c>
      <c r="F6390" t="s">
        <v>19</v>
      </c>
      <c r="G6390" t="s">
        <v>20</v>
      </c>
      <c r="J6390" t="s">
        <v>17</v>
      </c>
      <c r="K6390" t="str">
        <f>"764905161"</f>
        <v>764905161</v>
      </c>
      <c r="L6390" t="str">
        <f>"764905161"</f>
        <v>764905161</v>
      </c>
      <c r="M6390" t="s">
        <v>84</v>
      </c>
      <c r="N6390" s="1">
        <v>43409.640277777777</v>
      </c>
      <c r="O6390" t="s">
        <v>19</v>
      </c>
    </row>
    <row r="6391" spans="1:15" x14ac:dyDescent="0.25">
      <c r="A6391" t="s">
        <v>4678</v>
      </c>
      <c r="B6391" t="s">
        <v>15</v>
      </c>
      <c r="C6391" t="s">
        <v>1607</v>
      </c>
      <c r="D6391" t="s">
        <v>17</v>
      </c>
      <c r="E6391" t="s">
        <v>18</v>
      </c>
      <c r="F6391" t="s">
        <v>19</v>
      </c>
      <c r="G6391" t="s">
        <v>20</v>
      </c>
      <c r="J6391" t="s">
        <v>17</v>
      </c>
      <c r="K6391" t="str">
        <f>"674905310"</f>
        <v>674905310</v>
      </c>
      <c r="L6391" t="str">
        <f>"674905310"</f>
        <v>674905310</v>
      </c>
      <c r="M6391" t="s">
        <v>84</v>
      </c>
      <c r="N6391" s="1">
        <v>43546.95416666667</v>
      </c>
      <c r="O6391" t="s">
        <v>19</v>
      </c>
    </row>
    <row r="6392" spans="1:15" x14ac:dyDescent="0.25">
      <c r="A6392" t="s">
        <v>4678</v>
      </c>
      <c r="B6392" t="s">
        <v>15</v>
      </c>
      <c r="C6392" t="s">
        <v>1607</v>
      </c>
      <c r="D6392" t="s">
        <v>17</v>
      </c>
      <c r="E6392" t="s">
        <v>18</v>
      </c>
      <c r="F6392" t="s">
        <v>19</v>
      </c>
      <c r="G6392" t="s">
        <v>20</v>
      </c>
      <c r="J6392" t="s">
        <v>17</v>
      </c>
      <c r="K6392" t="str">
        <f>"764905310"</f>
        <v>764905310</v>
      </c>
      <c r="L6392" t="str">
        <f>"764905310"</f>
        <v>764905310</v>
      </c>
      <c r="M6392" t="s">
        <v>84</v>
      </c>
      <c r="N6392" s="1">
        <v>43567.72152777778</v>
      </c>
      <c r="O6392" t="s">
        <v>19</v>
      </c>
    </row>
    <row r="6393" spans="1:15" x14ac:dyDescent="0.25">
      <c r="A6393" t="s">
        <v>4679</v>
      </c>
      <c r="B6393" t="s">
        <v>15</v>
      </c>
      <c r="C6393" t="s">
        <v>1607</v>
      </c>
      <c r="D6393" t="s">
        <v>17</v>
      </c>
      <c r="E6393" t="s">
        <v>18</v>
      </c>
      <c r="F6393" t="s">
        <v>19</v>
      </c>
      <c r="G6393" t="s">
        <v>20</v>
      </c>
      <c r="J6393" t="s">
        <v>17</v>
      </c>
      <c r="K6393" t="str">
        <f>"202006101112"</f>
        <v>202006101112</v>
      </c>
      <c r="L6393" t="str">
        <f>"184905320"</f>
        <v>184905320</v>
      </c>
      <c r="M6393" t="s">
        <v>21</v>
      </c>
      <c r="N6393" s="1">
        <v>43132.638194444444</v>
      </c>
      <c r="O6393" t="s">
        <v>19</v>
      </c>
    </row>
    <row r="6394" spans="1:15" x14ac:dyDescent="0.25">
      <c r="A6394" t="s">
        <v>4680</v>
      </c>
      <c r="B6394" t="s">
        <v>15</v>
      </c>
      <c r="C6394" t="s">
        <v>1607</v>
      </c>
      <c r="D6394" t="s">
        <v>17</v>
      </c>
      <c r="E6394" t="s">
        <v>18</v>
      </c>
      <c r="F6394" t="s">
        <v>19</v>
      </c>
      <c r="G6394" t="s">
        <v>20</v>
      </c>
      <c r="J6394" t="s">
        <v>17</v>
      </c>
      <c r="K6394" t="str">
        <f>"34490700"</f>
        <v>34490700</v>
      </c>
      <c r="L6394" t="str">
        <f>"34490700"</f>
        <v>34490700</v>
      </c>
      <c r="M6394" t="s">
        <v>84</v>
      </c>
      <c r="N6394" s="1">
        <v>43463.972222222219</v>
      </c>
      <c r="O6394" t="s">
        <v>19</v>
      </c>
    </row>
    <row r="6395" spans="1:15" x14ac:dyDescent="0.25">
      <c r="A6395" t="s">
        <v>4681</v>
      </c>
      <c r="B6395" t="s">
        <v>15</v>
      </c>
      <c r="C6395" t="s">
        <v>1607</v>
      </c>
      <c r="D6395" t="s">
        <v>17</v>
      </c>
      <c r="E6395" t="s">
        <v>18</v>
      </c>
      <c r="F6395" t="s">
        <v>19</v>
      </c>
      <c r="G6395" t="s">
        <v>20</v>
      </c>
      <c r="J6395" t="s">
        <v>17</v>
      </c>
      <c r="K6395" t="str">
        <f>"684907601"</f>
        <v>684907601</v>
      </c>
      <c r="L6395" t="str">
        <f>"684907601"</f>
        <v>684907601</v>
      </c>
      <c r="M6395" t="s">
        <v>21</v>
      </c>
      <c r="N6395" s="1">
        <v>43798.837500000001</v>
      </c>
      <c r="O6395" t="s">
        <v>19</v>
      </c>
    </row>
    <row r="6396" spans="1:15" x14ac:dyDescent="0.25">
      <c r="A6396" t="s">
        <v>4681</v>
      </c>
      <c r="B6396" t="s">
        <v>15</v>
      </c>
      <c r="C6396" t="s">
        <v>1607</v>
      </c>
      <c r="D6396" t="s">
        <v>17</v>
      </c>
      <c r="E6396" t="s">
        <v>18</v>
      </c>
      <c r="F6396" t="s">
        <v>19</v>
      </c>
      <c r="G6396" t="s">
        <v>20</v>
      </c>
      <c r="J6396" t="s">
        <v>17</v>
      </c>
      <c r="K6396" t="str">
        <f>"344907601"</f>
        <v>344907601</v>
      </c>
      <c r="L6396" t="str">
        <f>"344907601"</f>
        <v>344907601</v>
      </c>
      <c r="M6396" t="s">
        <v>21</v>
      </c>
      <c r="N6396" s="1">
        <v>43799.590277777781</v>
      </c>
      <c r="O6396" t="s">
        <v>19</v>
      </c>
    </row>
    <row r="6397" spans="1:15" x14ac:dyDescent="0.25">
      <c r="A6397" t="s">
        <v>4681</v>
      </c>
      <c r="B6397" t="s">
        <v>15</v>
      </c>
      <c r="C6397" t="s">
        <v>1607</v>
      </c>
      <c r="D6397" t="s">
        <v>17</v>
      </c>
      <c r="E6397" t="s">
        <v>18</v>
      </c>
      <c r="F6397" t="s">
        <v>19</v>
      </c>
      <c r="G6397" t="s">
        <v>20</v>
      </c>
      <c r="J6397" t="s">
        <v>17</v>
      </c>
      <c r="K6397" t="str">
        <f>"673907601"</f>
        <v>673907601</v>
      </c>
      <c r="L6397" t="str">
        <f>"673907601"</f>
        <v>673907601</v>
      </c>
      <c r="M6397" t="s">
        <v>21</v>
      </c>
      <c r="N6397" s="1">
        <v>43873.781944444447</v>
      </c>
      <c r="O6397" t="s">
        <v>19</v>
      </c>
    </row>
    <row r="6398" spans="1:15" x14ac:dyDescent="0.25">
      <c r="A6398" t="s">
        <v>4682</v>
      </c>
      <c r="B6398" t="s">
        <v>15</v>
      </c>
      <c r="C6398" t="s">
        <v>1607</v>
      </c>
      <c r="D6398" t="s">
        <v>17</v>
      </c>
      <c r="E6398" t="s">
        <v>18</v>
      </c>
      <c r="F6398" t="s">
        <v>19</v>
      </c>
      <c r="G6398" t="s">
        <v>20</v>
      </c>
      <c r="J6398" t="s">
        <v>17</v>
      </c>
      <c r="K6398" t="str">
        <f>"344907602"</f>
        <v>344907602</v>
      </c>
      <c r="L6398" t="str">
        <f>"344907602"</f>
        <v>344907602</v>
      </c>
      <c r="M6398" t="s">
        <v>21</v>
      </c>
      <c r="N6398" s="1">
        <v>43799.59097222222</v>
      </c>
      <c r="O6398" t="s">
        <v>19</v>
      </c>
    </row>
    <row r="6399" spans="1:15" x14ac:dyDescent="0.25">
      <c r="A6399" t="s">
        <v>4682</v>
      </c>
      <c r="B6399" t="s">
        <v>15</v>
      </c>
      <c r="C6399" t="s">
        <v>1607</v>
      </c>
      <c r="D6399" t="s">
        <v>17</v>
      </c>
      <c r="E6399" t="s">
        <v>18</v>
      </c>
      <c r="F6399" t="s">
        <v>19</v>
      </c>
      <c r="G6399" t="s">
        <v>20</v>
      </c>
      <c r="J6399" t="s">
        <v>17</v>
      </c>
      <c r="K6399" t="str">
        <f>"673907602"</f>
        <v>673907602</v>
      </c>
      <c r="L6399" t="str">
        <f>"673907602"</f>
        <v>673907602</v>
      </c>
      <c r="M6399" t="s">
        <v>21</v>
      </c>
      <c r="N6399" s="1">
        <v>43873.781944444447</v>
      </c>
      <c r="O6399" t="s">
        <v>19</v>
      </c>
    </row>
    <row r="6400" spans="1:15" x14ac:dyDescent="0.25">
      <c r="A6400" t="s">
        <v>4683</v>
      </c>
      <c r="B6400" t="s">
        <v>15</v>
      </c>
      <c r="C6400" t="s">
        <v>1607</v>
      </c>
      <c r="D6400" t="s">
        <v>17</v>
      </c>
      <c r="E6400" t="s">
        <v>18</v>
      </c>
      <c r="F6400" t="s">
        <v>19</v>
      </c>
      <c r="G6400" t="s">
        <v>20</v>
      </c>
      <c r="J6400" t="s">
        <v>17</v>
      </c>
      <c r="K6400" t="str">
        <f>"344907603"</f>
        <v>344907603</v>
      </c>
      <c r="L6400" t="str">
        <f>"344907603"</f>
        <v>344907603</v>
      </c>
      <c r="M6400" t="s">
        <v>21</v>
      </c>
      <c r="N6400" s="1">
        <v>43799.591666666667</v>
      </c>
      <c r="O6400" t="s">
        <v>19</v>
      </c>
    </row>
    <row r="6401" spans="1:15" x14ac:dyDescent="0.25">
      <c r="A6401" t="s">
        <v>4684</v>
      </c>
      <c r="B6401" t="s">
        <v>15</v>
      </c>
      <c r="C6401" t="s">
        <v>1607</v>
      </c>
      <c r="D6401" t="s">
        <v>17</v>
      </c>
      <c r="E6401" t="s">
        <v>18</v>
      </c>
      <c r="F6401" t="s">
        <v>19</v>
      </c>
      <c r="G6401" t="s">
        <v>20</v>
      </c>
      <c r="J6401" t="s">
        <v>17</v>
      </c>
      <c r="K6401" t="str">
        <f>"764907605"</f>
        <v>764907605</v>
      </c>
      <c r="L6401" t="str">
        <f>"764907605"</f>
        <v>764907605</v>
      </c>
      <c r="M6401" t="s">
        <v>21</v>
      </c>
      <c r="N6401" s="1">
        <v>44210.931944444441</v>
      </c>
      <c r="O6401" t="s">
        <v>19</v>
      </c>
    </row>
    <row r="6402" spans="1:15" x14ac:dyDescent="0.25">
      <c r="A6402" t="s">
        <v>4685</v>
      </c>
      <c r="B6402" t="s">
        <v>15</v>
      </c>
      <c r="C6402" t="s">
        <v>1607</v>
      </c>
      <c r="D6402" t="s">
        <v>17</v>
      </c>
      <c r="E6402" t="s">
        <v>18</v>
      </c>
      <c r="F6402" t="s">
        <v>19</v>
      </c>
      <c r="G6402" t="s">
        <v>20</v>
      </c>
      <c r="J6402" t="s">
        <v>17</v>
      </c>
      <c r="K6402" t="str">
        <f>"764907606"</f>
        <v>764907606</v>
      </c>
      <c r="L6402" t="str">
        <f>"764907606"</f>
        <v>764907606</v>
      </c>
      <c r="M6402" t="s">
        <v>21</v>
      </c>
      <c r="N6402" s="1">
        <v>44210.931944444441</v>
      </c>
      <c r="O6402" t="s">
        <v>19</v>
      </c>
    </row>
    <row r="6403" spans="1:15" x14ac:dyDescent="0.25">
      <c r="A6403" t="s">
        <v>4686</v>
      </c>
      <c r="B6403" t="s">
        <v>15</v>
      </c>
      <c r="C6403" t="s">
        <v>1607</v>
      </c>
      <c r="D6403" t="s">
        <v>17</v>
      </c>
      <c r="E6403" t="s">
        <v>18</v>
      </c>
      <c r="F6403" t="s">
        <v>19</v>
      </c>
      <c r="G6403" t="s">
        <v>20</v>
      </c>
      <c r="J6403" t="s">
        <v>17</v>
      </c>
      <c r="K6403" t="str">
        <f>"764907607"</f>
        <v>764907607</v>
      </c>
      <c r="L6403" t="str">
        <f>"764907607"</f>
        <v>764907607</v>
      </c>
      <c r="M6403" t="s">
        <v>21</v>
      </c>
      <c r="N6403" s="1">
        <v>44210.932638888888</v>
      </c>
      <c r="O6403" t="s">
        <v>19</v>
      </c>
    </row>
    <row r="6404" spans="1:15" x14ac:dyDescent="0.25">
      <c r="A6404" t="s">
        <v>4687</v>
      </c>
      <c r="B6404" t="s">
        <v>15</v>
      </c>
      <c r="C6404" t="s">
        <v>1607</v>
      </c>
      <c r="D6404" t="s">
        <v>17</v>
      </c>
      <c r="E6404" t="s">
        <v>18</v>
      </c>
      <c r="F6404" t="s">
        <v>19</v>
      </c>
      <c r="G6404" t="s">
        <v>20</v>
      </c>
      <c r="J6404" t="s">
        <v>17</v>
      </c>
      <c r="K6404" t="str">
        <f>"764907608"</f>
        <v>764907608</v>
      </c>
      <c r="L6404" t="str">
        <f>"764907608"</f>
        <v>764907608</v>
      </c>
      <c r="M6404" t="s">
        <v>21</v>
      </c>
      <c r="N6404" s="1">
        <v>44210.932638888888</v>
      </c>
      <c r="O6404" t="s">
        <v>19</v>
      </c>
    </row>
    <row r="6405" spans="1:15" x14ac:dyDescent="0.25">
      <c r="A6405" t="s">
        <v>4688</v>
      </c>
      <c r="B6405" t="s">
        <v>15</v>
      </c>
      <c r="C6405" t="s">
        <v>1607</v>
      </c>
      <c r="D6405" t="s">
        <v>17</v>
      </c>
      <c r="E6405" t="s">
        <v>18</v>
      </c>
      <c r="F6405" t="s">
        <v>19</v>
      </c>
      <c r="G6405" t="s">
        <v>20</v>
      </c>
      <c r="J6405" t="s">
        <v>17</v>
      </c>
      <c r="K6405" t="str">
        <f>"76490714"</f>
        <v>76490714</v>
      </c>
      <c r="L6405" t="str">
        <f>"76490714"</f>
        <v>76490714</v>
      </c>
      <c r="M6405" t="s">
        <v>75</v>
      </c>
      <c r="N6405" s="1">
        <v>42872.847222222219</v>
      </c>
      <c r="O6405" t="s">
        <v>19</v>
      </c>
    </row>
    <row r="6406" spans="1:15" x14ac:dyDescent="0.25">
      <c r="A6406" t="s">
        <v>4688</v>
      </c>
      <c r="B6406" t="s">
        <v>15</v>
      </c>
      <c r="C6406" t="s">
        <v>1607</v>
      </c>
      <c r="D6406" t="s">
        <v>17</v>
      </c>
      <c r="E6406" t="s">
        <v>18</v>
      </c>
      <c r="F6406" t="s">
        <v>19</v>
      </c>
      <c r="G6406" t="s">
        <v>20</v>
      </c>
      <c r="J6406" t="s">
        <v>17</v>
      </c>
      <c r="K6406" t="str">
        <f>"76570714"</f>
        <v>76570714</v>
      </c>
      <c r="L6406" t="str">
        <f>"76570714"</f>
        <v>76570714</v>
      </c>
      <c r="M6406" t="s">
        <v>75</v>
      </c>
      <c r="N6406" s="1">
        <v>42872.847222222219</v>
      </c>
      <c r="O6406" t="s">
        <v>19</v>
      </c>
    </row>
    <row r="6407" spans="1:15" x14ac:dyDescent="0.25">
      <c r="A6407" t="s">
        <v>4689</v>
      </c>
      <c r="B6407" t="s">
        <v>15</v>
      </c>
      <c r="C6407" t="s">
        <v>1607</v>
      </c>
      <c r="D6407" t="s">
        <v>17</v>
      </c>
      <c r="E6407" t="s">
        <v>18</v>
      </c>
      <c r="F6407" t="s">
        <v>19</v>
      </c>
      <c r="G6407" t="s">
        <v>20</v>
      </c>
      <c r="J6407" t="s">
        <v>17</v>
      </c>
      <c r="K6407" t="str">
        <f>"2019512588033"</f>
        <v>2019512588033</v>
      </c>
      <c r="L6407" t="str">
        <f>"34490715"</f>
        <v>34490715</v>
      </c>
      <c r="M6407" t="s">
        <v>21</v>
      </c>
      <c r="N6407" s="1">
        <v>42872.839583333334</v>
      </c>
      <c r="O6407" t="s">
        <v>19</v>
      </c>
    </row>
    <row r="6408" spans="1:15" x14ac:dyDescent="0.25">
      <c r="A6408" t="s">
        <v>4689</v>
      </c>
      <c r="B6408" t="s">
        <v>15</v>
      </c>
      <c r="C6408" t="s">
        <v>1607</v>
      </c>
      <c r="D6408" t="s">
        <v>17</v>
      </c>
      <c r="E6408" t="s">
        <v>18</v>
      </c>
      <c r="F6408" t="s">
        <v>19</v>
      </c>
      <c r="G6408" t="s">
        <v>20</v>
      </c>
      <c r="J6408" t="s">
        <v>17</v>
      </c>
      <c r="K6408" t="str">
        <f>"34680715"</f>
        <v>34680715</v>
      </c>
      <c r="L6408" t="str">
        <f>"34680715"</f>
        <v>34680715</v>
      </c>
      <c r="M6408" t="s">
        <v>75</v>
      </c>
      <c r="N6408" s="1">
        <v>42872.839583333334</v>
      </c>
      <c r="O6408" t="s">
        <v>19</v>
      </c>
    </row>
    <row r="6409" spans="1:15" x14ac:dyDescent="0.25">
      <c r="A6409" t="s">
        <v>4689</v>
      </c>
      <c r="B6409" t="s">
        <v>15</v>
      </c>
      <c r="C6409" t="s">
        <v>1607</v>
      </c>
      <c r="D6409" t="s">
        <v>17</v>
      </c>
      <c r="E6409" t="s">
        <v>18</v>
      </c>
      <c r="F6409" t="s">
        <v>19</v>
      </c>
      <c r="G6409" t="s">
        <v>20</v>
      </c>
      <c r="J6409" t="s">
        <v>17</v>
      </c>
      <c r="K6409" t="str">
        <f>"34680720"</f>
        <v>34680720</v>
      </c>
      <c r="L6409" t="str">
        <f>"34680720"</f>
        <v>34680720</v>
      </c>
      <c r="M6409" t="s">
        <v>75</v>
      </c>
      <c r="N6409" s="1">
        <v>42872.839583333334</v>
      </c>
      <c r="O6409" t="s">
        <v>19</v>
      </c>
    </row>
    <row r="6410" spans="1:15" x14ac:dyDescent="0.25">
      <c r="A6410" t="s">
        <v>4689</v>
      </c>
      <c r="B6410" t="s">
        <v>15</v>
      </c>
      <c r="C6410" t="s">
        <v>1607</v>
      </c>
      <c r="D6410" t="s">
        <v>17</v>
      </c>
      <c r="E6410" t="s">
        <v>18</v>
      </c>
      <c r="F6410" t="s">
        <v>19</v>
      </c>
      <c r="G6410" t="s">
        <v>20</v>
      </c>
      <c r="J6410" t="s">
        <v>17</v>
      </c>
      <c r="K6410" t="str">
        <f>"76460715"</f>
        <v>76460715</v>
      </c>
      <c r="L6410" t="str">
        <f>"76460715"</f>
        <v>76460715</v>
      </c>
      <c r="M6410" t="s">
        <v>75</v>
      </c>
      <c r="N6410" s="1">
        <v>42872.847222222219</v>
      </c>
      <c r="O6410" t="s">
        <v>19</v>
      </c>
    </row>
    <row r="6411" spans="1:15" x14ac:dyDescent="0.25">
      <c r="A6411" t="s">
        <v>4689</v>
      </c>
      <c r="B6411" t="s">
        <v>15</v>
      </c>
      <c r="C6411" t="s">
        <v>1607</v>
      </c>
      <c r="D6411" t="s">
        <v>17</v>
      </c>
      <c r="E6411" t="s">
        <v>18</v>
      </c>
      <c r="F6411" t="s">
        <v>19</v>
      </c>
      <c r="G6411" t="s">
        <v>20</v>
      </c>
      <c r="J6411" t="s">
        <v>17</v>
      </c>
      <c r="K6411" t="str">
        <f>"76490715"</f>
        <v>76490715</v>
      </c>
      <c r="L6411" t="str">
        <f>"76490715"</f>
        <v>76490715</v>
      </c>
      <c r="M6411" t="s">
        <v>75</v>
      </c>
      <c r="N6411" s="1">
        <v>42872.847222222219</v>
      </c>
      <c r="O6411" t="s">
        <v>19</v>
      </c>
    </row>
    <row r="6412" spans="1:15" x14ac:dyDescent="0.25">
      <c r="A6412" t="s">
        <v>4689</v>
      </c>
      <c r="B6412" t="s">
        <v>15</v>
      </c>
      <c r="C6412" t="s">
        <v>1607</v>
      </c>
      <c r="D6412" t="s">
        <v>17</v>
      </c>
      <c r="E6412" t="s">
        <v>18</v>
      </c>
      <c r="F6412" t="s">
        <v>19</v>
      </c>
      <c r="G6412" t="s">
        <v>20</v>
      </c>
      <c r="J6412" t="s">
        <v>17</v>
      </c>
      <c r="K6412" t="str">
        <f>"76490720"</f>
        <v>76490720</v>
      </c>
      <c r="L6412" t="str">
        <f>"76490720"</f>
        <v>76490720</v>
      </c>
      <c r="M6412" t="s">
        <v>75</v>
      </c>
      <c r="N6412" s="1">
        <v>42872.847222222219</v>
      </c>
      <c r="O6412" t="s">
        <v>19</v>
      </c>
    </row>
    <row r="6413" spans="1:15" x14ac:dyDescent="0.25">
      <c r="A6413" t="s">
        <v>4689</v>
      </c>
      <c r="B6413" t="s">
        <v>15</v>
      </c>
      <c r="C6413" t="s">
        <v>1607</v>
      </c>
      <c r="D6413" t="s">
        <v>17</v>
      </c>
      <c r="E6413" t="s">
        <v>18</v>
      </c>
      <c r="F6413" t="s">
        <v>19</v>
      </c>
      <c r="G6413" t="s">
        <v>20</v>
      </c>
      <c r="J6413" t="s">
        <v>17</v>
      </c>
      <c r="K6413" t="str">
        <f>"76570715"</f>
        <v>76570715</v>
      </c>
      <c r="L6413" t="str">
        <f>"76570715"</f>
        <v>76570715</v>
      </c>
      <c r="M6413" t="s">
        <v>75</v>
      </c>
      <c r="N6413" s="1">
        <v>42872.847222222219</v>
      </c>
      <c r="O6413" t="s">
        <v>19</v>
      </c>
    </row>
    <row r="6414" spans="1:15" x14ac:dyDescent="0.25">
      <c r="A6414" t="s">
        <v>4689</v>
      </c>
      <c r="B6414" t="s">
        <v>15</v>
      </c>
      <c r="C6414" t="s">
        <v>1607</v>
      </c>
      <c r="D6414" t="s">
        <v>17</v>
      </c>
      <c r="E6414" t="s">
        <v>18</v>
      </c>
      <c r="F6414" t="s">
        <v>19</v>
      </c>
      <c r="G6414" t="s">
        <v>20</v>
      </c>
      <c r="J6414" t="s">
        <v>17</v>
      </c>
      <c r="K6414" t="str">
        <f>"76570716"</f>
        <v>76570716</v>
      </c>
      <c r="L6414" t="str">
        <f>"76570716"</f>
        <v>76570716</v>
      </c>
      <c r="M6414" t="s">
        <v>75</v>
      </c>
      <c r="N6414" s="1">
        <v>42872.847222222219</v>
      </c>
      <c r="O6414" t="s">
        <v>19</v>
      </c>
    </row>
    <row r="6415" spans="1:15" x14ac:dyDescent="0.25">
      <c r="A6415" t="s">
        <v>4689</v>
      </c>
      <c r="B6415" t="s">
        <v>15</v>
      </c>
      <c r="C6415" t="s">
        <v>1607</v>
      </c>
      <c r="D6415" t="s">
        <v>17</v>
      </c>
      <c r="E6415" t="s">
        <v>18</v>
      </c>
      <c r="F6415" t="s">
        <v>19</v>
      </c>
      <c r="G6415" t="s">
        <v>20</v>
      </c>
      <c r="J6415" t="s">
        <v>17</v>
      </c>
      <c r="K6415" t="str">
        <f>"76570720"</f>
        <v>76570720</v>
      </c>
      <c r="L6415" t="str">
        <f>"76570720"</f>
        <v>76570720</v>
      </c>
      <c r="M6415" t="s">
        <v>75</v>
      </c>
      <c r="N6415" s="1">
        <v>42872.847222222219</v>
      </c>
      <c r="O6415" t="s">
        <v>19</v>
      </c>
    </row>
    <row r="6416" spans="1:15" x14ac:dyDescent="0.25">
      <c r="A6416" t="s">
        <v>4689</v>
      </c>
      <c r="B6416" t="s">
        <v>15</v>
      </c>
      <c r="C6416" t="s">
        <v>1607</v>
      </c>
      <c r="D6416" t="s">
        <v>17</v>
      </c>
      <c r="E6416" t="s">
        <v>18</v>
      </c>
      <c r="F6416" t="s">
        <v>19</v>
      </c>
      <c r="G6416" t="s">
        <v>20</v>
      </c>
      <c r="J6416" t="s">
        <v>17</v>
      </c>
      <c r="K6416" t="str">
        <f>"76680715"</f>
        <v>76680715</v>
      </c>
      <c r="L6416" t="str">
        <f>"76680715"</f>
        <v>76680715</v>
      </c>
      <c r="M6416" t="s">
        <v>75</v>
      </c>
      <c r="N6416" s="1">
        <v>42872.847222222219</v>
      </c>
      <c r="O6416" t="s">
        <v>19</v>
      </c>
    </row>
    <row r="6417" spans="1:15" x14ac:dyDescent="0.25">
      <c r="A6417" t="s">
        <v>4689</v>
      </c>
      <c r="B6417" t="s">
        <v>15</v>
      </c>
      <c r="C6417" t="s">
        <v>1607</v>
      </c>
      <c r="D6417" t="s">
        <v>17</v>
      </c>
      <c r="E6417" t="s">
        <v>18</v>
      </c>
      <c r="F6417" t="s">
        <v>19</v>
      </c>
      <c r="G6417" t="s">
        <v>20</v>
      </c>
      <c r="J6417" t="s">
        <v>17</v>
      </c>
      <c r="K6417" t="str">
        <f>"76680720"</f>
        <v>76680720</v>
      </c>
      <c r="L6417" t="str">
        <f>"76680720"</f>
        <v>76680720</v>
      </c>
      <c r="M6417" t="s">
        <v>75</v>
      </c>
      <c r="N6417" s="1">
        <v>42872.847222222219</v>
      </c>
      <c r="O6417" t="s">
        <v>19</v>
      </c>
    </row>
    <row r="6418" spans="1:15" x14ac:dyDescent="0.25">
      <c r="A6418" t="s">
        <v>4689</v>
      </c>
      <c r="B6418" t="s">
        <v>15</v>
      </c>
      <c r="C6418" t="s">
        <v>1607</v>
      </c>
      <c r="D6418" t="s">
        <v>17</v>
      </c>
      <c r="E6418" t="s">
        <v>18</v>
      </c>
      <c r="F6418" t="s">
        <v>19</v>
      </c>
      <c r="G6418" t="s">
        <v>20</v>
      </c>
      <c r="J6418" t="s">
        <v>17</v>
      </c>
      <c r="K6418" t="str">
        <f>"767470720"</f>
        <v>767470720</v>
      </c>
      <c r="L6418" t="str">
        <f>"767470720"</f>
        <v>767470720</v>
      </c>
      <c r="M6418" t="s">
        <v>75</v>
      </c>
      <c r="N6418" s="1">
        <v>42872.849305555559</v>
      </c>
      <c r="O6418" t="s">
        <v>19</v>
      </c>
    </row>
    <row r="6419" spans="1:15" x14ac:dyDescent="0.25">
      <c r="A6419" t="s">
        <v>4689</v>
      </c>
      <c r="B6419" t="s">
        <v>15</v>
      </c>
      <c r="C6419" t="s">
        <v>1607</v>
      </c>
      <c r="D6419" t="s">
        <v>17</v>
      </c>
      <c r="E6419" t="s">
        <v>18</v>
      </c>
      <c r="F6419" t="s">
        <v>19</v>
      </c>
      <c r="G6419" t="s">
        <v>20</v>
      </c>
      <c r="J6419" t="s">
        <v>17</v>
      </c>
      <c r="K6419" t="str">
        <f>"41490715"</f>
        <v>41490715</v>
      </c>
      <c r="L6419" t="str">
        <f>"41490715"</f>
        <v>41490715</v>
      </c>
      <c r="M6419" t="s">
        <v>75</v>
      </c>
      <c r="N6419" s="1">
        <v>43131.828472222223</v>
      </c>
      <c r="O6419" t="s">
        <v>19</v>
      </c>
    </row>
    <row r="6420" spans="1:15" x14ac:dyDescent="0.25">
      <c r="A6420" t="s">
        <v>4690</v>
      </c>
      <c r="B6420" t="s">
        <v>15</v>
      </c>
      <c r="C6420" t="s">
        <v>32</v>
      </c>
      <c r="D6420" t="s">
        <v>17</v>
      </c>
      <c r="E6420" t="s">
        <v>18</v>
      </c>
      <c r="F6420" t="s">
        <v>19</v>
      </c>
      <c r="G6420" t="s">
        <v>20</v>
      </c>
      <c r="J6420" t="s">
        <v>17</v>
      </c>
      <c r="K6420" t="str">
        <f>"2019512588034"</f>
        <v>2019512588034</v>
      </c>
      <c r="L6420" t="str">
        <f>"34490716"</f>
        <v>34490716</v>
      </c>
      <c r="M6420" t="s">
        <v>21</v>
      </c>
      <c r="N6420" s="1">
        <v>42872.839583333334</v>
      </c>
      <c r="O6420" t="s">
        <v>19</v>
      </c>
    </row>
    <row r="6421" spans="1:15" x14ac:dyDescent="0.25">
      <c r="A6421" t="s">
        <v>4690</v>
      </c>
      <c r="B6421" t="s">
        <v>15</v>
      </c>
      <c r="C6421" t="s">
        <v>1607</v>
      </c>
      <c r="D6421" t="s">
        <v>17</v>
      </c>
      <c r="E6421" t="s">
        <v>18</v>
      </c>
      <c r="F6421" t="s">
        <v>19</v>
      </c>
      <c r="G6421" t="s">
        <v>20</v>
      </c>
      <c r="J6421" t="s">
        <v>17</v>
      </c>
      <c r="K6421" t="str">
        <f>"34570716"</f>
        <v>34570716</v>
      </c>
      <c r="L6421" t="str">
        <f>"34570716"</f>
        <v>34570716</v>
      </c>
      <c r="M6421" t="s">
        <v>75</v>
      </c>
      <c r="N6421" s="1">
        <v>42872.839583333334</v>
      </c>
      <c r="O6421" t="s">
        <v>19</v>
      </c>
    </row>
    <row r="6422" spans="1:15" x14ac:dyDescent="0.25">
      <c r="A6422" t="s">
        <v>4690</v>
      </c>
      <c r="B6422" t="s">
        <v>15</v>
      </c>
      <c r="C6422" t="s">
        <v>1607</v>
      </c>
      <c r="D6422" t="s">
        <v>17</v>
      </c>
      <c r="E6422" t="s">
        <v>18</v>
      </c>
      <c r="F6422" t="s">
        <v>19</v>
      </c>
      <c r="G6422" t="s">
        <v>20</v>
      </c>
      <c r="J6422" t="s">
        <v>17</v>
      </c>
      <c r="K6422" t="str">
        <f>"76460716"</f>
        <v>76460716</v>
      </c>
      <c r="L6422" t="str">
        <f>"76460716"</f>
        <v>76460716</v>
      </c>
      <c r="M6422" t="s">
        <v>75</v>
      </c>
      <c r="N6422" s="1">
        <v>42872.847222222219</v>
      </c>
      <c r="O6422" t="s">
        <v>19</v>
      </c>
    </row>
    <row r="6423" spans="1:15" x14ac:dyDescent="0.25">
      <c r="A6423" t="s">
        <v>4690</v>
      </c>
      <c r="B6423" t="s">
        <v>15</v>
      </c>
      <c r="C6423" t="s">
        <v>1607</v>
      </c>
      <c r="D6423" t="s">
        <v>17</v>
      </c>
      <c r="E6423" t="s">
        <v>18</v>
      </c>
      <c r="F6423" t="s">
        <v>19</v>
      </c>
      <c r="G6423" t="s">
        <v>20</v>
      </c>
      <c r="J6423" t="s">
        <v>17</v>
      </c>
      <c r="K6423" t="str">
        <f>"76490716"</f>
        <v>76490716</v>
      </c>
      <c r="L6423" t="str">
        <f>"76490716"</f>
        <v>76490716</v>
      </c>
      <c r="M6423" t="s">
        <v>75</v>
      </c>
      <c r="N6423" s="1">
        <v>42872.847222222219</v>
      </c>
      <c r="O6423" t="s">
        <v>19</v>
      </c>
    </row>
    <row r="6424" spans="1:15" x14ac:dyDescent="0.25">
      <c r="A6424" t="s">
        <v>4690</v>
      </c>
      <c r="B6424" t="s">
        <v>15</v>
      </c>
      <c r="C6424" t="s">
        <v>1607</v>
      </c>
      <c r="D6424" t="s">
        <v>17</v>
      </c>
      <c r="E6424" t="s">
        <v>18</v>
      </c>
      <c r="F6424" t="s">
        <v>19</v>
      </c>
      <c r="G6424" t="s">
        <v>20</v>
      </c>
      <c r="J6424" t="s">
        <v>17</v>
      </c>
      <c r="K6424" t="str">
        <f>"76680716"</f>
        <v>76680716</v>
      </c>
      <c r="L6424" t="str">
        <f>"76680716"</f>
        <v>76680716</v>
      </c>
      <c r="M6424" t="s">
        <v>75</v>
      </c>
      <c r="N6424" s="1">
        <v>42872.847222222219</v>
      </c>
      <c r="O6424" t="s">
        <v>19</v>
      </c>
    </row>
    <row r="6425" spans="1:15" x14ac:dyDescent="0.25">
      <c r="A6425" t="s">
        <v>4690</v>
      </c>
      <c r="B6425" t="s">
        <v>15</v>
      </c>
      <c r="C6425" t="s">
        <v>1607</v>
      </c>
      <c r="D6425" t="s">
        <v>17</v>
      </c>
      <c r="E6425" t="s">
        <v>18</v>
      </c>
      <c r="F6425" t="s">
        <v>19</v>
      </c>
      <c r="G6425" t="s">
        <v>20</v>
      </c>
      <c r="J6425" t="s">
        <v>17</v>
      </c>
      <c r="K6425" t="str">
        <f>"764640716"</f>
        <v>764640716</v>
      </c>
      <c r="L6425" t="str">
        <f>"764640716"</f>
        <v>764640716</v>
      </c>
      <c r="M6425" t="s">
        <v>75</v>
      </c>
      <c r="N6425" s="1">
        <v>42872.849305555559</v>
      </c>
      <c r="O6425" t="s">
        <v>19</v>
      </c>
    </row>
    <row r="6426" spans="1:15" x14ac:dyDescent="0.25">
      <c r="A6426" t="s">
        <v>4690</v>
      </c>
      <c r="B6426" t="s">
        <v>15</v>
      </c>
      <c r="C6426" t="s">
        <v>1607</v>
      </c>
      <c r="D6426" t="s">
        <v>17</v>
      </c>
      <c r="E6426" t="s">
        <v>18</v>
      </c>
      <c r="F6426" t="s">
        <v>19</v>
      </c>
      <c r="G6426" t="s">
        <v>20</v>
      </c>
      <c r="J6426" t="s">
        <v>17</v>
      </c>
      <c r="K6426" t="str">
        <f>"41490716"</f>
        <v>41490716</v>
      </c>
      <c r="L6426" t="str">
        <f>"41490716"</f>
        <v>41490716</v>
      </c>
      <c r="M6426" t="s">
        <v>75</v>
      </c>
      <c r="N6426" s="1">
        <v>43131.828472222223</v>
      </c>
      <c r="O6426" t="s">
        <v>19</v>
      </c>
    </row>
    <row r="6427" spans="1:15" x14ac:dyDescent="0.25">
      <c r="A6427" t="s">
        <v>4690</v>
      </c>
      <c r="B6427" t="s">
        <v>15</v>
      </c>
      <c r="C6427" t="s">
        <v>1607</v>
      </c>
      <c r="D6427" t="s">
        <v>17</v>
      </c>
      <c r="E6427" t="s">
        <v>18</v>
      </c>
      <c r="F6427" t="s">
        <v>19</v>
      </c>
      <c r="G6427" t="s">
        <v>20</v>
      </c>
      <c r="J6427" t="s">
        <v>17</v>
      </c>
      <c r="K6427" t="str">
        <f>"2019030200029"</f>
        <v>2019030200029</v>
      </c>
      <c r="L6427" t="str">
        <f>"17490716"</f>
        <v>17490716</v>
      </c>
      <c r="M6427" t="s">
        <v>21</v>
      </c>
      <c r="N6427" s="1">
        <v>43649.657638888886</v>
      </c>
      <c r="O6427" t="s">
        <v>19</v>
      </c>
    </row>
    <row r="6428" spans="1:15" x14ac:dyDescent="0.25">
      <c r="A6428" t="s">
        <v>4690</v>
      </c>
      <c r="B6428" t="s">
        <v>15</v>
      </c>
      <c r="C6428" t="s">
        <v>1607</v>
      </c>
      <c r="D6428" t="s">
        <v>17</v>
      </c>
      <c r="E6428" t="s">
        <v>18</v>
      </c>
      <c r="F6428" t="s">
        <v>19</v>
      </c>
      <c r="G6428" t="s">
        <v>20</v>
      </c>
      <c r="J6428" t="s">
        <v>17</v>
      </c>
      <c r="K6428" t="str">
        <f>"68490716"</f>
        <v>68490716</v>
      </c>
      <c r="L6428" t="str">
        <f>"68490716"</f>
        <v>68490716</v>
      </c>
      <c r="M6428" t="s">
        <v>21</v>
      </c>
      <c r="N6428" s="1">
        <v>43819.710416666669</v>
      </c>
      <c r="O6428" t="s">
        <v>19</v>
      </c>
    </row>
    <row r="6429" spans="1:15" x14ac:dyDescent="0.25">
      <c r="A6429" t="s">
        <v>4690</v>
      </c>
      <c r="B6429" t="s">
        <v>15</v>
      </c>
      <c r="C6429" t="s">
        <v>1607</v>
      </c>
      <c r="D6429" t="s">
        <v>17</v>
      </c>
      <c r="E6429" t="s">
        <v>18</v>
      </c>
      <c r="F6429" t="s">
        <v>19</v>
      </c>
      <c r="G6429" t="s">
        <v>20</v>
      </c>
      <c r="J6429" t="s">
        <v>17</v>
      </c>
      <c r="K6429" t="str">
        <f>"67390716"</f>
        <v>67390716</v>
      </c>
      <c r="L6429" t="str">
        <f>"67390716"</f>
        <v>67390716</v>
      </c>
      <c r="M6429" t="s">
        <v>21</v>
      </c>
      <c r="N6429" s="1">
        <v>43873.78125</v>
      </c>
      <c r="O6429" t="s">
        <v>19</v>
      </c>
    </row>
    <row r="6430" spans="1:15" x14ac:dyDescent="0.25">
      <c r="A6430" t="s">
        <v>4691</v>
      </c>
      <c r="B6430" t="s">
        <v>15</v>
      </c>
      <c r="C6430" t="s">
        <v>1607</v>
      </c>
      <c r="D6430" t="s">
        <v>17</v>
      </c>
      <c r="E6430" t="s">
        <v>18</v>
      </c>
      <c r="F6430" t="s">
        <v>19</v>
      </c>
      <c r="G6430" t="s">
        <v>20</v>
      </c>
      <c r="J6430" t="s">
        <v>17</v>
      </c>
      <c r="K6430" t="str">
        <f>"76490717"</f>
        <v>76490717</v>
      </c>
      <c r="L6430" t="str">
        <f>"76490717"</f>
        <v>76490717</v>
      </c>
      <c r="M6430" t="s">
        <v>75</v>
      </c>
      <c r="N6430" s="1">
        <v>42872.847222222219</v>
      </c>
      <c r="O6430" t="s">
        <v>19</v>
      </c>
    </row>
    <row r="6431" spans="1:15" x14ac:dyDescent="0.25">
      <c r="A6431" t="s">
        <v>4691</v>
      </c>
      <c r="B6431" t="s">
        <v>15</v>
      </c>
      <c r="C6431" t="s">
        <v>1607</v>
      </c>
      <c r="D6431" t="s">
        <v>17</v>
      </c>
      <c r="E6431" t="s">
        <v>18</v>
      </c>
      <c r="F6431" t="s">
        <v>19</v>
      </c>
      <c r="G6431" t="s">
        <v>20</v>
      </c>
      <c r="J6431" t="s">
        <v>17</v>
      </c>
      <c r="K6431" t="str">
        <f>"76680717"</f>
        <v>76680717</v>
      </c>
      <c r="L6431" t="str">
        <f>"76680717"</f>
        <v>76680717</v>
      </c>
      <c r="M6431" t="s">
        <v>75</v>
      </c>
      <c r="N6431" s="1">
        <v>42872.847222222219</v>
      </c>
      <c r="O6431" t="s">
        <v>19</v>
      </c>
    </row>
    <row r="6432" spans="1:15" x14ac:dyDescent="0.25">
      <c r="A6432" t="s">
        <v>4691</v>
      </c>
      <c r="B6432" t="s">
        <v>15</v>
      </c>
      <c r="C6432" t="s">
        <v>1607</v>
      </c>
      <c r="D6432" t="s">
        <v>17</v>
      </c>
      <c r="E6432" t="s">
        <v>18</v>
      </c>
      <c r="F6432" t="s">
        <v>19</v>
      </c>
      <c r="G6432" t="s">
        <v>20</v>
      </c>
      <c r="J6432" t="s">
        <v>17</v>
      </c>
      <c r="K6432" t="str">
        <f>"34680717"</f>
        <v>34680717</v>
      </c>
      <c r="L6432" t="str">
        <f>"34680717"</f>
        <v>34680717</v>
      </c>
      <c r="M6432" t="s">
        <v>75</v>
      </c>
      <c r="N6432" s="1">
        <v>42894.861111111109</v>
      </c>
      <c r="O6432" t="s">
        <v>19</v>
      </c>
    </row>
    <row r="6433" spans="1:15" x14ac:dyDescent="0.25">
      <c r="A6433" t="s">
        <v>4691</v>
      </c>
      <c r="B6433" t="s">
        <v>15</v>
      </c>
      <c r="C6433" t="s">
        <v>1607</v>
      </c>
      <c r="D6433" t="s">
        <v>17</v>
      </c>
      <c r="E6433" t="s">
        <v>18</v>
      </c>
      <c r="F6433" t="s">
        <v>19</v>
      </c>
      <c r="G6433" t="s">
        <v>20</v>
      </c>
      <c r="J6433" t="s">
        <v>17</v>
      </c>
      <c r="K6433" t="str">
        <f>"17490717"</f>
        <v>17490717</v>
      </c>
      <c r="L6433" t="str">
        <f>"17490717"</f>
        <v>17490717</v>
      </c>
      <c r="M6433" t="s">
        <v>75</v>
      </c>
      <c r="N6433" s="1">
        <v>43132.642361111109</v>
      </c>
      <c r="O6433" t="s">
        <v>19</v>
      </c>
    </row>
    <row r="6434" spans="1:15" x14ac:dyDescent="0.25">
      <c r="A6434" t="s">
        <v>4692</v>
      </c>
      <c r="B6434" t="s">
        <v>15</v>
      </c>
      <c r="C6434" t="s">
        <v>1607</v>
      </c>
      <c r="D6434" t="s">
        <v>17</v>
      </c>
      <c r="E6434" t="s">
        <v>18</v>
      </c>
      <c r="F6434" t="s">
        <v>19</v>
      </c>
      <c r="G6434" t="s">
        <v>20</v>
      </c>
      <c r="J6434" t="s">
        <v>17</v>
      </c>
      <c r="K6434" t="str">
        <f>"1000001080703"</f>
        <v>1000001080703</v>
      </c>
      <c r="L6434" t="str">
        <f>"764907253"</f>
        <v>764907253</v>
      </c>
      <c r="M6434" t="s">
        <v>21</v>
      </c>
      <c r="N6434" s="1">
        <v>42872.849305555559</v>
      </c>
      <c r="O6434" t="s">
        <v>19</v>
      </c>
    </row>
    <row r="6435" spans="1:15" x14ac:dyDescent="0.25">
      <c r="A6435" t="s">
        <v>4692</v>
      </c>
      <c r="B6435" t="s">
        <v>15</v>
      </c>
      <c r="C6435" t="s">
        <v>1607</v>
      </c>
      <c r="D6435" t="s">
        <v>17</v>
      </c>
      <c r="E6435" t="s">
        <v>18</v>
      </c>
      <c r="F6435" t="s">
        <v>19</v>
      </c>
      <c r="G6435" t="s">
        <v>20</v>
      </c>
      <c r="J6435" t="s">
        <v>17</v>
      </c>
      <c r="K6435" t="str">
        <f>"766807253"</f>
        <v>766807253</v>
      </c>
      <c r="L6435" t="str">
        <f>"766807253"</f>
        <v>766807253</v>
      </c>
      <c r="M6435" t="s">
        <v>75</v>
      </c>
      <c r="N6435" s="1">
        <v>42872.849305555559</v>
      </c>
      <c r="O6435" t="s">
        <v>19</v>
      </c>
    </row>
    <row r="6436" spans="1:15" x14ac:dyDescent="0.25">
      <c r="A6436" t="s">
        <v>4692</v>
      </c>
      <c r="B6436" t="s">
        <v>15</v>
      </c>
      <c r="C6436" t="s">
        <v>1607</v>
      </c>
      <c r="D6436" t="s">
        <v>17</v>
      </c>
      <c r="E6436" t="s">
        <v>18</v>
      </c>
      <c r="F6436" t="s">
        <v>19</v>
      </c>
      <c r="G6436" t="s">
        <v>20</v>
      </c>
      <c r="J6436" t="s">
        <v>17</v>
      </c>
      <c r="K6436" t="str">
        <f>"414907253"</f>
        <v>414907253</v>
      </c>
      <c r="L6436" t="str">
        <f>"414907253"</f>
        <v>414907253</v>
      </c>
      <c r="M6436" t="s">
        <v>75</v>
      </c>
      <c r="N6436" s="1">
        <v>43131.82916666667</v>
      </c>
      <c r="O6436" t="s">
        <v>19</v>
      </c>
    </row>
    <row r="6437" spans="1:15" x14ac:dyDescent="0.25">
      <c r="A6437" t="s">
        <v>4692</v>
      </c>
      <c r="B6437" t="s">
        <v>15</v>
      </c>
      <c r="C6437" t="s">
        <v>1607</v>
      </c>
      <c r="D6437" t="s">
        <v>17</v>
      </c>
      <c r="E6437" t="s">
        <v>18</v>
      </c>
      <c r="F6437" t="s">
        <v>19</v>
      </c>
      <c r="G6437" t="s">
        <v>20</v>
      </c>
      <c r="J6437" t="s">
        <v>17</v>
      </c>
      <c r="K6437" t="str">
        <f>"174907253"</f>
        <v>174907253</v>
      </c>
      <c r="L6437" t="str">
        <f>"174907253"</f>
        <v>174907253</v>
      </c>
      <c r="M6437" t="s">
        <v>75</v>
      </c>
      <c r="N6437" s="1">
        <v>43132.640972222223</v>
      </c>
      <c r="O6437" t="s">
        <v>19</v>
      </c>
    </row>
    <row r="6438" spans="1:15" x14ac:dyDescent="0.25">
      <c r="A6438" t="s">
        <v>4693</v>
      </c>
      <c r="B6438" t="s">
        <v>15</v>
      </c>
      <c r="C6438" t="s">
        <v>1607</v>
      </c>
      <c r="D6438" t="s">
        <v>17</v>
      </c>
      <c r="E6438" t="s">
        <v>18</v>
      </c>
      <c r="F6438" t="s">
        <v>19</v>
      </c>
      <c r="G6438" t="s">
        <v>20</v>
      </c>
      <c r="J6438" t="s">
        <v>17</v>
      </c>
      <c r="K6438" t="str">
        <f>"764807254"</f>
        <v>764807254</v>
      </c>
      <c r="L6438" t="str">
        <f>"764807254"</f>
        <v>764807254</v>
      </c>
      <c r="M6438" t="s">
        <v>75</v>
      </c>
      <c r="N6438" s="1">
        <v>42872.849305555559</v>
      </c>
      <c r="O6438" t="s">
        <v>19</v>
      </c>
    </row>
    <row r="6439" spans="1:15" x14ac:dyDescent="0.25">
      <c r="A6439" t="s">
        <v>4693</v>
      </c>
      <c r="B6439" t="s">
        <v>15</v>
      </c>
      <c r="C6439" t="s">
        <v>1607</v>
      </c>
      <c r="D6439" t="s">
        <v>17</v>
      </c>
      <c r="E6439" t="s">
        <v>18</v>
      </c>
      <c r="F6439" t="s">
        <v>19</v>
      </c>
      <c r="G6439" t="s">
        <v>20</v>
      </c>
      <c r="J6439" t="s">
        <v>17</v>
      </c>
      <c r="K6439" t="str">
        <f>"1000001095820"</f>
        <v>1000001095820</v>
      </c>
      <c r="L6439" t="str">
        <f>"764907254"</f>
        <v>764907254</v>
      </c>
      <c r="M6439" t="s">
        <v>21</v>
      </c>
      <c r="N6439" s="1">
        <v>42872.849305555559</v>
      </c>
      <c r="O6439" t="s">
        <v>19</v>
      </c>
    </row>
    <row r="6440" spans="1:15" x14ac:dyDescent="0.25">
      <c r="A6440" t="s">
        <v>4693</v>
      </c>
      <c r="B6440" t="s">
        <v>15</v>
      </c>
      <c r="C6440" t="s">
        <v>1607</v>
      </c>
      <c r="D6440" t="s">
        <v>17</v>
      </c>
      <c r="E6440" t="s">
        <v>18</v>
      </c>
      <c r="F6440" t="s">
        <v>19</v>
      </c>
      <c r="G6440" t="s">
        <v>20</v>
      </c>
      <c r="J6440" t="s">
        <v>17</v>
      </c>
      <c r="K6440" t="str">
        <f>"766807254"</f>
        <v>766807254</v>
      </c>
      <c r="L6440" t="str">
        <f>"766807254"</f>
        <v>766807254</v>
      </c>
      <c r="M6440" t="s">
        <v>75</v>
      </c>
      <c r="N6440" s="1">
        <v>42872.849305555559</v>
      </c>
      <c r="O6440" t="s">
        <v>19</v>
      </c>
    </row>
    <row r="6441" spans="1:15" x14ac:dyDescent="0.25">
      <c r="A6441" t="s">
        <v>4693</v>
      </c>
      <c r="B6441" t="s">
        <v>15</v>
      </c>
      <c r="C6441" t="s">
        <v>1607</v>
      </c>
      <c r="D6441" t="s">
        <v>17</v>
      </c>
      <c r="E6441" t="s">
        <v>18</v>
      </c>
      <c r="F6441" t="s">
        <v>19</v>
      </c>
      <c r="G6441" t="s">
        <v>20</v>
      </c>
      <c r="J6441" t="s">
        <v>17</v>
      </c>
      <c r="K6441" t="str">
        <f>"174907254"</f>
        <v>174907254</v>
      </c>
      <c r="L6441" t="str">
        <f>"174907254"</f>
        <v>174907254</v>
      </c>
      <c r="M6441" t="s">
        <v>75</v>
      </c>
      <c r="N6441" s="1">
        <v>43132.640277777777</v>
      </c>
      <c r="O6441" t="s">
        <v>19</v>
      </c>
    </row>
    <row r="6442" spans="1:15" x14ac:dyDescent="0.25">
      <c r="A6442" t="s">
        <v>4693</v>
      </c>
      <c r="B6442" t="s">
        <v>15</v>
      </c>
      <c r="C6442" t="s">
        <v>1607</v>
      </c>
      <c r="D6442" t="s">
        <v>17</v>
      </c>
      <c r="E6442" t="s">
        <v>18</v>
      </c>
      <c r="F6442" t="s">
        <v>19</v>
      </c>
      <c r="G6442" t="s">
        <v>20</v>
      </c>
      <c r="J6442" t="s">
        <v>17</v>
      </c>
      <c r="K6442" t="str">
        <f>"344907254"</f>
        <v>344907254</v>
      </c>
      <c r="L6442" t="str">
        <f>"344907254"</f>
        <v>344907254</v>
      </c>
      <c r="M6442" t="s">
        <v>21</v>
      </c>
      <c r="N6442" s="1">
        <v>43799.595833333333</v>
      </c>
      <c r="O6442" t="s">
        <v>19</v>
      </c>
    </row>
    <row r="6443" spans="1:15" x14ac:dyDescent="0.25">
      <c r="A6443" t="s">
        <v>4694</v>
      </c>
      <c r="B6443" t="s">
        <v>15</v>
      </c>
      <c r="C6443" t="s">
        <v>1607</v>
      </c>
      <c r="D6443" t="s">
        <v>17</v>
      </c>
      <c r="E6443" t="s">
        <v>18</v>
      </c>
      <c r="F6443" t="s">
        <v>19</v>
      </c>
      <c r="G6443" t="s">
        <v>20</v>
      </c>
      <c r="J6443" t="s">
        <v>17</v>
      </c>
      <c r="K6443" t="str">
        <f>"764907255"</f>
        <v>764907255</v>
      </c>
      <c r="L6443" t="str">
        <f>"764907255"</f>
        <v>764907255</v>
      </c>
      <c r="M6443" t="s">
        <v>75</v>
      </c>
      <c r="N6443" s="1">
        <v>43147.875694444447</v>
      </c>
      <c r="O6443" t="s">
        <v>19</v>
      </c>
    </row>
    <row r="6444" spans="1:15" x14ac:dyDescent="0.25">
      <c r="A6444" t="s">
        <v>4694</v>
      </c>
      <c r="B6444" t="s">
        <v>15</v>
      </c>
      <c r="C6444" t="s">
        <v>1607</v>
      </c>
      <c r="D6444" t="s">
        <v>17</v>
      </c>
      <c r="E6444" t="s">
        <v>18</v>
      </c>
      <c r="F6444" t="s">
        <v>19</v>
      </c>
      <c r="G6444" t="s">
        <v>20</v>
      </c>
      <c r="J6444" t="s">
        <v>17</v>
      </c>
      <c r="K6444" t="str">
        <f>"766807255"</f>
        <v>766807255</v>
      </c>
      <c r="L6444" t="str">
        <f>"766807255"</f>
        <v>766807255</v>
      </c>
      <c r="M6444" t="s">
        <v>75</v>
      </c>
      <c r="N6444" s="1">
        <v>43237.65902777778</v>
      </c>
      <c r="O6444" t="s">
        <v>19</v>
      </c>
    </row>
    <row r="6445" spans="1:15" x14ac:dyDescent="0.25">
      <c r="A6445" t="s">
        <v>4695</v>
      </c>
      <c r="B6445" t="s">
        <v>15</v>
      </c>
      <c r="C6445" t="s">
        <v>1607</v>
      </c>
      <c r="D6445" t="s">
        <v>17</v>
      </c>
      <c r="E6445" t="s">
        <v>18</v>
      </c>
      <c r="F6445" t="s">
        <v>19</v>
      </c>
      <c r="G6445" t="s">
        <v>20</v>
      </c>
      <c r="J6445" t="s">
        <v>17</v>
      </c>
      <c r="K6445" t="str">
        <f>"174807256"</f>
        <v>174807256</v>
      </c>
      <c r="L6445" t="str">
        <f>"174807256"</f>
        <v>174807256</v>
      </c>
      <c r="M6445" t="s">
        <v>75</v>
      </c>
      <c r="N6445" s="1">
        <v>43175.784722222219</v>
      </c>
      <c r="O6445" t="s">
        <v>19</v>
      </c>
    </row>
    <row r="6446" spans="1:15" x14ac:dyDescent="0.25">
      <c r="A6446" t="s">
        <v>4695</v>
      </c>
      <c r="B6446" t="s">
        <v>15</v>
      </c>
      <c r="C6446" t="s">
        <v>1607</v>
      </c>
      <c r="D6446" t="s">
        <v>17</v>
      </c>
      <c r="E6446" t="s">
        <v>18</v>
      </c>
      <c r="F6446" t="s">
        <v>19</v>
      </c>
      <c r="G6446" t="s">
        <v>20</v>
      </c>
      <c r="J6446" t="s">
        <v>17</v>
      </c>
      <c r="K6446" t="str">
        <f>"764907256"</f>
        <v>764907256</v>
      </c>
      <c r="L6446" t="str">
        <f>"764907256"</f>
        <v>764907256</v>
      </c>
      <c r="M6446" t="s">
        <v>75</v>
      </c>
      <c r="N6446" s="1">
        <v>43179.667361111111</v>
      </c>
      <c r="O6446" t="s">
        <v>19</v>
      </c>
    </row>
    <row r="6447" spans="1:15" x14ac:dyDescent="0.25">
      <c r="A6447" t="s">
        <v>4695</v>
      </c>
      <c r="B6447" t="s">
        <v>15</v>
      </c>
      <c r="C6447" t="s">
        <v>1607</v>
      </c>
      <c r="D6447" t="s">
        <v>17</v>
      </c>
      <c r="E6447" t="s">
        <v>18</v>
      </c>
      <c r="F6447" t="s">
        <v>19</v>
      </c>
      <c r="G6447" t="s">
        <v>20</v>
      </c>
      <c r="J6447" t="s">
        <v>17</v>
      </c>
      <c r="K6447" t="str">
        <f>"766807256"</f>
        <v>766807256</v>
      </c>
      <c r="L6447" t="str">
        <f>"766807256"</f>
        <v>766807256</v>
      </c>
      <c r="M6447" t="s">
        <v>84</v>
      </c>
      <c r="N6447" s="1">
        <v>43286.962500000001</v>
      </c>
      <c r="O6447" t="s">
        <v>19</v>
      </c>
    </row>
    <row r="6448" spans="1:15" x14ac:dyDescent="0.25">
      <c r="A6448" t="s">
        <v>4696</v>
      </c>
      <c r="B6448" t="s">
        <v>15</v>
      </c>
      <c r="C6448" t="s">
        <v>1607</v>
      </c>
      <c r="D6448" t="s">
        <v>17</v>
      </c>
      <c r="E6448" t="s">
        <v>18</v>
      </c>
      <c r="F6448" t="s">
        <v>19</v>
      </c>
      <c r="G6448" t="s">
        <v>20</v>
      </c>
      <c r="J6448" t="s">
        <v>17</v>
      </c>
      <c r="K6448" t="str">
        <f>"766807257"</f>
        <v>766807257</v>
      </c>
      <c r="L6448" t="str">
        <f>"766807257"</f>
        <v>766807257</v>
      </c>
      <c r="M6448" t="s">
        <v>75</v>
      </c>
      <c r="N6448" s="1">
        <v>43097.691666666666</v>
      </c>
      <c r="O6448" t="s">
        <v>19</v>
      </c>
    </row>
    <row r="6449" spans="1:15" x14ac:dyDescent="0.25">
      <c r="A6449" t="s">
        <v>4696</v>
      </c>
      <c r="B6449" t="s">
        <v>15</v>
      </c>
      <c r="C6449" t="s">
        <v>1607</v>
      </c>
      <c r="D6449" t="s">
        <v>17</v>
      </c>
      <c r="E6449" t="s">
        <v>18</v>
      </c>
      <c r="F6449" t="s">
        <v>19</v>
      </c>
      <c r="G6449" t="s">
        <v>20</v>
      </c>
      <c r="J6449" t="s">
        <v>17</v>
      </c>
      <c r="K6449" t="str">
        <f>"346807257"</f>
        <v>346807257</v>
      </c>
      <c r="L6449" t="str">
        <f>"346807257"</f>
        <v>346807257</v>
      </c>
      <c r="M6449" t="s">
        <v>75</v>
      </c>
      <c r="N6449" s="1">
        <v>43216.961111111108</v>
      </c>
      <c r="O6449" t="s">
        <v>19</v>
      </c>
    </row>
    <row r="6450" spans="1:15" x14ac:dyDescent="0.25">
      <c r="A6450" t="s">
        <v>4696</v>
      </c>
      <c r="B6450" t="s">
        <v>15</v>
      </c>
      <c r="C6450" t="s">
        <v>1607</v>
      </c>
      <c r="D6450" t="s">
        <v>17</v>
      </c>
      <c r="E6450" t="s">
        <v>18</v>
      </c>
      <c r="F6450" t="s">
        <v>19</v>
      </c>
      <c r="G6450" t="s">
        <v>20</v>
      </c>
      <c r="J6450" t="s">
        <v>17</v>
      </c>
      <c r="K6450" t="str">
        <f>"764907257"</f>
        <v>764907257</v>
      </c>
      <c r="L6450" t="str">
        <f>"764907257"</f>
        <v>764907257</v>
      </c>
      <c r="M6450" t="s">
        <v>75</v>
      </c>
      <c r="N6450" s="1">
        <v>43237.660416666666</v>
      </c>
      <c r="O6450" t="s">
        <v>19</v>
      </c>
    </row>
    <row r="6451" spans="1:15" x14ac:dyDescent="0.25">
      <c r="A6451" t="s">
        <v>4697</v>
      </c>
      <c r="B6451" t="s">
        <v>15</v>
      </c>
      <c r="C6451" t="s">
        <v>1607</v>
      </c>
      <c r="D6451" t="s">
        <v>17</v>
      </c>
      <c r="E6451" t="s">
        <v>18</v>
      </c>
      <c r="F6451" t="s">
        <v>19</v>
      </c>
      <c r="G6451" t="s">
        <v>20</v>
      </c>
      <c r="J6451" t="s">
        <v>17</v>
      </c>
      <c r="K6451" t="str">
        <f>"134907259"</f>
        <v>134907259</v>
      </c>
      <c r="L6451" t="str">
        <f>"134907259"</f>
        <v>134907259</v>
      </c>
      <c r="M6451" t="s">
        <v>21</v>
      </c>
      <c r="N6451" s="1">
        <v>44348.85833333333</v>
      </c>
      <c r="O6451" t="s">
        <v>19</v>
      </c>
    </row>
    <row r="6452" spans="1:15" x14ac:dyDescent="0.25">
      <c r="A6452" t="s">
        <v>4698</v>
      </c>
      <c r="B6452" t="s">
        <v>15</v>
      </c>
      <c r="C6452" t="s">
        <v>1607</v>
      </c>
      <c r="D6452" t="s">
        <v>17</v>
      </c>
      <c r="E6452" t="s">
        <v>18</v>
      </c>
      <c r="F6452" t="s">
        <v>19</v>
      </c>
      <c r="G6452" t="s">
        <v>20</v>
      </c>
      <c r="J6452" t="s">
        <v>17</v>
      </c>
      <c r="K6452" t="str">
        <f>"764907258"</f>
        <v>764907258</v>
      </c>
      <c r="L6452" t="str">
        <f>"764907258"</f>
        <v>764907258</v>
      </c>
      <c r="M6452" t="s">
        <v>84</v>
      </c>
      <c r="N6452" s="1">
        <v>43409.640972222223</v>
      </c>
      <c r="O6452" t="s">
        <v>19</v>
      </c>
    </row>
    <row r="6453" spans="1:15" x14ac:dyDescent="0.25">
      <c r="A6453" t="s">
        <v>4699</v>
      </c>
      <c r="B6453" t="s">
        <v>15</v>
      </c>
      <c r="C6453" t="s">
        <v>1607</v>
      </c>
      <c r="D6453" t="s">
        <v>17</v>
      </c>
      <c r="E6453" t="s">
        <v>18</v>
      </c>
      <c r="F6453" t="s">
        <v>19</v>
      </c>
      <c r="G6453" t="s">
        <v>20</v>
      </c>
      <c r="J6453" t="s">
        <v>17</v>
      </c>
      <c r="K6453" t="str">
        <f>"764907300"</f>
        <v>764907300</v>
      </c>
      <c r="L6453" t="str">
        <f>"764907300"</f>
        <v>764907300</v>
      </c>
      <c r="M6453" t="s">
        <v>84</v>
      </c>
      <c r="N6453" s="1">
        <v>43409.64166666667</v>
      </c>
      <c r="O6453" t="s">
        <v>19</v>
      </c>
    </row>
    <row r="6454" spans="1:15" x14ac:dyDescent="0.25">
      <c r="A6454" t="s">
        <v>4699</v>
      </c>
      <c r="B6454" t="s">
        <v>15</v>
      </c>
      <c r="C6454" t="s">
        <v>1607</v>
      </c>
      <c r="D6454" t="s">
        <v>17</v>
      </c>
      <c r="E6454" t="s">
        <v>18</v>
      </c>
      <c r="F6454" t="s">
        <v>19</v>
      </c>
      <c r="G6454" t="s">
        <v>20</v>
      </c>
      <c r="J6454" t="s">
        <v>17</v>
      </c>
      <c r="K6454" t="str">
        <f>"766807300"</f>
        <v>766807300</v>
      </c>
      <c r="L6454" t="str">
        <f>"766807300"</f>
        <v>766807300</v>
      </c>
      <c r="M6454" t="s">
        <v>84</v>
      </c>
      <c r="N6454" s="1">
        <v>43451.657638888886</v>
      </c>
      <c r="O6454" t="s">
        <v>19</v>
      </c>
    </row>
    <row r="6455" spans="1:15" x14ac:dyDescent="0.25">
      <c r="A6455" t="s">
        <v>4699</v>
      </c>
      <c r="B6455" t="s">
        <v>15</v>
      </c>
      <c r="C6455" t="s">
        <v>1607</v>
      </c>
      <c r="D6455" t="s">
        <v>17</v>
      </c>
      <c r="E6455" t="s">
        <v>18</v>
      </c>
      <c r="F6455" t="s">
        <v>19</v>
      </c>
      <c r="G6455" t="s">
        <v>20</v>
      </c>
      <c r="J6455" t="s">
        <v>17</v>
      </c>
      <c r="K6455" t="str">
        <f>"764907600"</f>
        <v>764907600</v>
      </c>
      <c r="L6455" t="str">
        <f>"764907600"</f>
        <v>764907600</v>
      </c>
      <c r="M6455" t="s">
        <v>84</v>
      </c>
      <c r="N6455" s="1">
        <v>43567.720833333333</v>
      </c>
      <c r="O6455" t="s">
        <v>19</v>
      </c>
    </row>
    <row r="6456" spans="1:15" x14ac:dyDescent="0.25">
      <c r="A6456" t="s">
        <v>4699</v>
      </c>
      <c r="B6456" t="s">
        <v>15</v>
      </c>
      <c r="C6456" t="s">
        <v>1607</v>
      </c>
      <c r="D6456" t="s">
        <v>17</v>
      </c>
      <c r="E6456" t="s">
        <v>18</v>
      </c>
      <c r="F6456" t="s">
        <v>19</v>
      </c>
      <c r="G6456" t="s">
        <v>20</v>
      </c>
      <c r="J6456" t="s">
        <v>17</v>
      </c>
      <c r="K6456" t="str">
        <f>"134907600"</f>
        <v>134907600</v>
      </c>
      <c r="L6456" t="str">
        <f>"134907600"</f>
        <v>134907600</v>
      </c>
      <c r="M6456" t="s">
        <v>21</v>
      </c>
      <c r="N6456" s="1">
        <v>44348.856249999997</v>
      </c>
      <c r="O6456" t="s">
        <v>19</v>
      </c>
    </row>
    <row r="6457" spans="1:15" x14ac:dyDescent="0.25">
      <c r="A6457" t="s">
        <v>4700</v>
      </c>
      <c r="B6457" t="s">
        <v>15</v>
      </c>
      <c r="C6457" t="s">
        <v>1607</v>
      </c>
      <c r="D6457" t="s">
        <v>17</v>
      </c>
      <c r="E6457" t="s">
        <v>18</v>
      </c>
      <c r="F6457" t="s">
        <v>19</v>
      </c>
      <c r="G6457" t="s">
        <v>20</v>
      </c>
      <c r="J6457" t="s">
        <v>17</v>
      </c>
      <c r="K6457" t="str">
        <f>"764832245"</f>
        <v>764832245</v>
      </c>
      <c r="L6457" t="str">
        <f>"764832245"</f>
        <v>764832245</v>
      </c>
      <c r="M6457" t="s">
        <v>75</v>
      </c>
      <c r="N6457" s="1">
        <v>42872.849305555559</v>
      </c>
      <c r="O6457" t="s">
        <v>19</v>
      </c>
    </row>
    <row r="6458" spans="1:15" x14ac:dyDescent="0.25">
      <c r="A6458" t="s">
        <v>4701</v>
      </c>
      <c r="B6458" t="s">
        <v>15</v>
      </c>
      <c r="C6458" t="s">
        <v>1607</v>
      </c>
      <c r="D6458" t="s">
        <v>17</v>
      </c>
      <c r="E6458" t="s">
        <v>18</v>
      </c>
      <c r="F6458" t="s">
        <v>19</v>
      </c>
      <c r="G6458" t="s">
        <v>20</v>
      </c>
      <c r="J6458" t="s">
        <v>17</v>
      </c>
      <c r="K6458" t="str">
        <f>"766832295"</f>
        <v>766832295</v>
      </c>
      <c r="L6458" t="str">
        <f>"766832295"</f>
        <v>766832295</v>
      </c>
      <c r="M6458" t="s">
        <v>75</v>
      </c>
      <c r="N6458" s="1">
        <v>42872.849305555559</v>
      </c>
      <c r="O6458" t="s">
        <v>19</v>
      </c>
    </row>
    <row r="6459" spans="1:15" x14ac:dyDescent="0.25">
      <c r="A6459" t="s">
        <v>4702</v>
      </c>
      <c r="B6459" t="s">
        <v>15</v>
      </c>
      <c r="C6459" t="s">
        <v>1607</v>
      </c>
      <c r="D6459" t="s">
        <v>17</v>
      </c>
      <c r="E6459" t="s">
        <v>18</v>
      </c>
      <c r="F6459" t="s">
        <v>19</v>
      </c>
      <c r="G6459" t="s">
        <v>20</v>
      </c>
      <c r="J6459" t="s">
        <v>17</v>
      </c>
      <c r="K6459" t="str">
        <f>"766832296"</f>
        <v>766832296</v>
      </c>
      <c r="L6459" t="str">
        <f>"766832296"</f>
        <v>766832296</v>
      </c>
      <c r="M6459" t="s">
        <v>75</v>
      </c>
      <c r="N6459" s="1">
        <v>42872.849305555559</v>
      </c>
      <c r="O6459" t="s">
        <v>19</v>
      </c>
    </row>
    <row r="6460" spans="1:15" x14ac:dyDescent="0.25">
      <c r="A6460" t="s">
        <v>4703</v>
      </c>
      <c r="B6460" t="s">
        <v>15</v>
      </c>
      <c r="C6460" t="s">
        <v>1607</v>
      </c>
      <c r="D6460" t="s">
        <v>17</v>
      </c>
      <c r="E6460" t="s">
        <v>18</v>
      </c>
      <c r="F6460" t="s">
        <v>19</v>
      </c>
      <c r="G6460" t="s">
        <v>20</v>
      </c>
      <c r="J6460" t="s">
        <v>17</v>
      </c>
      <c r="K6460" t="str">
        <f>"766832298"</f>
        <v>766832298</v>
      </c>
      <c r="L6460" t="str">
        <f>"766832298"</f>
        <v>766832298</v>
      </c>
      <c r="M6460" t="s">
        <v>75</v>
      </c>
      <c r="N6460" s="1">
        <v>42891.717361111114</v>
      </c>
      <c r="O6460" t="s">
        <v>19</v>
      </c>
    </row>
    <row r="6461" spans="1:15" x14ac:dyDescent="0.25">
      <c r="A6461" t="s">
        <v>4704</v>
      </c>
      <c r="B6461" t="s">
        <v>15</v>
      </c>
      <c r="C6461" t="s">
        <v>1607</v>
      </c>
      <c r="D6461" t="s">
        <v>17</v>
      </c>
      <c r="E6461" t="s">
        <v>18</v>
      </c>
      <c r="F6461" t="s">
        <v>19</v>
      </c>
      <c r="G6461" t="s">
        <v>20</v>
      </c>
      <c r="J6461" t="s">
        <v>17</v>
      </c>
      <c r="K6461" t="str">
        <f>"766832297"</f>
        <v>766832297</v>
      </c>
      <c r="L6461" t="str">
        <f>"766832297"</f>
        <v>766832297</v>
      </c>
      <c r="M6461" t="s">
        <v>75</v>
      </c>
      <c r="N6461" s="1">
        <v>42872.849305555559</v>
      </c>
      <c r="O6461" t="s">
        <v>19</v>
      </c>
    </row>
    <row r="6462" spans="1:15" x14ac:dyDescent="0.25">
      <c r="A6462" t="s">
        <v>4705</v>
      </c>
      <c r="B6462" t="s">
        <v>15</v>
      </c>
      <c r="C6462" t="s">
        <v>1607</v>
      </c>
      <c r="D6462" t="s">
        <v>17</v>
      </c>
      <c r="E6462" t="s">
        <v>18</v>
      </c>
      <c r="F6462" t="s">
        <v>19</v>
      </c>
      <c r="G6462" t="s">
        <v>20</v>
      </c>
      <c r="J6462" t="s">
        <v>17</v>
      </c>
      <c r="K6462" t="str">
        <f>"76560964"</f>
        <v>76560964</v>
      </c>
      <c r="L6462" t="str">
        <f>"76560964"</f>
        <v>76560964</v>
      </c>
      <c r="M6462" t="s">
        <v>75</v>
      </c>
      <c r="N6462" s="1">
        <v>42872.847222222219</v>
      </c>
      <c r="O6462" t="s">
        <v>19</v>
      </c>
    </row>
    <row r="6463" spans="1:15" x14ac:dyDescent="0.25">
      <c r="A6463" t="s">
        <v>4706</v>
      </c>
      <c r="B6463" t="s">
        <v>15</v>
      </c>
      <c r="C6463" t="s">
        <v>1607</v>
      </c>
      <c r="D6463" t="s">
        <v>17</v>
      </c>
      <c r="E6463" t="s">
        <v>18</v>
      </c>
      <c r="F6463" t="s">
        <v>19</v>
      </c>
      <c r="G6463" t="s">
        <v>20</v>
      </c>
      <c r="J6463" t="s">
        <v>17</v>
      </c>
      <c r="K6463" t="str">
        <f>"76560951"</f>
        <v>76560951</v>
      </c>
      <c r="L6463" t="str">
        <f>"76560951"</f>
        <v>76560951</v>
      </c>
      <c r="M6463" t="s">
        <v>75</v>
      </c>
      <c r="N6463" s="1">
        <v>42872.847222222219</v>
      </c>
      <c r="O6463" t="s">
        <v>19</v>
      </c>
    </row>
    <row r="6464" spans="1:15" x14ac:dyDescent="0.25">
      <c r="A6464" t="s">
        <v>4707</v>
      </c>
      <c r="B6464" t="s">
        <v>15</v>
      </c>
      <c r="C6464" t="s">
        <v>1607</v>
      </c>
      <c r="D6464" t="s">
        <v>17</v>
      </c>
      <c r="E6464" t="s">
        <v>18</v>
      </c>
      <c r="F6464" t="s">
        <v>19</v>
      </c>
      <c r="G6464" t="s">
        <v>20</v>
      </c>
      <c r="J6464" t="s">
        <v>17</v>
      </c>
      <c r="K6464" t="str">
        <f>"766809290"</f>
        <v>766809290</v>
      </c>
      <c r="L6464" t="str">
        <f>"766809290"</f>
        <v>766809290</v>
      </c>
      <c r="M6464" t="s">
        <v>75</v>
      </c>
      <c r="N6464" s="1">
        <v>42933.710416666669</v>
      </c>
      <c r="O6464" t="s">
        <v>19</v>
      </c>
    </row>
    <row r="6465" spans="1:15" x14ac:dyDescent="0.25">
      <c r="A6465" t="s">
        <v>4708</v>
      </c>
      <c r="B6465" t="s">
        <v>15</v>
      </c>
      <c r="C6465" t="s">
        <v>1607</v>
      </c>
      <c r="D6465" t="s">
        <v>17</v>
      </c>
      <c r="E6465" t="s">
        <v>18</v>
      </c>
      <c r="F6465" t="s">
        <v>19</v>
      </c>
      <c r="G6465" t="s">
        <v>20</v>
      </c>
      <c r="J6465" t="s">
        <v>17</v>
      </c>
      <c r="K6465" t="str">
        <f>"764909221"</f>
        <v>764909221</v>
      </c>
      <c r="L6465" t="str">
        <f>"764909221"</f>
        <v>764909221</v>
      </c>
      <c r="M6465" t="s">
        <v>75</v>
      </c>
      <c r="N6465" s="1">
        <v>42872.849305555559</v>
      </c>
      <c r="O6465" t="s">
        <v>19</v>
      </c>
    </row>
    <row r="6466" spans="1:15" x14ac:dyDescent="0.25">
      <c r="A6466" t="s">
        <v>4708</v>
      </c>
      <c r="B6466" t="s">
        <v>15</v>
      </c>
      <c r="C6466" t="s">
        <v>1607</v>
      </c>
      <c r="D6466" t="s">
        <v>17</v>
      </c>
      <c r="E6466" t="s">
        <v>18</v>
      </c>
      <c r="F6466" t="s">
        <v>19</v>
      </c>
      <c r="G6466" t="s">
        <v>20</v>
      </c>
      <c r="J6466" t="s">
        <v>17</v>
      </c>
      <c r="K6466" t="str">
        <f>"174909221"</f>
        <v>174909221</v>
      </c>
      <c r="L6466" t="str">
        <f>"174909221"</f>
        <v>174909221</v>
      </c>
      <c r="M6466" t="s">
        <v>75</v>
      </c>
      <c r="N6466" s="1">
        <v>43132.637499999997</v>
      </c>
      <c r="O6466" t="s">
        <v>19</v>
      </c>
    </row>
    <row r="6467" spans="1:15" x14ac:dyDescent="0.25">
      <c r="A6467" t="s">
        <v>4709</v>
      </c>
      <c r="B6467" t="s">
        <v>15</v>
      </c>
      <c r="C6467" t="s">
        <v>1607</v>
      </c>
      <c r="D6467" t="s">
        <v>17</v>
      </c>
      <c r="E6467" t="s">
        <v>18</v>
      </c>
      <c r="F6467" t="s">
        <v>19</v>
      </c>
      <c r="G6467" t="s">
        <v>20</v>
      </c>
      <c r="J6467" t="s">
        <v>17</v>
      </c>
      <c r="K6467" t="str">
        <f>"346809293"</f>
        <v>346809293</v>
      </c>
      <c r="L6467" t="str">
        <f>"346809293"</f>
        <v>346809293</v>
      </c>
      <c r="M6467" t="s">
        <v>75</v>
      </c>
      <c r="N6467" s="1">
        <v>43083.906944444447</v>
      </c>
      <c r="O6467" t="s">
        <v>19</v>
      </c>
    </row>
    <row r="6468" spans="1:15" x14ac:dyDescent="0.25">
      <c r="A6468" t="s">
        <v>4709</v>
      </c>
      <c r="B6468" t="s">
        <v>15</v>
      </c>
      <c r="C6468" t="s">
        <v>1607</v>
      </c>
      <c r="D6468" t="s">
        <v>17</v>
      </c>
      <c r="E6468" t="s">
        <v>18</v>
      </c>
      <c r="F6468" t="s">
        <v>19</v>
      </c>
      <c r="G6468" t="s">
        <v>20</v>
      </c>
      <c r="J6468" t="s">
        <v>17</v>
      </c>
      <c r="K6468" t="str">
        <f>"766809293"</f>
        <v>766809293</v>
      </c>
      <c r="L6468" t="str">
        <f>"766809293"</f>
        <v>766809293</v>
      </c>
      <c r="M6468" t="s">
        <v>75</v>
      </c>
      <c r="N6468" s="1">
        <v>43196.590277777781</v>
      </c>
      <c r="O6468" t="s">
        <v>19</v>
      </c>
    </row>
    <row r="6469" spans="1:15" x14ac:dyDescent="0.25">
      <c r="A6469" t="s">
        <v>4709</v>
      </c>
      <c r="B6469" t="s">
        <v>15</v>
      </c>
      <c r="C6469" t="s">
        <v>1607</v>
      </c>
      <c r="D6469" t="s">
        <v>17</v>
      </c>
      <c r="E6469" t="s">
        <v>18</v>
      </c>
      <c r="F6469" t="s">
        <v>19</v>
      </c>
      <c r="G6469" t="s">
        <v>20</v>
      </c>
      <c r="J6469" t="s">
        <v>17</v>
      </c>
      <c r="K6469" t="str">
        <f>"764909293"</f>
        <v>764909293</v>
      </c>
      <c r="L6469" t="str">
        <f>"764909293"</f>
        <v>764909293</v>
      </c>
      <c r="M6469" t="s">
        <v>84</v>
      </c>
      <c r="N6469" s="1">
        <v>43307.663888888892</v>
      </c>
      <c r="O6469" t="s">
        <v>19</v>
      </c>
    </row>
    <row r="6470" spans="1:15" x14ac:dyDescent="0.25">
      <c r="A6470" t="s">
        <v>4710</v>
      </c>
      <c r="B6470" t="s">
        <v>15</v>
      </c>
      <c r="C6470" t="s">
        <v>1607</v>
      </c>
      <c r="D6470" t="s">
        <v>17</v>
      </c>
      <c r="E6470" t="s">
        <v>18</v>
      </c>
      <c r="F6470" t="s">
        <v>19</v>
      </c>
      <c r="G6470" t="s">
        <v>20</v>
      </c>
      <c r="J6470" t="s">
        <v>17</v>
      </c>
      <c r="K6470" t="str">
        <f>"766809327"</f>
        <v>766809327</v>
      </c>
      <c r="L6470" t="str">
        <f>"766809327"</f>
        <v>766809327</v>
      </c>
      <c r="M6470" t="s">
        <v>84</v>
      </c>
      <c r="N6470" s="1">
        <v>43409.882638888892</v>
      </c>
      <c r="O6470" t="s">
        <v>19</v>
      </c>
    </row>
    <row r="6471" spans="1:15" x14ac:dyDescent="0.25">
      <c r="A6471" t="s">
        <v>4710</v>
      </c>
      <c r="B6471" t="s">
        <v>15</v>
      </c>
      <c r="C6471" t="s">
        <v>1607</v>
      </c>
      <c r="D6471" t="s">
        <v>17</v>
      </c>
      <c r="E6471" t="s">
        <v>18</v>
      </c>
      <c r="F6471" t="s">
        <v>19</v>
      </c>
      <c r="G6471" t="s">
        <v>20</v>
      </c>
      <c r="J6471" t="s">
        <v>17</v>
      </c>
      <c r="K6471" t="str">
        <f>"764909330"</f>
        <v>764909330</v>
      </c>
      <c r="L6471" t="str">
        <f>"764909330"</f>
        <v>764909330</v>
      </c>
      <c r="M6471" t="s">
        <v>84</v>
      </c>
      <c r="N6471" s="1">
        <v>43518.854861111111</v>
      </c>
      <c r="O6471" t="s">
        <v>19</v>
      </c>
    </row>
    <row r="6472" spans="1:15" x14ac:dyDescent="0.25">
      <c r="A6472" t="s">
        <v>4711</v>
      </c>
      <c r="B6472" t="s">
        <v>15</v>
      </c>
      <c r="C6472" t="s">
        <v>1607</v>
      </c>
      <c r="D6472" t="s">
        <v>17</v>
      </c>
      <c r="E6472" t="s">
        <v>18</v>
      </c>
      <c r="F6472" t="s">
        <v>19</v>
      </c>
      <c r="G6472" t="s">
        <v>20</v>
      </c>
      <c r="J6472" t="s">
        <v>17</v>
      </c>
      <c r="K6472" t="str">
        <f>"2019512588062"</f>
        <v>2019512588062</v>
      </c>
      <c r="L6472" t="str">
        <f>"344909334"</f>
        <v>344909334</v>
      </c>
      <c r="M6472" t="s">
        <v>21</v>
      </c>
      <c r="N6472" s="1">
        <v>43825.922222222223</v>
      </c>
      <c r="O6472" t="s">
        <v>19</v>
      </c>
    </row>
    <row r="6473" spans="1:15" x14ac:dyDescent="0.25">
      <c r="A6473" t="s">
        <v>4712</v>
      </c>
      <c r="B6473" t="s">
        <v>15</v>
      </c>
      <c r="C6473" t="s">
        <v>1607</v>
      </c>
      <c r="D6473" t="s">
        <v>17</v>
      </c>
      <c r="E6473" t="s">
        <v>18</v>
      </c>
      <c r="F6473" t="s">
        <v>19</v>
      </c>
      <c r="G6473" t="s">
        <v>20</v>
      </c>
      <c r="J6473" t="s">
        <v>17</v>
      </c>
      <c r="K6473" t="str">
        <f>"2019512588063"</f>
        <v>2019512588063</v>
      </c>
      <c r="L6473" t="str">
        <f>"344909333"</f>
        <v>344909333</v>
      </c>
      <c r="M6473" t="s">
        <v>21</v>
      </c>
      <c r="N6473" s="1">
        <v>43825.922222222223</v>
      </c>
      <c r="O6473" t="s">
        <v>19</v>
      </c>
    </row>
    <row r="6474" spans="1:15" x14ac:dyDescent="0.25">
      <c r="A6474" t="s">
        <v>4713</v>
      </c>
      <c r="B6474" t="s">
        <v>15</v>
      </c>
      <c r="C6474" t="s">
        <v>1607</v>
      </c>
      <c r="D6474" t="s">
        <v>17</v>
      </c>
      <c r="E6474" t="s">
        <v>18</v>
      </c>
      <c r="F6474" t="s">
        <v>19</v>
      </c>
      <c r="G6474" t="s">
        <v>20</v>
      </c>
      <c r="J6474" t="s">
        <v>17</v>
      </c>
      <c r="K6474" t="str">
        <f>"765609258"</f>
        <v>765609258</v>
      </c>
      <c r="L6474" t="str">
        <f>"765609258"</f>
        <v>765609258</v>
      </c>
      <c r="M6474" t="s">
        <v>75</v>
      </c>
      <c r="N6474" s="1">
        <v>42994.621527777781</v>
      </c>
      <c r="O6474" t="s">
        <v>19</v>
      </c>
    </row>
    <row r="6475" spans="1:15" x14ac:dyDescent="0.25">
      <c r="A6475" t="s">
        <v>4714</v>
      </c>
      <c r="B6475" t="s">
        <v>15</v>
      </c>
      <c r="C6475" t="s">
        <v>1607</v>
      </c>
      <c r="D6475" t="s">
        <v>17</v>
      </c>
      <c r="E6475" t="s">
        <v>18</v>
      </c>
      <c r="F6475" t="s">
        <v>19</v>
      </c>
      <c r="G6475" t="s">
        <v>20</v>
      </c>
      <c r="J6475" t="s">
        <v>17</v>
      </c>
      <c r="K6475" t="str">
        <f>"764909213"</f>
        <v>764909213</v>
      </c>
      <c r="L6475" t="str">
        <f>"764909213"</f>
        <v>764909213</v>
      </c>
      <c r="M6475" t="s">
        <v>75</v>
      </c>
      <c r="N6475" s="1">
        <v>42872.849305555559</v>
      </c>
      <c r="O6475" t="s">
        <v>19</v>
      </c>
    </row>
    <row r="6476" spans="1:15" x14ac:dyDescent="0.25">
      <c r="A6476" t="s">
        <v>4715</v>
      </c>
      <c r="B6476" t="s">
        <v>15</v>
      </c>
      <c r="C6476" t="s">
        <v>1607</v>
      </c>
      <c r="D6476" t="s">
        <v>17</v>
      </c>
      <c r="E6476" t="s">
        <v>18</v>
      </c>
      <c r="F6476" t="s">
        <v>19</v>
      </c>
      <c r="G6476" t="s">
        <v>20</v>
      </c>
      <c r="J6476" t="s">
        <v>17</v>
      </c>
      <c r="K6476" t="str">
        <f>"686809215"</f>
        <v>686809215</v>
      </c>
      <c r="L6476" t="str">
        <f>"686809215"</f>
        <v>686809215</v>
      </c>
      <c r="M6476" t="s">
        <v>75</v>
      </c>
      <c r="N6476" s="1">
        <v>43083.888194444444</v>
      </c>
      <c r="O6476" t="s">
        <v>19</v>
      </c>
    </row>
    <row r="6477" spans="1:15" x14ac:dyDescent="0.25">
      <c r="A6477" t="s">
        <v>4716</v>
      </c>
      <c r="B6477" t="s">
        <v>15</v>
      </c>
      <c r="C6477" t="s">
        <v>1607</v>
      </c>
      <c r="D6477" t="s">
        <v>17</v>
      </c>
      <c r="E6477" t="s">
        <v>18</v>
      </c>
      <c r="F6477" t="s">
        <v>19</v>
      </c>
      <c r="G6477" t="s">
        <v>20</v>
      </c>
      <c r="J6477" t="s">
        <v>17</v>
      </c>
      <c r="K6477" t="str">
        <f>"346809329"</f>
        <v>346809329</v>
      </c>
      <c r="L6477" t="str">
        <f>"346809329"</f>
        <v>346809329</v>
      </c>
      <c r="M6477" t="s">
        <v>84</v>
      </c>
      <c r="N6477" s="1">
        <v>43409.917361111111</v>
      </c>
      <c r="O6477" t="s">
        <v>19</v>
      </c>
    </row>
    <row r="6478" spans="1:15" x14ac:dyDescent="0.25">
      <c r="A6478" t="s">
        <v>4717</v>
      </c>
      <c r="B6478" t="s">
        <v>15</v>
      </c>
      <c r="C6478" t="s">
        <v>1607</v>
      </c>
      <c r="D6478" t="s">
        <v>17</v>
      </c>
      <c r="E6478" t="s">
        <v>18</v>
      </c>
      <c r="F6478" t="s">
        <v>19</v>
      </c>
      <c r="G6478" t="s">
        <v>20</v>
      </c>
      <c r="J6478" t="s">
        <v>17</v>
      </c>
      <c r="K6478" t="str">
        <f>"76480926"</f>
        <v>76480926</v>
      </c>
      <c r="L6478" t="str">
        <f>"76480926"</f>
        <v>76480926</v>
      </c>
      <c r="M6478" t="s">
        <v>75</v>
      </c>
      <c r="N6478" s="1">
        <v>42872.847222222219</v>
      </c>
      <c r="O6478" t="s">
        <v>19</v>
      </c>
    </row>
    <row r="6479" spans="1:15" x14ac:dyDescent="0.25">
      <c r="A6479" t="s">
        <v>4718</v>
      </c>
      <c r="B6479" t="s">
        <v>15</v>
      </c>
      <c r="C6479" t="s">
        <v>1607</v>
      </c>
      <c r="D6479" t="s">
        <v>17</v>
      </c>
      <c r="E6479" t="s">
        <v>18</v>
      </c>
      <c r="F6479" t="s">
        <v>19</v>
      </c>
      <c r="G6479" t="s">
        <v>20</v>
      </c>
      <c r="J6479" t="s">
        <v>17</v>
      </c>
      <c r="K6479" t="str">
        <f>"766809325"</f>
        <v>766809325</v>
      </c>
      <c r="L6479" t="str">
        <f>"766809325"</f>
        <v>766809325</v>
      </c>
      <c r="M6479" t="s">
        <v>75</v>
      </c>
      <c r="N6479" s="1">
        <v>43064.699305555558</v>
      </c>
      <c r="O6479" t="s">
        <v>19</v>
      </c>
    </row>
    <row r="6480" spans="1:15" x14ac:dyDescent="0.25">
      <c r="A6480" t="s">
        <v>4719</v>
      </c>
      <c r="B6480" t="s">
        <v>15</v>
      </c>
      <c r="C6480" t="s">
        <v>1607</v>
      </c>
      <c r="D6480" t="s">
        <v>17</v>
      </c>
      <c r="E6480" t="s">
        <v>18</v>
      </c>
      <c r="F6480" t="s">
        <v>19</v>
      </c>
      <c r="G6480" t="s">
        <v>20</v>
      </c>
      <c r="J6480" t="s">
        <v>17</v>
      </c>
      <c r="K6480" t="str">
        <f>"864909326"</f>
        <v>864909326</v>
      </c>
      <c r="L6480" t="str">
        <f>"864909326"</f>
        <v>864909326</v>
      </c>
      <c r="M6480" t="s">
        <v>84</v>
      </c>
      <c r="N6480" s="1">
        <v>43367.905555555553</v>
      </c>
      <c r="O6480" t="s">
        <v>19</v>
      </c>
    </row>
    <row r="6481" spans="1:15" x14ac:dyDescent="0.25">
      <c r="A6481" t="s">
        <v>4720</v>
      </c>
      <c r="B6481" t="s">
        <v>15</v>
      </c>
      <c r="C6481" t="s">
        <v>1607</v>
      </c>
      <c r="D6481" t="s">
        <v>17</v>
      </c>
      <c r="E6481" t="s">
        <v>18</v>
      </c>
      <c r="F6481" t="s">
        <v>19</v>
      </c>
      <c r="G6481" t="s">
        <v>20</v>
      </c>
      <c r="J6481" t="s">
        <v>17</v>
      </c>
      <c r="K6481" t="str">
        <f>"766809173"</f>
        <v>766809173</v>
      </c>
      <c r="L6481" t="str">
        <f>"766809173"</f>
        <v>766809173</v>
      </c>
      <c r="M6481" t="s">
        <v>75</v>
      </c>
      <c r="N6481" s="1">
        <v>42872.849305555559</v>
      </c>
      <c r="O6481" t="s">
        <v>19</v>
      </c>
    </row>
    <row r="6482" spans="1:15" x14ac:dyDescent="0.25">
      <c r="A6482" t="s">
        <v>4721</v>
      </c>
      <c r="B6482" t="s">
        <v>15</v>
      </c>
      <c r="C6482" t="s">
        <v>1607</v>
      </c>
      <c r="D6482" t="s">
        <v>17</v>
      </c>
      <c r="E6482" t="s">
        <v>18</v>
      </c>
      <c r="F6482" t="s">
        <v>19</v>
      </c>
      <c r="G6482" t="s">
        <v>20</v>
      </c>
      <c r="J6482" t="s">
        <v>17</v>
      </c>
      <c r="K6482" t="str">
        <f>"766809292"</f>
        <v>766809292</v>
      </c>
      <c r="L6482" t="str">
        <f>"766809292"</f>
        <v>766809292</v>
      </c>
      <c r="M6482" t="s">
        <v>75</v>
      </c>
      <c r="N6482" s="1">
        <v>43083.620833333334</v>
      </c>
      <c r="O6482" t="s">
        <v>19</v>
      </c>
    </row>
    <row r="6483" spans="1:15" x14ac:dyDescent="0.25">
      <c r="A6483" t="s">
        <v>4721</v>
      </c>
      <c r="B6483" t="s">
        <v>15</v>
      </c>
      <c r="C6483" t="s">
        <v>1607</v>
      </c>
      <c r="D6483" t="s">
        <v>17</v>
      </c>
      <c r="E6483" t="s">
        <v>18</v>
      </c>
      <c r="F6483" t="s">
        <v>19</v>
      </c>
      <c r="G6483" t="s">
        <v>20</v>
      </c>
      <c r="J6483" t="s">
        <v>17</v>
      </c>
      <c r="K6483" t="str">
        <f>"414909292"</f>
        <v>414909292</v>
      </c>
      <c r="L6483" t="str">
        <f>"414909292"</f>
        <v>414909292</v>
      </c>
      <c r="M6483" t="s">
        <v>84</v>
      </c>
      <c r="N6483" s="1">
        <v>43335.929166666669</v>
      </c>
      <c r="O6483" t="s">
        <v>19</v>
      </c>
    </row>
    <row r="6484" spans="1:15" x14ac:dyDescent="0.25">
      <c r="A6484" t="s">
        <v>4721</v>
      </c>
      <c r="B6484" t="s">
        <v>15</v>
      </c>
      <c r="C6484" t="s">
        <v>1607</v>
      </c>
      <c r="D6484" t="s">
        <v>17</v>
      </c>
      <c r="E6484" t="s">
        <v>18</v>
      </c>
      <c r="F6484" t="s">
        <v>19</v>
      </c>
      <c r="G6484" t="s">
        <v>20</v>
      </c>
      <c r="J6484" t="s">
        <v>17</v>
      </c>
      <c r="K6484" t="str">
        <f>"674909292"</f>
        <v>674909292</v>
      </c>
      <c r="L6484" t="str">
        <f>"674909292"</f>
        <v>674909292</v>
      </c>
      <c r="M6484" t="s">
        <v>84</v>
      </c>
      <c r="N6484" s="1">
        <v>43547.645833333336</v>
      </c>
      <c r="O6484" t="s">
        <v>19</v>
      </c>
    </row>
    <row r="6485" spans="1:15" x14ac:dyDescent="0.25">
      <c r="A6485" t="s">
        <v>4722</v>
      </c>
      <c r="B6485" t="s">
        <v>15</v>
      </c>
      <c r="C6485" t="s">
        <v>1607</v>
      </c>
      <c r="D6485" t="s">
        <v>17</v>
      </c>
      <c r="E6485" t="s">
        <v>18</v>
      </c>
      <c r="F6485" t="s">
        <v>19</v>
      </c>
      <c r="G6485" t="s">
        <v>20</v>
      </c>
      <c r="J6485" t="s">
        <v>17</v>
      </c>
      <c r="K6485" t="str">
        <f>"764809261"</f>
        <v>764809261</v>
      </c>
      <c r="L6485" t="str">
        <f>"764809261"</f>
        <v>764809261</v>
      </c>
      <c r="M6485" t="s">
        <v>75</v>
      </c>
      <c r="N6485" s="1">
        <v>42872.849305555559</v>
      </c>
      <c r="O6485" t="s">
        <v>19</v>
      </c>
    </row>
    <row r="6486" spans="1:15" x14ac:dyDescent="0.25">
      <c r="A6486" t="s">
        <v>4723</v>
      </c>
      <c r="B6486" t="s">
        <v>15</v>
      </c>
      <c r="C6486" t="s">
        <v>1607</v>
      </c>
      <c r="D6486" t="s">
        <v>17</v>
      </c>
      <c r="E6486" t="s">
        <v>18</v>
      </c>
      <c r="F6486" t="s">
        <v>19</v>
      </c>
      <c r="G6486" t="s">
        <v>20</v>
      </c>
      <c r="J6486" t="s">
        <v>17</v>
      </c>
      <c r="K6486" t="str">
        <f>"766809271"</f>
        <v>766809271</v>
      </c>
      <c r="L6486" t="str">
        <f>"766809271"</f>
        <v>766809271</v>
      </c>
      <c r="M6486" t="s">
        <v>75</v>
      </c>
      <c r="N6486" s="1">
        <v>42872.849305555559</v>
      </c>
      <c r="O6486" t="s">
        <v>19</v>
      </c>
    </row>
    <row r="6487" spans="1:15" x14ac:dyDescent="0.25">
      <c r="A6487" t="s">
        <v>4724</v>
      </c>
      <c r="B6487" t="s">
        <v>15</v>
      </c>
      <c r="C6487" t="s">
        <v>1607</v>
      </c>
      <c r="D6487" t="s">
        <v>17</v>
      </c>
      <c r="E6487" t="s">
        <v>18</v>
      </c>
      <c r="F6487" t="s">
        <v>19</v>
      </c>
      <c r="G6487" t="s">
        <v>20</v>
      </c>
      <c r="J6487" t="s">
        <v>17</v>
      </c>
      <c r="K6487" t="str">
        <f>"344909285"</f>
        <v>344909285</v>
      </c>
      <c r="L6487" t="str">
        <f>"344909285"</f>
        <v>344909285</v>
      </c>
      <c r="M6487" t="s">
        <v>75</v>
      </c>
      <c r="N6487" s="1">
        <v>42872.849305555559</v>
      </c>
      <c r="O6487" t="s">
        <v>19</v>
      </c>
    </row>
    <row r="6488" spans="1:15" x14ac:dyDescent="0.25">
      <c r="A6488" t="s">
        <v>4724</v>
      </c>
      <c r="B6488" t="s">
        <v>15</v>
      </c>
      <c r="C6488" t="s">
        <v>1607</v>
      </c>
      <c r="D6488" t="s">
        <v>17</v>
      </c>
      <c r="E6488" t="s">
        <v>18</v>
      </c>
      <c r="F6488" t="s">
        <v>19</v>
      </c>
      <c r="G6488" t="s">
        <v>20</v>
      </c>
      <c r="J6488" t="s">
        <v>17</v>
      </c>
      <c r="K6488" t="str">
        <f>"766809285"</f>
        <v>766809285</v>
      </c>
      <c r="L6488" t="str">
        <f>"766809285"</f>
        <v>766809285</v>
      </c>
      <c r="M6488" t="s">
        <v>75</v>
      </c>
      <c r="N6488" s="1">
        <v>42994.609722222223</v>
      </c>
      <c r="O6488" t="s">
        <v>19</v>
      </c>
    </row>
    <row r="6489" spans="1:15" x14ac:dyDescent="0.25">
      <c r="A6489" t="s">
        <v>4724</v>
      </c>
      <c r="B6489" t="s">
        <v>15</v>
      </c>
      <c r="C6489" t="s">
        <v>1607</v>
      </c>
      <c r="D6489" t="s">
        <v>17</v>
      </c>
      <c r="E6489" t="s">
        <v>18</v>
      </c>
      <c r="F6489" t="s">
        <v>19</v>
      </c>
      <c r="G6489" t="s">
        <v>20</v>
      </c>
      <c r="J6489" t="s">
        <v>17</v>
      </c>
      <c r="K6489" t="str">
        <f>"1505573598209"</f>
        <v>1505573598209</v>
      </c>
      <c r="L6489" t="str">
        <f>"1505573598209"</f>
        <v>1505573598209</v>
      </c>
      <c r="M6489" t="s">
        <v>21</v>
      </c>
      <c r="N6489" s="1">
        <v>42994.620138888888</v>
      </c>
      <c r="O6489" t="s">
        <v>33</v>
      </c>
    </row>
    <row r="6490" spans="1:15" x14ac:dyDescent="0.25">
      <c r="A6490" t="s">
        <v>4725</v>
      </c>
      <c r="B6490" t="s">
        <v>15</v>
      </c>
      <c r="C6490" t="s">
        <v>1607</v>
      </c>
      <c r="D6490" t="s">
        <v>17</v>
      </c>
      <c r="E6490" t="s">
        <v>18</v>
      </c>
      <c r="F6490" t="s">
        <v>19</v>
      </c>
      <c r="G6490" t="s">
        <v>20</v>
      </c>
      <c r="J6490" t="s">
        <v>17</v>
      </c>
      <c r="K6490" t="str">
        <f>"76490532"</f>
        <v>76490532</v>
      </c>
      <c r="L6490" t="str">
        <f>"76490532"</f>
        <v>76490532</v>
      </c>
      <c r="M6490" t="s">
        <v>75</v>
      </c>
      <c r="N6490" s="1">
        <v>43162.679166666669</v>
      </c>
      <c r="O6490" t="s">
        <v>19</v>
      </c>
    </row>
    <row r="6491" spans="1:15" x14ac:dyDescent="0.25">
      <c r="A6491" t="s">
        <v>4726</v>
      </c>
      <c r="B6491" t="s">
        <v>15</v>
      </c>
      <c r="C6491" t="s">
        <v>1607</v>
      </c>
      <c r="D6491" t="s">
        <v>17</v>
      </c>
      <c r="E6491" t="s">
        <v>18</v>
      </c>
      <c r="F6491" t="s">
        <v>19</v>
      </c>
      <c r="G6491" t="s">
        <v>20</v>
      </c>
      <c r="J6491" t="s">
        <v>17</v>
      </c>
      <c r="K6491" t="str">
        <f>"766810301"</f>
        <v>766810301</v>
      </c>
      <c r="L6491" t="str">
        <f>"766810301"</f>
        <v>766810301</v>
      </c>
      <c r="M6491" t="s">
        <v>75</v>
      </c>
      <c r="N6491" s="1">
        <v>42986.59097222222</v>
      </c>
      <c r="O6491" t="s">
        <v>19</v>
      </c>
    </row>
    <row r="6492" spans="1:15" x14ac:dyDescent="0.25">
      <c r="A6492" t="s">
        <v>4726</v>
      </c>
      <c r="B6492" t="s">
        <v>15</v>
      </c>
      <c r="C6492" t="s">
        <v>1607</v>
      </c>
      <c r="D6492" t="s">
        <v>17</v>
      </c>
      <c r="E6492" t="s">
        <v>18</v>
      </c>
      <c r="F6492" t="s">
        <v>19</v>
      </c>
      <c r="G6492" t="s">
        <v>20</v>
      </c>
      <c r="J6492" t="s">
        <v>17</v>
      </c>
      <c r="K6492" t="str">
        <f>"764910301"</f>
        <v>764910301</v>
      </c>
      <c r="L6492" t="str">
        <f>"764910301"</f>
        <v>764910301</v>
      </c>
      <c r="M6492" t="s">
        <v>75</v>
      </c>
      <c r="N6492" s="1">
        <v>43164.59097222222</v>
      </c>
      <c r="O6492" t="s">
        <v>19</v>
      </c>
    </row>
    <row r="6493" spans="1:15" x14ac:dyDescent="0.25">
      <c r="A6493" t="s">
        <v>4727</v>
      </c>
      <c r="B6493" t="s">
        <v>15</v>
      </c>
      <c r="C6493" t="s">
        <v>1607</v>
      </c>
      <c r="D6493" t="s">
        <v>17</v>
      </c>
      <c r="E6493" t="s">
        <v>18</v>
      </c>
      <c r="F6493" t="s">
        <v>19</v>
      </c>
      <c r="G6493" t="s">
        <v>20</v>
      </c>
      <c r="J6493" t="s">
        <v>17</v>
      </c>
      <c r="K6493" t="str">
        <f>"766810306"</f>
        <v>766810306</v>
      </c>
      <c r="L6493" t="str">
        <f>"766810306"</f>
        <v>766810306</v>
      </c>
      <c r="M6493" t="s">
        <v>75</v>
      </c>
      <c r="N6493" s="1">
        <v>42986.593055555553</v>
      </c>
      <c r="O6493" t="s">
        <v>19</v>
      </c>
    </row>
    <row r="6494" spans="1:15" x14ac:dyDescent="0.25">
      <c r="A6494" t="s">
        <v>4727</v>
      </c>
      <c r="B6494" t="s">
        <v>15</v>
      </c>
      <c r="C6494" t="s">
        <v>1607</v>
      </c>
      <c r="D6494" t="s">
        <v>17</v>
      </c>
      <c r="E6494" t="s">
        <v>18</v>
      </c>
      <c r="F6494" t="s">
        <v>19</v>
      </c>
      <c r="G6494" t="s">
        <v>20</v>
      </c>
      <c r="J6494" t="s">
        <v>17</v>
      </c>
      <c r="K6494" t="str">
        <f>"414910306"</f>
        <v>414910306</v>
      </c>
      <c r="L6494" t="str">
        <f>"414910306"</f>
        <v>414910306</v>
      </c>
      <c r="M6494" t="s">
        <v>75</v>
      </c>
      <c r="N6494" s="1">
        <v>43131.830555555556</v>
      </c>
      <c r="O6494" t="s">
        <v>19</v>
      </c>
    </row>
    <row r="6495" spans="1:15" x14ac:dyDescent="0.25">
      <c r="A6495" t="s">
        <v>4727</v>
      </c>
      <c r="B6495" t="s">
        <v>15</v>
      </c>
      <c r="C6495" t="s">
        <v>1607</v>
      </c>
      <c r="D6495" t="s">
        <v>17</v>
      </c>
      <c r="E6495" t="s">
        <v>18</v>
      </c>
      <c r="F6495" t="s">
        <v>19</v>
      </c>
      <c r="G6495" t="s">
        <v>20</v>
      </c>
      <c r="J6495" t="s">
        <v>17</v>
      </c>
      <c r="K6495" t="str">
        <f>"764910306"</f>
        <v>764910306</v>
      </c>
      <c r="L6495" t="str">
        <f>"764910306"</f>
        <v>764910306</v>
      </c>
      <c r="M6495" t="s">
        <v>75</v>
      </c>
      <c r="N6495" s="1">
        <v>43162.681250000001</v>
      </c>
      <c r="O6495" t="s">
        <v>19</v>
      </c>
    </row>
    <row r="6496" spans="1:15" x14ac:dyDescent="0.25">
      <c r="A6496" t="s">
        <v>4728</v>
      </c>
      <c r="B6496" t="s">
        <v>15</v>
      </c>
      <c r="C6496" t="s">
        <v>1607</v>
      </c>
      <c r="D6496" t="s">
        <v>17</v>
      </c>
      <c r="E6496" t="s">
        <v>18</v>
      </c>
      <c r="F6496" t="s">
        <v>19</v>
      </c>
      <c r="G6496" t="s">
        <v>20</v>
      </c>
      <c r="J6496" t="s">
        <v>17</v>
      </c>
      <c r="K6496" t="str">
        <f>"766810309"</f>
        <v>766810309</v>
      </c>
      <c r="L6496" t="str">
        <f>"766810309"</f>
        <v>766810309</v>
      </c>
      <c r="M6496" t="s">
        <v>75</v>
      </c>
      <c r="N6496" s="1">
        <v>43237.657638888886</v>
      </c>
      <c r="O6496" t="s">
        <v>19</v>
      </c>
    </row>
    <row r="6497" spans="1:15" x14ac:dyDescent="0.25">
      <c r="A6497" t="s">
        <v>4728</v>
      </c>
      <c r="B6497" t="s">
        <v>15</v>
      </c>
      <c r="C6497" t="s">
        <v>1607</v>
      </c>
      <c r="D6497" t="s">
        <v>17</v>
      </c>
      <c r="E6497" t="s">
        <v>18</v>
      </c>
      <c r="F6497" t="s">
        <v>19</v>
      </c>
      <c r="G6497" t="s">
        <v>20</v>
      </c>
      <c r="J6497" t="s">
        <v>17</v>
      </c>
      <c r="K6497" t="str">
        <f>"764910309"</f>
        <v>764910309</v>
      </c>
      <c r="L6497" t="str">
        <f>"764910309"</f>
        <v>764910309</v>
      </c>
      <c r="M6497" t="s">
        <v>84</v>
      </c>
      <c r="N6497" s="1">
        <v>43335.659722222219</v>
      </c>
      <c r="O6497" t="s">
        <v>19</v>
      </c>
    </row>
    <row r="6498" spans="1:15" x14ac:dyDescent="0.25">
      <c r="A6498" t="s">
        <v>4729</v>
      </c>
      <c r="B6498" t="s">
        <v>15</v>
      </c>
      <c r="C6498" t="s">
        <v>1607</v>
      </c>
      <c r="D6498" t="s">
        <v>17</v>
      </c>
      <c r="E6498" t="s">
        <v>18</v>
      </c>
      <c r="F6498" t="s">
        <v>19</v>
      </c>
      <c r="G6498" t="s">
        <v>20</v>
      </c>
      <c r="J6498" t="s">
        <v>17</v>
      </c>
      <c r="K6498" t="str">
        <f>"766810310"</f>
        <v>766810310</v>
      </c>
      <c r="L6498" t="str">
        <f>"766810310"</f>
        <v>766810310</v>
      </c>
      <c r="M6498" t="s">
        <v>75</v>
      </c>
      <c r="N6498" s="1">
        <v>43237.658333333333</v>
      </c>
      <c r="O6498" t="s">
        <v>19</v>
      </c>
    </row>
    <row r="6499" spans="1:15" x14ac:dyDescent="0.25">
      <c r="A6499" t="s">
        <v>4730</v>
      </c>
      <c r="B6499" t="s">
        <v>15</v>
      </c>
      <c r="C6499" t="s">
        <v>1607</v>
      </c>
      <c r="D6499" t="s">
        <v>17</v>
      </c>
      <c r="E6499" t="s">
        <v>18</v>
      </c>
      <c r="F6499" t="s">
        <v>19</v>
      </c>
      <c r="G6499" t="s">
        <v>20</v>
      </c>
      <c r="J6499" t="s">
        <v>17</v>
      </c>
      <c r="K6499" t="str">
        <f>"34681059"</f>
        <v>34681059</v>
      </c>
      <c r="L6499" t="str">
        <f>"34681059"</f>
        <v>34681059</v>
      </c>
      <c r="M6499" t="s">
        <v>75</v>
      </c>
      <c r="N6499" s="1">
        <v>42872.839583333334</v>
      </c>
      <c r="O6499" t="s">
        <v>19</v>
      </c>
    </row>
    <row r="6500" spans="1:15" x14ac:dyDescent="0.25">
      <c r="A6500" t="s">
        <v>4730</v>
      </c>
      <c r="B6500" t="s">
        <v>15</v>
      </c>
      <c r="C6500" t="s">
        <v>1607</v>
      </c>
      <c r="D6500" t="s">
        <v>17</v>
      </c>
      <c r="E6500" t="s">
        <v>18</v>
      </c>
      <c r="F6500" t="s">
        <v>19</v>
      </c>
      <c r="G6500" t="s">
        <v>20</v>
      </c>
      <c r="J6500" t="s">
        <v>17</v>
      </c>
      <c r="K6500" t="str">
        <f>"34681061"</f>
        <v>34681061</v>
      </c>
      <c r="L6500" t="str">
        <f>"34681061"</f>
        <v>34681061</v>
      </c>
      <c r="M6500" t="s">
        <v>75</v>
      </c>
      <c r="N6500" s="1">
        <v>42872.839583333334</v>
      </c>
      <c r="O6500" t="s">
        <v>19</v>
      </c>
    </row>
    <row r="6501" spans="1:15" x14ac:dyDescent="0.25">
      <c r="A6501" t="s">
        <v>4731</v>
      </c>
      <c r="B6501" t="s">
        <v>15</v>
      </c>
      <c r="C6501" t="s">
        <v>1607</v>
      </c>
      <c r="D6501" t="s">
        <v>17</v>
      </c>
      <c r="E6501" t="s">
        <v>18</v>
      </c>
      <c r="F6501" t="s">
        <v>19</v>
      </c>
      <c r="G6501" t="s">
        <v>20</v>
      </c>
      <c r="J6501" t="s">
        <v>17</v>
      </c>
      <c r="K6501" t="str">
        <f>"34681064"</f>
        <v>34681064</v>
      </c>
      <c r="L6501" t="str">
        <f>"34681064"</f>
        <v>34681064</v>
      </c>
      <c r="M6501" t="s">
        <v>75</v>
      </c>
      <c r="N6501" s="1">
        <v>42872.839583333334</v>
      </c>
      <c r="O6501" t="s">
        <v>19</v>
      </c>
    </row>
    <row r="6502" spans="1:15" x14ac:dyDescent="0.25">
      <c r="A6502" t="s">
        <v>4731</v>
      </c>
      <c r="B6502" t="s">
        <v>15</v>
      </c>
      <c r="C6502" t="s">
        <v>1607</v>
      </c>
      <c r="D6502" t="s">
        <v>17</v>
      </c>
      <c r="E6502" t="s">
        <v>18</v>
      </c>
      <c r="F6502" t="s">
        <v>19</v>
      </c>
      <c r="G6502" t="s">
        <v>20</v>
      </c>
      <c r="J6502" t="s">
        <v>17</v>
      </c>
      <c r="K6502" t="str">
        <f>"76681064"</f>
        <v>76681064</v>
      </c>
      <c r="L6502" t="str">
        <f>"76681064"</f>
        <v>76681064</v>
      </c>
      <c r="M6502" t="s">
        <v>75</v>
      </c>
      <c r="N6502" s="1">
        <v>42907.824999999997</v>
      </c>
      <c r="O6502" t="s">
        <v>19</v>
      </c>
    </row>
    <row r="6503" spans="1:15" x14ac:dyDescent="0.25">
      <c r="A6503" t="s">
        <v>4732</v>
      </c>
      <c r="B6503" t="s">
        <v>15</v>
      </c>
      <c r="C6503" t="s">
        <v>1607</v>
      </c>
      <c r="D6503" t="s">
        <v>17</v>
      </c>
      <c r="E6503" t="s">
        <v>18</v>
      </c>
      <c r="F6503" t="s">
        <v>19</v>
      </c>
      <c r="G6503" t="s">
        <v>20</v>
      </c>
      <c r="J6503" t="s">
        <v>17</v>
      </c>
      <c r="K6503" t="str">
        <f>"764910231"</f>
        <v>764910231</v>
      </c>
      <c r="L6503" t="str">
        <f>"764910231"</f>
        <v>764910231</v>
      </c>
      <c r="M6503" t="s">
        <v>75</v>
      </c>
      <c r="N6503" s="1">
        <v>42872.849305555559</v>
      </c>
      <c r="O6503" t="s">
        <v>19</v>
      </c>
    </row>
    <row r="6504" spans="1:15" x14ac:dyDescent="0.25">
      <c r="A6504" t="s">
        <v>4732</v>
      </c>
      <c r="B6504" t="s">
        <v>15</v>
      </c>
      <c r="C6504" t="s">
        <v>1607</v>
      </c>
      <c r="D6504" t="s">
        <v>17</v>
      </c>
      <c r="E6504" t="s">
        <v>18</v>
      </c>
      <c r="F6504" t="s">
        <v>19</v>
      </c>
      <c r="G6504" t="s">
        <v>20</v>
      </c>
      <c r="J6504" t="s">
        <v>17</v>
      </c>
      <c r="K6504" t="str">
        <f>"766810231"</f>
        <v>766810231</v>
      </c>
      <c r="L6504" t="str">
        <f>"766810231"</f>
        <v>766810231</v>
      </c>
      <c r="M6504" t="s">
        <v>75</v>
      </c>
      <c r="N6504" s="1">
        <v>42933.707638888889</v>
      </c>
      <c r="O6504" t="s">
        <v>19</v>
      </c>
    </row>
    <row r="6505" spans="1:15" x14ac:dyDescent="0.25">
      <c r="A6505" t="s">
        <v>4733</v>
      </c>
      <c r="B6505" t="s">
        <v>15</v>
      </c>
      <c r="C6505" t="s">
        <v>1607</v>
      </c>
      <c r="D6505" t="s">
        <v>17</v>
      </c>
      <c r="E6505" t="s">
        <v>18</v>
      </c>
      <c r="F6505" t="s">
        <v>19</v>
      </c>
      <c r="G6505" t="s">
        <v>20</v>
      </c>
      <c r="J6505" t="s">
        <v>17</v>
      </c>
      <c r="K6505" t="str">
        <f>"764910268"</f>
        <v>764910268</v>
      </c>
      <c r="L6505" t="str">
        <f>"764910268"</f>
        <v>764910268</v>
      </c>
      <c r="M6505" t="s">
        <v>75</v>
      </c>
      <c r="N6505" s="1">
        <v>42872.849305555559</v>
      </c>
      <c r="O6505" t="s">
        <v>19</v>
      </c>
    </row>
    <row r="6506" spans="1:15" x14ac:dyDescent="0.25">
      <c r="A6506" t="s">
        <v>4733</v>
      </c>
      <c r="B6506" t="s">
        <v>15</v>
      </c>
      <c r="C6506" t="s">
        <v>1607</v>
      </c>
      <c r="D6506" t="s">
        <v>17</v>
      </c>
      <c r="E6506" t="s">
        <v>18</v>
      </c>
      <c r="F6506" t="s">
        <v>19</v>
      </c>
      <c r="G6506" t="s">
        <v>20</v>
      </c>
      <c r="J6506" t="s">
        <v>17</v>
      </c>
      <c r="K6506" t="str">
        <f>"766810268"</f>
        <v>766810268</v>
      </c>
      <c r="L6506" t="str">
        <f>"766810268"</f>
        <v>766810268</v>
      </c>
      <c r="M6506" t="s">
        <v>75</v>
      </c>
      <c r="N6506" s="1">
        <v>42872.849305555559</v>
      </c>
      <c r="O6506" t="s">
        <v>19</v>
      </c>
    </row>
    <row r="6507" spans="1:15" x14ac:dyDescent="0.25">
      <c r="A6507" t="s">
        <v>4734</v>
      </c>
      <c r="B6507" t="s">
        <v>15</v>
      </c>
      <c r="C6507" t="s">
        <v>1607</v>
      </c>
      <c r="D6507" t="s">
        <v>17</v>
      </c>
      <c r="E6507" t="s">
        <v>18</v>
      </c>
      <c r="F6507" t="s">
        <v>19</v>
      </c>
      <c r="G6507" t="s">
        <v>20</v>
      </c>
      <c r="J6507" t="s">
        <v>17</v>
      </c>
      <c r="K6507" t="str">
        <f>"766810234"</f>
        <v>766810234</v>
      </c>
      <c r="L6507" t="str">
        <f>"766810234"</f>
        <v>766810234</v>
      </c>
      <c r="M6507" t="s">
        <v>75</v>
      </c>
      <c r="N6507" s="1">
        <v>42872.849305555559</v>
      </c>
      <c r="O6507" t="s">
        <v>19</v>
      </c>
    </row>
    <row r="6508" spans="1:15" x14ac:dyDescent="0.25">
      <c r="A6508" t="s">
        <v>4735</v>
      </c>
      <c r="B6508" t="s">
        <v>15</v>
      </c>
      <c r="C6508" t="s">
        <v>1607</v>
      </c>
      <c r="D6508" t="s">
        <v>17</v>
      </c>
      <c r="E6508" t="s">
        <v>18</v>
      </c>
      <c r="F6508" t="s">
        <v>19</v>
      </c>
      <c r="G6508" t="s">
        <v>20</v>
      </c>
      <c r="J6508" t="s">
        <v>17</v>
      </c>
      <c r="K6508" t="str">
        <f>"766810295"</f>
        <v>766810295</v>
      </c>
      <c r="L6508" t="str">
        <f>"766810295"</f>
        <v>766810295</v>
      </c>
      <c r="M6508" t="s">
        <v>75</v>
      </c>
      <c r="N6508" s="1">
        <v>42872.849305555559</v>
      </c>
      <c r="O6508" t="s">
        <v>19</v>
      </c>
    </row>
    <row r="6509" spans="1:15" x14ac:dyDescent="0.25">
      <c r="A6509" t="s">
        <v>4735</v>
      </c>
      <c r="B6509" t="s">
        <v>15</v>
      </c>
      <c r="C6509" t="s">
        <v>1607</v>
      </c>
      <c r="D6509" t="s">
        <v>17</v>
      </c>
      <c r="E6509" t="s">
        <v>18</v>
      </c>
      <c r="F6509" t="s">
        <v>19</v>
      </c>
      <c r="G6509" t="s">
        <v>20</v>
      </c>
      <c r="J6509" t="s">
        <v>17</v>
      </c>
      <c r="K6509" t="str">
        <f>"764910295"</f>
        <v>764910295</v>
      </c>
      <c r="L6509" t="str">
        <f>"764910295"</f>
        <v>764910295</v>
      </c>
      <c r="M6509" t="s">
        <v>84</v>
      </c>
      <c r="N6509" s="1">
        <v>43451.656944444447</v>
      </c>
      <c r="O6509" t="s">
        <v>19</v>
      </c>
    </row>
    <row r="6510" spans="1:15" x14ac:dyDescent="0.25">
      <c r="A6510" t="s">
        <v>4736</v>
      </c>
      <c r="B6510" t="s">
        <v>15</v>
      </c>
      <c r="C6510" t="s">
        <v>1607</v>
      </c>
      <c r="D6510" t="s">
        <v>17</v>
      </c>
      <c r="E6510" t="s">
        <v>18</v>
      </c>
      <c r="F6510" t="s">
        <v>19</v>
      </c>
      <c r="G6510" t="s">
        <v>20</v>
      </c>
      <c r="J6510" t="s">
        <v>17</v>
      </c>
      <c r="K6510" t="str">
        <f>"1000001085692"</f>
        <v>1000001085692</v>
      </c>
      <c r="L6510" t="str">
        <f>"766810296"</f>
        <v>766810296</v>
      </c>
      <c r="M6510" t="s">
        <v>21</v>
      </c>
      <c r="N6510" s="1">
        <v>42872.849305555559</v>
      </c>
      <c r="O6510" t="s">
        <v>19</v>
      </c>
    </row>
    <row r="6511" spans="1:15" x14ac:dyDescent="0.25">
      <c r="A6511" t="s">
        <v>4737</v>
      </c>
      <c r="B6511" t="s">
        <v>15</v>
      </c>
      <c r="C6511" t="s">
        <v>1607</v>
      </c>
      <c r="D6511" t="s">
        <v>17</v>
      </c>
      <c r="E6511" t="s">
        <v>18</v>
      </c>
      <c r="F6511" t="s">
        <v>19</v>
      </c>
      <c r="G6511" t="s">
        <v>20</v>
      </c>
      <c r="J6511" t="s">
        <v>17</v>
      </c>
      <c r="K6511" t="str">
        <f>"766810299"</f>
        <v>766810299</v>
      </c>
      <c r="L6511" t="str">
        <f>"766810299"</f>
        <v>766810299</v>
      </c>
      <c r="M6511" t="s">
        <v>75</v>
      </c>
      <c r="N6511" s="1">
        <v>43237.663194444445</v>
      </c>
      <c r="O6511" t="s">
        <v>19</v>
      </c>
    </row>
    <row r="6512" spans="1:15" x14ac:dyDescent="0.25">
      <c r="A6512" t="s">
        <v>4738</v>
      </c>
      <c r="B6512" t="s">
        <v>15</v>
      </c>
      <c r="C6512" t="s">
        <v>1607</v>
      </c>
      <c r="D6512" t="s">
        <v>17</v>
      </c>
      <c r="E6512" t="s">
        <v>18</v>
      </c>
      <c r="F6512" t="s">
        <v>19</v>
      </c>
      <c r="G6512" t="s">
        <v>20</v>
      </c>
      <c r="J6512" t="s">
        <v>17</v>
      </c>
      <c r="K6512" t="str">
        <f>"766810298"</f>
        <v>766810298</v>
      </c>
      <c r="L6512" t="str">
        <f>"766810298"</f>
        <v>766810298</v>
      </c>
      <c r="M6512" t="s">
        <v>75</v>
      </c>
      <c r="N6512" s="1">
        <v>43083.619444444441</v>
      </c>
      <c r="O6512" t="s">
        <v>19</v>
      </c>
    </row>
    <row r="6513" spans="1:15" x14ac:dyDescent="0.25">
      <c r="A6513" t="s">
        <v>4738</v>
      </c>
      <c r="B6513" t="s">
        <v>15</v>
      </c>
      <c r="C6513" t="s">
        <v>1607</v>
      </c>
      <c r="D6513" t="s">
        <v>17</v>
      </c>
      <c r="E6513" t="s">
        <v>18</v>
      </c>
      <c r="F6513" t="s">
        <v>19</v>
      </c>
      <c r="G6513" t="s">
        <v>20</v>
      </c>
      <c r="J6513" t="s">
        <v>17</v>
      </c>
      <c r="K6513" t="str">
        <f>"414910298"</f>
        <v>414910298</v>
      </c>
      <c r="L6513" t="str">
        <f>"414910298"</f>
        <v>414910298</v>
      </c>
      <c r="M6513" t="s">
        <v>75</v>
      </c>
      <c r="N6513" s="1">
        <v>43131.829861111109</v>
      </c>
      <c r="O6513" t="s">
        <v>19</v>
      </c>
    </row>
    <row r="6514" spans="1:15" x14ac:dyDescent="0.25">
      <c r="A6514" t="s">
        <v>4739</v>
      </c>
      <c r="B6514" t="s">
        <v>15</v>
      </c>
      <c r="C6514" t="s">
        <v>1607</v>
      </c>
      <c r="D6514" t="s">
        <v>17</v>
      </c>
      <c r="E6514" t="s">
        <v>18</v>
      </c>
      <c r="F6514" t="s">
        <v>19</v>
      </c>
      <c r="G6514" t="s">
        <v>20</v>
      </c>
      <c r="J6514" t="s">
        <v>17</v>
      </c>
      <c r="K6514" t="str">
        <f>"766810308"</f>
        <v>766810308</v>
      </c>
      <c r="L6514" t="str">
        <f>"766810308"</f>
        <v>766810308</v>
      </c>
      <c r="M6514" t="s">
        <v>75</v>
      </c>
      <c r="N6514" s="1">
        <v>43237.659722222219</v>
      </c>
      <c r="O6514" t="s">
        <v>19</v>
      </c>
    </row>
    <row r="6515" spans="1:15" x14ac:dyDescent="0.25">
      <c r="A6515" t="s">
        <v>4740</v>
      </c>
      <c r="B6515" t="s">
        <v>15</v>
      </c>
      <c r="C6515" t="s">
        <v>1607</v>
      </c>
      <c r="D6515" t="s">
        <v>17</v>
      </c>
      <c r="E6515" t="s">
        <v>18</v>
      </c>
      <c r="F6515" t="s">
        <v>19</v>
      </c>
      <c r="G6515" t="s">
        <v>20</v>
      </c>
      <c r="J6515" t="s">
        <v>17</v>
      </c>
      <c r="K6515" t="str">
        <f>"864910312"</f>
        <v>864910312</v>
      </c>
      <c r="L6515" t="str">
        <f>"864910312"</f>
        <v>864910312</v>
      </c>
      <c r="M6515" t="s">
        <v>84</v>
      </c>
      <c r="N6515" s="1">
        <v>43367.904861111114</v>
      </c>
      <c r="O6515" t="s">
        <v>19</v>
      </c>
    </row>
    <row r="6516" spans="1:15" x14ac:dyDescent="0.25">
      <c r="A6516" t="s">
        <v>4740</v>
      </c>
      <c r="B6516" t="s">
        <v>15</v>
      </c>
      <c r="C6516" t="s">
        <v>1607</v>
      </c>
      <c r="D6516" t="s">
        <v>17</v>
      </c>
      <c r="E6516" t="s">
        <v>18</v>
      </c>
      <c r="F6516" t="s">
        <v>19</v>
      </c>
      <c r="G6516" t="s">
        <v>20</v>
      </c>
      <c r="J6516" t="s">
        <v>17</v>
      </c>
      <c r="K6516" t="str">
        <f>"766810312"</f>
        <v>766810312</v>
      </c>
      <c r="L6516" t="str">
        <f>"766810312"</f>
        <v>766810312</v>
      </c>
      <c r="M6516" t="s">
        <v>84</v>
      </c>
      <c r="N6516" s="1">
        <v>43370.696527777778</v>
      </c>
      <c r="O6516" t="s">
        <v>19</v>
      </c>
    </row>
    <row r="6517" spans="1:15" x14ac:dyDescent="0.25">
      <c r="A6517" t="s">
        <v>4741</v>
      </c>
      <c r="B6517" t="s">
        <v>15</v>
      </c>
      <c r="C6517" t="s">
        <v>1607</v>
      </c>
      <c r="D6517" t="s">
        <v>17</v>
      </c>
      <c r="E6517" t="s">
        <v>18</v>
      </c>
      <c r="F6517" t="s">
        <v>19</v>
      </c>
      <c r="G6517" t="s">
        <v>20</v>
      </c>
      <c r="J6517" t="s">
        <v>17</v>
      </c>
      <c r="K6517" t="str">
        <f>"766810307"</f>
        <v>766810307</v>
      </c>
      <c r="L6517" t="str">
        <f>"766810307"</f>
        <v>766810307</v>
      </c>
      <c r="M6517" t="s">
        <v>75</v>
      </c>
      <c r="N6517" s="1">
        <v>43237.661805555559</v>
      </c>
      <c r="O6517" t="s">
        <v>19</v>
      </c>
    </row>
    <row r="6518" spans="1:15" x14ac:dyDescent="0.25">
      <c r="A6518" t="s">
        <v>4741</v>
      </c>
      <c r="B6518" t="s">
        <v>15</v>
      </c>
      <c r="C6518" t="s">
        <v>1607</v>
      </c>
      <c r="D6518" t="s">
        <v>17</v>
      </c>
      <c r="E6518" t="s">
        <v>18</v>
      </c>
      <c r="F6518" t="s">
        <v>19</v>
      </c>
      <c r="G6518" t="s">
        <v>20</v>
      </c>
      <c r="J6518" t="s">
        <v>17</v>
      </c>
      <c r="K6518" t="str">
        <f>"864910307"</f>
        <v>864910307</v>
      </c>
      <c r="L6518" t="str">
        <f>"864910307"</f>
        <v>864910307</v>
      </c>
      <c r="M6518" t="s">
        <v>84</v>
      </c>
      <c r="N6518" s="1">
        <v>43367.905555555553</v>
      </c>
      <c r="O6518" t="s">
        <v>19</v>
      </c>
    </row>
    <row r="6519" spans="1:15" x14ac:dyDescent="0.25">
      <c r="A6519" t="s">
        <v>4742</v>
      </c>
      <c r="B6519" t="s">
        <v>15</v>
      </c>
      <c r="C6519" t="s">
        <v>1607</v>
      </c>
      <c r="D6519" t="s">
        <v>17</v>
      </c>
      <c r="E6519" t="s">
        <v>18</v>
      </c>
      <c r="F6519" t="s">
        <v>19</v>
      </c>
      <c r="G6519" t="s">
        <v>20</v>
      </c>
      <c r="J6519" t="s">
        <v>17</v>
      </c>
      <c r="K6519" t="str">
        <f>"764910314"</f>
        <v>764910314</v>
      </c>
      <c r="L6519" t="str">
        <f>"764910314"</f>
        <v>764910314</v>
      </c>
      <c r="M6519" t="s">
        <v>21</v>
      </c>
      <c r="N6519" s="1">
        <v>43610.679166666669</v>
      </c>
      <c r="O6519" t="s">
        <v>19</v>
      </c>
    </row>
    <row r="6520" spans="1:15" x14ac:dyDescent="0.25">
      <c r="A6520" t="s">
        <v>4743</v>
      </c>
      <c r="B6520" t="s">
        <v>15</v>
      </c>
      <c r="C6520" t="s">
        <v>1607</v>
      </c>
      <c r="D6520" t="s">
        <v>17</v>
      </c>
      <c r="E6520" t="s">
        <v>18</v>
      </c>
      <c r="F6520" t="s">
        <v>19</v>
      </c>
      <c r="G6520" t="s">
        <v>20</v>
      </c>
      <c r="J6520" t="s">
        <v>17</v>
      </c>
      <c r="K6520" t="str">
        <f>"764910315"</f>
        <v>764910315</v>
      </c>
      <c r="L6520" t="str">
        <f>"764910315"</f>
        <v>764910315</v>
      </c>
      <c r="M6520" t="s">
        <v>21</v>
      </c>
      <c r="N6520" s="1">
        <v>43610.679861111108</v>
      </c>
      <c r="O6520" t="s">
        <v>19</v>
      </c>
    </row>
    <row r="6521" spans="1:15" x14ac:dyDescent="0.25">
      <c r="A6521" t="s">
        <v>4744</v>
      </c>
      <c r="B6521" t="s">
        <v>15</v>
      </c>
      <c r="C6521" t="s">
        <v>1607</v>
      </c>
      <c r="D6521" t="s">
        <v>17</v>
      </c>
      <c r="E6521" t="s">
        <v>18</v>
      </c>
      <c r="F6521" t="s">
        <v>19</v>
      </c>
      <c r="G6521" t="s">
        <v>20</v>
      </c>
      <c r="J6521" t="s">
        <v>17</v>
      </c>
      <c r="K6521" t="str">
        <f>"764910313"</f>
        <v>764910313</v>
      </c>
      <c r="L6521" t="str">
        <f>"764910313"</f>
        <v>764910313</v>
      </c>
      <c r="M6521" t="s">
        <v>84</v>
      </c>
      <c r="N6521" s="1">
        <v>43451.65625</v>
      </c>
      <c r="O6521" t="s">
        <v>19</v>
      </c>
    </row>
    <row r="6522" spans="1:15" x14ac:dyDescent="0.25">
      <c r="A6522" t="s">
        <v>4745</v>
      </c>
      <c r="B6522" t="s">
        <v>15</v>
      </c>
      <c r="C6522" t="s">
        <v>1607</v>
      </c>
      <c r="D6522" t="s">
        <v>17</v>
      </c>
      <c r="E6522" t="s">
        <v>18</v>
      </c>
      <c r="F6522" t="s">
        <v>19</v>
      </c>
      <c r="G6522" t="s">
        <v>20</v>
      </c>
      <c r="J6522" t="s">
        <v>17</v>
      </c>
      <c r="K6522" t="str">
        <f>"346810121"</f>
        <v>346810121</v>
      </c>
      <c r="L6522" t="str">
        <f>"346810121"</f>
        <v>346810121</v>
      </c>
      <c r="M6522" t="s">
        <v>75</v>
      </c>
      <c r="N6522" s="1">
        <v>42872.849305555559</v>
      </c>
      <c r="O6522" t="s">
        <v>19</v>
      </c>
    </row>
    <row r="6523" spans="1:15" x14ac:dyDescent="0.25">
      <c r="A6523" t="s">
        <v>4746</v>
      </c>
      <c r="B6523" t="s">
        <v>15</v>
      </c>
      <c r="C6523" t="s">
        <v>1607</v>
      </c>
      <c r="D6523" t="s">
        <v>17</v>
      </c>
      <c r="E6523" t="s">
        <v>18</v>
      </c>
      <c r="F6523" t="s">
        <v>19</v>
      </c>
      <c r="G6523" t="s">
        <v>20</v>
      </c>
      <c r="J6523" t="s">
        <v>17</v>
      </c>
      <c r="K6523" t="str">
        <f>"76681082"</f>
        <v>76681082</v>
      </c>
      <c r="L6523" t="str">
        <f>"76681082"</f>
        <v>76681082</v>
      </c>
      <c r="M6523" t="s">
        <v>75</v>
      </c>
      <c r="N6523" s="1">
        <v>42872.847222222219</v>
      </c>
      <c r="O6523" t="s">
        <v>19</v>
      </c>
    </row>
    <row r="6524" spans="1:15" x14ac:dyDescent="0.25">
      <c r="A6524" t="s">
        <v>4747</v>
      </c>
      <c r="B6524" t="s">
        <v>15</v>
      </c>
      <c r="C6524" t="s">
        <v>1607</v>
      </c>
      <c r="D6524" t="s">
        <v>17</v>
      </c>
      <c r="E6524" t="s">
        <v>18</v>
      </c>
      <c r="F6524" t="s">
        <v>19</v>
      </c>
      <c r="G6524" t="s">
        <v>20</v>
      </c>
      <c r="J6524" t="s">
        <v>17</v>
      </c>
      <c r="K6524" t="str">
        <f>"764910305"</f>
        <v>764910305</v>
      </c>
      <c r="L6524" t="str">
        <f>"764910305"</f>
        <v>764910305</v>
      </c>
      <c r="M6524" t="s">
        <v>75</v>
      </c>
      <c r="N6524" s="1">
        <v>43162.675000000003</v>
      </c>
      <c r="O6524" t="s">
        <v>19</v>
      </c>
    </row>
    <row r="6525" spans="1:15" x14ac:dyDescent="0.25">
      <c r="A6525" t="s">
        <v>4747</v>
      </c>
      <c r="B6525" t="s">
        <v>15</v>
      </c>
      <c r="C6525" t="s">
        <v>1607</v>
      </c>
      <c r="D6525" t="s">
        <v>17</v>
      </c>
      <c r="E6525" t="s">
        <v>18</v>
      </c>
      <c r="F6525" t="s">
        <v>19</v>
      </c>
      <c r="G6525" t="s">
        <v>20</v>
      </c>
      <c r="J6525" t="s">
        <v>17</v>
      </c>
      <c r="K6525" t="str">
        <f>"614910305"</f>
        <v>614910305</v>
      </c>
      <c r="L6525" t="str">
        <f>"614910305"</f>
        <v>614910305</v>
      </c>
      <c r="M6525" t="s">
        <v>84</v>
      </c>
      <c r="N6525" s="1">
        <v>43420.70208333333</v>
      </c>
      <c r="O6525" t="s">
        <v>19</v>
      </c>
    </row>
    <row r="6526" spans="1:15" x14ac:dyDescent="0.25">
      <c r="A6526" t="s">
        <v>4747</v>
      </c>
      <c r="B6526" t="s">
        <v>15</v>
      </c>
      <c r="C6526" t="s">
        <v>1607</v>
      </c>
      <c r="D6526" t="s">
        <v>17</v>
      </c>
      <c r="E6526" t="s">
        <v>18</v>
      </c>
      <c r="F6526" t="s">
        <v>19</v>
      </c>
      <c r="G6526" t="s">
        <v>20</v>
      </c>
      <c r="J6526" t="s">
        <v>17</v>
      </c>
      <c r="K6526" t="str">
        <f>"5901737920232"</f>
        <v>5901737920232</v>
      </c>
      <c r="L6526" t="str">
        <f>"344910305"</f>
        <v>344910305</v>
      </c>
      <c r="M6526" t="s">
        <v>84</v>
      </c>
      <c r="N6526" s="1">
        <v>43528.76458333333</v>
      </c>
      <c r="O6526" t="s">
        <v>19</v>
      </c>
    </row>
    <row r="6527" spans="1:15" x14ac:dyDescent="0.25">
      <c r="A6527" t="s">
        <v>4748</v>
      </c>
      <c r="B6527" t="s">
        <v>15</v>
      </c>
      <c r="C6527" t="s">
        <v>1607</v>
      </c>
      <c r="D6527" t="s">
        <v>17</v>
      </c>
      <c r="E6527" t="s">
        <v>18</v>
      </c>
      <c r="F6527" t="s">
        <v>19</v>
      </c>
      <c r="G6527" t="s">
        <v>20</v>
      </c>
      <c r="J6527" t="s">
        <v>17</v>
      </c>
      <c r="K6527" t="str">
        <f>"76681025"</f>
        <v>76681025</v>
      </c>
      <c r="L6527" t="str">
        <f>"76681025"</f>
        <v>76681025</v>
      </c>
      <c r="M6527" t="s">
        <v>75</v>
      </c>
      <c r="N6527" s="1">
        <v>43083.618750000001</v>
      </c>
      <c r="O6527" t="s">
        <v>19</v>
      </c>
    </row>
    <row r="6528" spans="1:15" x14ac:dyDescent="0.25">
      <c r="A6528" t="s">
        <v>4748</v>
      </c>
      <c r="B6528" t="s">
        <v>15</v>
      </c>
      <c r="C6528" t="s">
        <v>1607</v>
      </c>
      <c r="D6528" t="s">
        <v>17</v>
      </c>
      <c r="E6528" t="s">
        <v>18</v>
      </c>
      <c r="F6528" t="s">
        <v>19</v>
      </c>
      <c r="G6528" t="s">
        <v>20</v>
      </c>
      <c r="J6528" t="s">
        <v>17</v>
      </c>
      <c r="K6528" t="str">
        <f>"766810305"</f>
        <v>766810305</v>
      </c>
      <c r="L6528" t="str">
        <f>"766810305"</f>
        <v>766810305</v>
      </c>
      <c r="M6528" t="s">
        <v>75</v>
      </c>
      <c r="N6528" s="1">
        <v>43112.772222222222</v>
      </c>
      <c r="O6528" t="s">
        <v>19</v>
      </c>
    </row>
    <row r="6529" spans="1:15" x14ac:dyDescent="0.25">
      <c r="A6529" t="s">
        <v>4748</v>
      </c>
      <c r="B6529" t="s">
        <v>15</v>
      </c>
      <c r="C6529" t="s">
        <v>1607</v>
      </c>
      <c r="D6529" t="s">
        <v>17</v>
      </c>
      <c r="E6529" t="s">
        <v>18</v>
      </c>
      <c r="F6529" t="s">
        <v>19</v>
      </c>
      <c r="G6529" t="s">
        <v>20</v>
      </c>
      <c r="J6529" t="s">
        <v>17</v>
      </c>
      <c r="K6529" t="str">
        <f>"764610305"</f>
        <v>764610305</v>
      </c>
      <c r="L6529" t="str">
        <f>"764610305"</f>
        <v>764610305</v>
      </c>
      <c r="M6529" t="s">
        <v>75</v>
      </c>
      <c r="N6529" s="1">
        <v>43237.656944444447</v>
      </c>
      <c r="O6529" t="s">
        <v>19</v>
      </c>
    </row>
    <row r="6530" spans="1:15" x14ac:dyDescent="0.25">
      <c r="A6530" t="s">
        <v>4748</v>
      </c>
      <c r="B6530" t="s">
        <v>15</v>
      </c>
      <c r="C6530" t="s">
        <v>1607</v>
      </c>
      <c r="D6530" t="s">
        <v>17</v>
      </c>
      <c r="E6530" t="s">
        <v>18</v>
      </c>
      <c r="F6530" t="s">
        <v>19</v>
      </c>
      <c r="G6530" t="s">
        <v>20</v>
      </c>
      <c r="J6530" t="s">
        <v>17</v>
      </c>
      <c r="K6530" t="str">
        <f>"61491025"</f>
        <v>61491025</v>
      </c>
      <c r="L6530" t="str">
        <f>"61491025"</f>
        <v>61491025</v>
      </c>
      <c r="M6530" t="s">
        <v>84</v>
      </c>
      <c r="N6530" s="1">
        <v>43420.701388888891</v>
      </c>
      <c r="O6530" t="s">
        <v>19</v>
      </c>
    </row>
    <row r="6531" spans="1:15" x14ac:dyDescent="0.25">
      <c r="A6531" t="s">
        <v>4749</v>
      </c>
      <c r="B6531" t="s">
        <v>15</v>
      </c>
      <c r="C6531" t="s">
        <v>1607</v>
      </c>
      <c r="D6531" t="s">
        <v>17</v>
      </c>
      <c r="E6531" t="s">
        <v>18</v>
      </c>
      <c r="F6531" t="s">
        <v>19</v>
      </c>
      <c r="G6531" t="s">
        <v>20</v>
      </c>
      <c r="J6531" t="s">
        <v>17</v>
      </c>
      <c r="K6531" t="str">
        <f>"86493161"</f>
        <v>86493161</v>
      </c>
      <c r="L6531" t="str">
        <f>"86493161"</f>
        <v>86493161</v>
      </c>
      <c r="M6531" t="s">
        <v>84</v>
      </c>
      <c r="N6531" s="1">
        <v>43367.904861111114</v>
      </c>
      <c r="O6531" t="s">
        <v>19</v>
      </c>
    </row>
    <row r="6532" spans="1:15" x14ac:dyDescent="0.25">
      <c r="A6532" t="s">
        <v>4750</v>
      </c>
      <c r="B6532" t="s">
        <v>15</v>
      </c>
      <c r="C6532" t="s">
        <v>1607</v>
      </c>
      <c r="D6532" t="s">
        <v>17</v>
      </c>
      <c r="E6532" t="s">
        <v>18</v>
      </c>
      <c r="F6532" t="s">
        <v>19</v>
      </c>
      <c r="G6532" t="s">
        <v>20</v>
      </c>
      <c r="J6532" t="s">
        <v>17</v>
      </c>
      <c r="K6532" t="str">
        <f>"76683163"</f>
        <v>76683163</v>
      </c>
      <c r="L6532" t="str">
        <f>"76683163"</f>
        <v>76683163</v>
      </c>
      <c r="M6532" t="s">
        <v>75</v>
      </c>
      <c r="N6532" s="1">
        <v>43005.781944444447</v>
      </c>
      <c r="O6532" t="s">
        <v>19</v>
      </c>
    </row>
    <row r="6533" spans="1:15" x14ac:dyDescent="0.25">
      <c r="A6533" t="s">
        <v>4750</v>
      </c>
      <c r="B6533" t="s">
        <v>15</v>
      </c>
      <c r="C6533" t="s">
        <v>1607</v>
      </c>
      <c r="D6533" t="s">
        <v>17</v>
      </c>
      <c r="E6533" t="s">
        <v>18</v>
      </c>
      <c r="F6533" t="s">
        <v>19</v>
      </c>
      <c r="G6533" t="s">
        <v>20</v>
      </c>
      <c r="J6533" t="s">
        <v>17</v>
      </c>
      <c r="K6533" t="str">
        <f>"33683163"</f>
        <v>33683163</v>
      </c>
      <c r="L6533" t="str">
        <f>"33683163"</f>
        <v>33683163</v>
      </c>
      <c r="M6533" t="s">
        <v>75</v>
      </c>
      <c r="N6533" s="1">
        <v>43046.661805555559</v>
      </c>
      <c r="O6533" t="s">
        <v>19</v>
      </c>
    </row>
    <row r="6534" spans="1:15" x14ac:dyDescent="0.25">
      <c r="A6534" t="s">
        <v>4751</v>
      </c>
      <c r="B6534" t="s">
        <v>15</v>
      </c>
      <c r="C6534" t="s">
        <v>1607</v>
      </c>
      <c r="D6534" t="s">
        <v>17</v>
      </c>
      <c r="E6534" t="s">
        <v>18</v>
      </c>
      <c r="F6534" t="s">
        <v>19</v>
      </c>
      <c r="G6534" t="s">
        <v>20</v>
      </c>
      <c r="J6534" t="s">
        <v>17</v>
      </c>
      <c r="K6534" t="str">
        <f>"764931631"</f>
        <v>764931631</v>
      </c>
      <c r="L6534" t="str">
        <f>"764931631"</f>
        <v>764931631</v>
      </c>
      <c r="M6534" t="s">
        <v>21</v>
      </c>
      <c r="N6534" s="1">
        <v>43610.679861111108</v>
      </c>
      <c r="O6534" t="s">
        <v>19</v>
      </c>
    </row>
    <row r="6535" spans="1:15" x14ac:dyDescent="0.25">
      <c r="A6535" t="s">
        <v>4752</v>
      </c>
      <c r="B6535" t="s">
        <v>15</v>
      </c>
      <c r="C6535" t="s">
        <v>1607</v>
      </c>
      <c r="D6535" t="s">
        <v>17</v>
      </c>
      <c r="E6535" t="s">
        <v>18</v>
      </c>
      <c r="F6535" t="s">
        <v>19</v>
      </c>
      <c r="G6535" t="s">
        <v>20</v>
      </c>
      <c r="J6535" t="s">
        <v>17</v>
      </c>
      <c r="K6535" t="str">
        <f>"76683165"</f>
        <v>76683165</v>
      </c>
      <c r="L6535" t="str">
        <f>"76683165"</f>
        <v>76683165</v>
      </c>
      <c r="M6535" t="s">
        <v>75</v>
      </c>
      <c r="N6535" s="1">
        <v>43005.782638888886</v>
      </c>
      <c r="O6535" t="s">
        <v>19</v>
      </c>
    </row>
    <row r="6536" spans="1:15" x14ac:dyDescent="0.25">
      <c r="A6536" t="s">
        <v>4752</v>
      </c>
      <c r="B6536" t="s">
        <v>15</v>
      </c>
      <c r="C6536" t="s">
        <v>1607</v>
      </c>
      <c r="D6536" t="s">
        <v>17</v>
      </c>
      <c r="E6536" t="s">
        <v>18</v>
      </c>
      <c r="F6536" t="s">
        <v>19</v>
      </c>
      <c r="G6536" t="s">
        <v>20</v>
      </c>
      <c r="J6536" t="s">
        <v>17</v>
      </c>
      <c r="K6536" t="str">
        <f>"33683165"</f>
        <v>33683165</v>
      </c>
      <c r="L6536" t="str">
        <f>"33683165"</f>
        <v>33683165</v>
      </c>
      <c r="M6536" t="s">
        <v>75</v>
      </c>
      <c r="N6536" s="1">
        <v>43046.661111111112</v>
      </c>
      <c r="O6536" t="s">
        <v>19</v>
      </c>
    </row>
    <row r="6537" spans="1:15" x14ac:dyDescent="0.25">
      <c r="A6537" t="s">
        <v>4752</v>
      </c>
      <c r="B6537" t="s">
        <v>15</v>
      </c>
      <c r="C6537" t="s">
        <v>1607</v>
      </c>
      <c r="D6537" t="s">
        <v>17</v>
      </c>
      <c r="E6537" t="s">
        <v>18</v>
      </c>
      <c r="F6537" t="s">
        <v>19</v>
      </c>
      <c r="G6537" t="s">
        <v>20</v>
      </c>
      <c r="J6537" t="s">
        <v>17</v>
      </c>
      <c r="K6537" t="str">
        <f>"76493165"</f>
        <v>76493165</v>
      </c>
      <c r="L6537" t="str">
        <f>"76493165"</f>
        <v>76493165</v>
      </c>
      <c r="M6537" t="s">
        <v>75</v>
      </c>
      <c r="N6537" s="1">
        <v>43132.74722222222</v>
      </c>
      <c r="O6537" t="s">
        <v>19</v>
      </c>
    </row>
    <row r="6538" spans="1:15" x14ac:dyDescent="0.25">
      <c r="A6538" t="s">
        <v>4753</v>
      </c>
      <c r="B6538" t="s">
        <v>15</v>
      </c>
      <c r="C6538" t="s">
        <v>1607</v>
      </c>
      <c r="D6538" t="s">
        <v>17</v>
      </c>
      <c r="E6538" t="s">
        <v>18</v>
      </c>
      <c r="F6538" t="s">
        <v>19</v>
      </c>
      <c r="G6538" t="s">
        <v>20</v>
      </c>
      <c r="J6538" t="s">
        <v>17</v>
      </c>
      <c r="K6538" t="str">
        <f>"764931651"</f>
        <v>764931651</v>
      </c>
      <c r="L6538" t="str">
        <f>"764931651"</f>
        <v>764931651</v>
      </c>
      <c r="M6538" t="s">
        <v>84</v>
      </c>
      <c r="N6538" s="1">
        <v>43567.71875</v>
      </c>
      <c r="O6538" t="s">
        <v>19</v>
      </c>
    </row>
    <row r="6539" spans="1:15" x14ac:dyDescent="0.25">
      <c r="A6539" t="s">
        <v>4754</v>
      </c>
      <c r="B6539" t="s">
        <v>15</v>
      </c>
      <c r="C6539" t="s">
        <v>1607</v>
      </c>
      <c r="D6539" t="s">
        <v>17</v>
      </c>
      <c r="E6539" t="s">
        <v>18</v>
      </c>
      <c r="F6539" t="s">
        <v>19</v>
      </c>
      <c r="G6539" t="s">
        <v>20</v>
      </c>
      <c r="J6539" t="s">
        <v>17</v>
      </c>
      <c r="K6539" t="str">
        <f>"764931652"</f>
        <v>764931652</v>
      </c>
      <c r="L6539" t="str">
        <f>"764931652"</f>
        <v>764931652</v>
      </c>
      <c r="M6539" t="s">
        <v>84</v>
      </c>
      <c r="N6539" s="1">
        <v>43567.71875</v>
      </c>
      <c r="O6539" t="s">
        <v>19</v>
      </c>
    </row>
    <row r="6540" spans="1:15" x14ac:dyDescent="0.25">
      <c r="A6540" t="s">
        <v>4755</v>
      </c>
      <c r="B6540" t="s">
        <v>15</v>
      </c>
      <c r="C6540" t="s">
        <v>1607</v>
      </c>
      <c r="D6540" t="s">
        <v>17</v>
      </c>
      <c r="E6540" t="s">
        <v>18</v>
      </c>
      <c r="F6540" t="s">
        <v>19</v>
      </c>
      <c r="G6540" t="s">
        <v>20</v>
      </c>
      <c r="J6540" t="s">
        <v>17</v>
      </c>
      <c r="K6540" t="str">
        <f>"33683166"</f>
        <v>33683166</v>
      </c>
      <c r="L6540" t="str">
        <f>"33683166"</f>
        <v>33683166</v>
      </c>
      <c r="M6540" t="s">
        <v>75</v>
      </c>
      <c r="N6540" s="1">
        <v>43046.662499999999</v>
      </c>
      <c r="O6540" t="s">
        <v>19</v>
      </c>
    </row>
    <row r="6541" spans="1:15" x14ac:dyDescent="0.25">
      <c r="A6541" t="s">
        <v>4755</v>
      </c>
      <c r="B6541" t="s">
        <v>15</v>
      </c>
      <c r="C6541" t="s">
        <v>1607</v>
      </c>
      <c r="D6541" t="s">
        <v>17</v>
      </c>
      <c r="E6541" t="s">
        <v>18</v>
      </c>
      <c r="F6541" t="s">
        <v>19</v>
      </c>
      <c r="G6541" t="s">
        <v>20</v>
      </c>
      <c r="J6541" t="s">
        <v>17</v>
      </c>
      <c r="K6541" t="str">
        <f>"76683166"</f>
        <v>76683166</v>
      </c>
      <c r="L6541" t="str">
        <f>"76683166"</f>
        <v>76683166</v>
      </c>
      <c r="M6541" t="s">
        <v>75</v>
      </c>
      <c r="N6541" s="1">
        <v>43112.771527777775</v>
      </c>
      <c r="O6541" t="s">
        <v>19</v>
      </c>
    </row>
    <row r="6542" spans="1:15" x14ac:dyDescent="0.25">
      <c r="A6542" t="s">
        <v>4755</v>
      </c>
      <c r="B6542" t="s">
        <v>15</v>
      </c>
      <c r="C6542" t="s">
        <v>1607</v>
      </c>
      <c r="D6542" t="s">
        <v>17</v>
      </c>
      <c r="E6542" t="s">
        <v>18</v>
      </c>
      <c r="F6542" t="s">
        <v>19</v>
      </c>
      <c r="G6542" t="s">
        <v>20</v>
      </c>
      <c r="J6542" t="s">
        <v>17</v>
      </c>
      <c r="K6542" t="str">
        <f>"17493166"</f>
        <v>17493166</v>
      </c>
      <c r="L6542" t="str">
        <f>"17493166"</f>
        <v>17493166</v>
      </c>
      <c r="M6542" t="s">
        <v>75</v>
      </c>
      <c r="N6542" s="1">
        <v>43132.636111111111</v>
      </c>
      <c r="O6542" t="s">
        <v>19</v>
      </c>
    </row>
    <row r="6543" spans="1:15" x14ac:dyDescent="0.25">
      <c r="A6543" t="s">
        <v>4755</v>
      </c>
      <c r="B6543" t="s">
        <v>15</v>
      </c>
      <c r="C6543" t="s">
        <v>1607</v>
      </c>
      <c r="D6543" t="s">
        <v>17</v>
      </c>
      <c r="E6543" t="s">
        <v>18</v>
      </c>
      <c r="F6543" t="s">
        <v>19</v>
      </c>
      <c r="G6543" t="s">
        <v>20</v>
      </c>
      <c r="J6543" t="s">
        <v>17</v>
      </c>
      <c r="K6543" t="str">
        <f>"76493166"</f>
        <v>76493166</v>
      </c>
      <c r="L6543" t="str">
        <f>"76493166"</f>
        <v>76493166</v>
      </c>
      <c r="M6543" t="s">
        <v>75</v>
      </c>
      <c r="N6543" s="1">
        <v>43132.747916666667</v>
      </c>
      <c r="O6543" t="s">
        <v>19</v>
      </c>
    </row>
    <row r="6544" spans="1:15" x14ac:dyDescent="0.25">
      <c r="A6544" t="s">
        <v>4756</v>
      </c>
      <c r="B6544" t="s">
        <v>15</v>
      </c>
      <c r="C6544" t="s">
        <v>1607</v>
      </c>
      <c r="D6544" t="s">
        <v>17</v>
      </c>
      <c r="E6544" t="s">
        <v>18</v>
      </c>
      <c r="F6544" t="s">
        <v>19</v>
      </c>
      <c r="G6544" t="s">
        <v>20</v>
      </c>
      <c r="J6544" t="s">
        <v>17</v>
      </c>
      <c r="K6544" t="str">
        <f>"764931661"</f>
        <v>764931661</v>
      </c>
      <c r="L6544" t="str">
        <f>"764931661"</f>
        <v>764931661</v>
      </c>
      <c r="M6544" t="s">
        <v>84</v>
      </c>
      <c r="N6544" s="1">
        <v>43335.712500000001</v>
      </c>
      <c r="O6544" t="s">
        <v>19</v>
      </c>
    </row>
    <row r="6545" spans="1:15" x14ac:dyDescent="0.25">
      <c r="A6545" t="s">
        <v>4757</v>
      </c>
      <c r="B6545" t="s">
        <v>15</v>
      </c>
      <c r="C6545" t="s">
        <v>1607</v>
      </c>
      <c r="D6545" t="s">
        <v>17</v>
      </c>
      <c r="E6545" t="s">
        <v>18</v>
      </c>
      <c r="F6545" t="s">
        <v>19</v>
      </c>
      <c r="G6545" t="s">
        <v>20</v>
      </c>
      <c r="J6545" t="s">
        <v>17</v>
      </c>
      <c r="K6545" t="str">
        <f>"7649316712"</f>
        <v>7649316712</v>
      </c>
      <c r="L6545" t="str">
        <f>"7649316712"</f>
        <v>7649316712</v>
      </c>
      <c r="M6545" t="s">
        <v>21</v>
      </c>
      <c r="N6545" s="1">
        <v>43719.82708333333</v>
      </c>
      <c r="O6545" t="s">
        <v>19</v>
      </c>
    </row>
    <row r="6546" spans="1:15" x14ac:dyDescent="0.25">
      <c r="A6546" t="s">
        <v>4758</v>
      </c>
      <c r="B6546" t="s">
        <v>15</v>
      </c>
      <c r="C6546" t="s">
        <v>1607</v>
      </c>
      <c r="D6546" t="s">
        <v>17</v>
      </c>
      <c r="E6546" t="s">
        <v>18</v>
      </c>
      <c r="F6546" t="s">
        <v>19</v>
      </c>
      <c r="G6546" t="s">
        <v>20</v>
      </c>
      <c r="J6546" t="s">
        <v>17</v>
      </c>
      <c r="K6546" t="str">
        <f>"76683168"</f>
        <v>76683168</v>
      </c>
      <c r="L6546" t="str">
        <f>"76683168"</f>
        <v>76683168</v>
      </c>
      <c r="M6546" t="s">
        <v>75</v>
      </c>
      <c r="N6546" s="1">
        <v>43237.661111111112</v>
      </c>
      <c r="O6546" t="s">
        <v>19</v>
      </c>
    </row>
    <row r="6547" spans="1:15" x14ac:dyDescent="0.25">
      <c r="A6547" t="s">
        <v>4759</v>
      </c>
      <c r="B6547" t="s">
        <v>15</v>
      </c>
      <c r="C6547" t="s">
        <v>1607</v>
      </c>
      <c r="D6547" t="s">
        <v>17</v>
      </c>
      <c r="E6547" t="s">
        <v>18</v>
      </c>
      <c r="F6547" t="s">
        <v>19</v>
      </c>
      <c r="G6547" t="s">
        <v>20</v>
      </c>
      <c r="J6547" t="s">
        <v>17</v>
      </c>
      <c r="K6547" t="str">
        <f>"34682419"</f>
        <v>34682419</v>
      </c>
      <c r="L6547" t="str">
        <f>"34682419"</f>
        <v>34682419</v>
      </c>
      <c r="M6547" t="s">
        <v>75</v>
      </c>
      <c r="N6547" s="1">
        <v>42872.839583333334</v>
      </c>
      <c r="O6547" t="s">
        <v>19</v>
      </c>
    </row>
    <row r="6548" spans="1:15" x14ac:dyDescent="0.25">
      <c r="A6548" t="s">
        <v>4759</v>
      </c>
      <c r="B6548" t="s">
        <v>15</v>
      </c>
      <c r="C6548" t="s">
        <v>1607</v>
      </c>
      <c r="D6548" t="s">
        <v>17</v>
      </c>
      <c r="E6548" t="s">
        <v>18</v>
      </c>
      <c r="F6548" t="s">
        <v>19</v>
      </c>
      <c r="G6548" t="s">
        <v>20</v>
      </c>
      <c r="J6548" t="s">
        <v>17</v>
      </c>
      <c r="K6548" t="str">
        <f>"346820119"</f>
        <v>346820119</v>
      </c>
      <c r="L6548" t="str">
        <f>"346820119"</f>
        <v>346820119</v>
      </c>
      <c r="M6548" t="s">
        <v>75</v>
      </c>
      <c r="N6548" s="1">
        <v>42872.849305555559</v>
      </c>
      <c r="O6548" t="s">
        <v>19</v>
      </c>
    </row>
    <row r="6549" spans="1:15" x14ac:dyDescent="0.25">
      <c r="A6549" t="s">
        <v>4760</v>
      </c>
      <c r="B6549" t="s">
        <v>15</v>
      </c>
      <c r="C6549" t="s">
        <v>1607</v>
      </c>
      <c r="D6549" t="s">
        <v>17</v>
      </c>
      <c r="E6549" t="s">
        <v>18</v>
      </c>
      <c r="F6549" t="s">
        <v>19</v>
      </c>
      <c r="G6549" t="s">
        <v>20</v>
      </c>
      <c r="J6549" t="s">
        <v>17</v>
      </c>
      <c r="K6549" t="str">
        <f>"2019512588053"</f>
        <v>2019512588053</v>
      </c>
      <c r="L6549" t="str">
        <f>"344914279"</f>
        <v>344914279</v>
      </c>
      <c r="M6549" t="s">
        <v>21</v>
      </c>
      <c r="N6549" s="1">
        <v>43754.926388888889</v>
      </c>
      <c r="O6549" t="s">
        <v>19</v>
      </c>
    </row>
    <row r="6550" spans="1:15" x14ac:dyDescent="0.25">
      <c r="A6550" t="s">
        <v>4761</v>
      </c>
      <c r="B6550" t="s">
        <v>15</v>
      </c>
      <c r="C6550" t="s">
        <v>1607</v>
      </c>
      <c r="D6550" t="s">
        <v>17</v>
      </c>
      <c r="E6550" t="s">
        <v>18</v>
      </c>
      <c r="F6550" t="s">
        <v>19</v>
      </c>
      <c r="G6550" t="s">
        <v>20</v>
      </c>
      <c r="J6550" t="s">
        <v>17</v>
      </c>
      <c r="K6550" t="str">
        <f>"684914284"</f>
        <v>684914284</v>
      </c>
      <c r="L6550" t="str">
        <f>"684914284"</f>
        <v>684914284</v>
      </c>
      <c r="M6550" t="s">
        <v>21</v>
      </c>
      <c r="N6550" s="1">
        <v>43798.837500000001</v>
      </c>
      <c r="O6550" t="s">
        <v>19</v>
      </c>
    </row>
    <row r="6551" spans="1:15" x14ac:dyDescent="0.25">
      <c r="A6551" t="s">
        <v>4761</v>
      </c>
      <c r="B6551" t="s">
        <v>15</v>
      </c>
      <c r="C6551" t="s">
        <v>1607</v>
      </c>
      <c r="D6551" t="s">
        <v>17</v>
      </c>
      <c r="E6551" t="s">
        <v>18</v>
      </c>
      <c r="F6551" t="s">
        <v>19</v>
      </c>
      <c r="G6551" t="s">
        <v>20</v>
      </c>
      <c r="J6551" t="s">
        <v>17</v>
      </c>
      <c r="K6551" t="str">
        <f>"764914284"</f>
        <v>764914284</v>
      </c>
      <c r="L6551" t="str">
        <f>"764914284"</f>
        <v>764914284</v>
      </c>
      <c r="M6551" t="s">
        <v>21</v>
      </c>
      <c r="N6551" s="1">
        <v>44251.859722222223</v>
      </c>
      <c r="O6551" t="s">
        <v>19</v>
      </c>
    </row>
    <row r="6552" spans="1:15" x14ac:dyDescent="0.25">
      <c r="A6552" t="s">
        <v>4762</v>
      </c>
      <c r="B6552" t="s">
        <v>15</v>
      </c>
      <c r="C6552" t="s">
        <v>1607</v>
      </c>
      <c r="D6552" t="s">
        <v>17</v>
      </c>
      <c r="E6552" t="s">
        <v>18</v>
      </c>
      <c r="F6552" t="s">
        <v>19</v>
      </c>
      <c r="G6552" t="s">
        <v>20</v>
      </c>
      <c r="J6552" t="s">
        <v>17</v>
      </c>
      <c r="K6552" t="str">
        <f>"344914197"</f>
        <v>344914197</v>
      </c>
      <c r="L6552" t="str">
        <f>"344914197"</f>
        <v>344914197</v>
      </c>
      <c r="M6552" t="s">
        <v>75</v>
      </c>
      <c r="N6552" s="1">
        <v>42872.849305555559</v>
      </c>
      <c r="O6552" t="s">
        <v>19</v>
      </c>
    </row>
    <row r="6553" spans="1:15" x14ac:dyDescent="0.25">
      <c r="A6553" t="s">
        <v>4762</v>
      </c>
      <c r="B6553" t="s">
        <v>15</v>
      </c>
      <c r="C6553" t="s">
        <v>1607</v>
      </c>
      <c r="D6553" t="s">
        <v>17</v>
      </c>
      <c r="E6553" t="s">
        <v>18</v>
      </c>
      <c r="F6553" t="s">
        <v>19</v>
      </c>
      <c r="G6553" t="s">
        <v>20</v>
      </c>
      <c r="J6553" t="s">
        <v>17</v>
      </c>
      <c r="K6553" t="str">
        <f>"764614197"</f>
        <v>764614197</v>
      </c>
      <c r="L6553" t="str">
        <f>"764614197"</f>
        <v>764614197</v>
      </c>
      <c r="M6553" t="s">
        <v>75</v>
      </c>
      <c r="N6553" s="1">
        <v>42872.849305555559</v>
      </c>
      <c r="O6553" t="s">
        <v>19</v>
      </c>
    </row>
    <row r="6554" spans="1:15" x14ac:dyDescent="0.25">
      <c r="A6554" t="s">
        <v>4763</v>
      </c>
      <c r="B6554" t="s">
        <v>15</v>
      </c>
      <c r="C6554" t="s">
        <v>1607</v>
      </c>
      <c r="D6554" t="s">
        <v>17</v>
      </c>
      <c r="E6554" t="s">
        <v>18</v>
      </c>
      <c r="F6554" t="s">
        <v>19</v>
      </c>
      <c r="G6554" t="s">
        <v>20</v>
      </c>
      <c r="J6554" t="s">
        <v>17</v>
      </c>
      <c r="K6554" t="str">
        <f>"202006101105"</f>
        <v>202006101105</v>
      </c>
      <c r="L6554" t="str">
        <f>"184914294"</f>
        <v>184914294</v>
      </c>
      <c r="M6554" t="s">
        <v>21</v>
      </c>
      <c r="N6554" s="1">
        <v>43132.634722222225</v>
      </c>
      <c r="O6554" t="s">
        <v>19</v>
      </c>
    </row>
    <row r="6555" spans="1:15" x14ac:dyDescent="0.25">
      <c r="A6555" t="s">
        <v>4763</v>
      </c>
      <c r="B6555" t="s">
        <v>15</v>
      </c>
      <c r="C6555" t="s">
        <v>1607</v>
      </c>
      <c r="D6555" t="s">
        <v>17</v>
      </c>
      <c r="E6555" t="s">
        <v>18</v>
      </c>
      <c r="F6555" t="s">
        <v>19</v>
      </c>
      <c r="G6555" t="s">
        <v>20</v>
      </c>
      <c r="J6555" t="s">
        <v>17</v>
      </c>
      <c r="K6555" t="str">
        <f>"76493163"</f>
        <v>76493163</v>
      </c>
      <c r="L6555" t="str">
        <f>"76493163"</f>
        <v>76493163</v>
      </c>
      <c r="M6555" t="s">
        <v>75</v>
      </c>
      <c r="N6555" s="1">
        <v>43132.746527777781</v>
      </c>
      <c r="O6555" t="s">
        <v>19</v>
      </c>
    </row>
    <row r="6556" spans="1:15" x14ac:dyDescent="0.25">
      <c r="A6556" t="s">
        <v>4764</v>
      </c>
      <c r="B6556" t="s">
        <v>15</v>
      </c>
      <c r="C6556" t="s">
        <v>1607</v>
      </c>
      <c r="D6556" t="s">
        <v>17</v>
      </c>
      <c r="E6556" t="s">
        <v>18</v>
      </c>
      <c r="F6556" t="s">
        <v>19</v>
      </c>
      <c r="G6556" t="s">
        <v>20</v>
      </c>
      <c r="J6556" t="s">
        <v>17</v>
      </c>
      <c r="K6556" t="str">
        <f>"34681401"</f>
        <v>34681401</v>
      </c>
      <c r="L6556" t="str">
        <f>"34681401"</f>
        <v>34681401</v>
      </c>
      <c r="M6556" t="s">
        <v>75</v>
      </c>
      <c r="N6556" s="1">
        <v>42872.839583333334</v>
      </c>
      <c r="O6556" t="s">
        <v>19</v>
      </c>
    </row>
    <row r="6557" spans="1:15" x14ac:dyDescent="0.25">
      <c r="A6557" t="s">
        <v>4765</v>
      </c>
      <c r="B6557" t="s">
        <v>15</v>
      </c>
      <c r="C6557" t="s">
        <v>1607</v>
      </c>
      <c r="D6557" t="s">
        <v>17</v>
      </c>
      <c r="E6557" t="s">
        <v>18</v>
      </c>
      <c r="F6557" t="s">
        <v>19</v>
      </c>
      <c r="G6557" t="s">
        <v>20</v>
      </c>
      <c r="J6557" t="s">
        <v>17</v>
      </c>
      <c r="K6557" t="str">
        <f>"344914179"</f>
        <v>344914179</v>
      </c>
      <c r="L6557" t="str">
        <f>"344914179"</f>
        <v>344914179</v>
      </c>
      <c r="M6557" t="s">
        <v>75</v>
      </c>
      <c r="N6557" s="1">
        <v>42872.849305555559</v>
      </c>
      <c r="O6557" t="s">
        <v>19</v>
      </c>
    </row>
    <row r="6558" spans="1:15" x14ac:dyDescent="0.25">
      <c r="A6558" t="s">
        <v>4765</v>
      </c>
      <c r="B6558" t="s">
        <v>15</v>
      </c>
      <c r="C6558" t="s">
        <v>1607</v>
      </c>
      <c r="D6558" t="s">
        <v>17</v>
      </c>
      <c r="E6558" t="s">
        <v>18</v>
      </c>
      <c r="F6558" t="s">
        <v>19</v>
      </c>
      <c r="G6558" t="s">
        <v>20</v>
      </c>
      <c r="J6558" t="s">
        <v>17</v>
      </c>
      <c r="K6558" t="str">
        <f>"764614179"</f>
        <v>764614179</v>
      </c>
      <c r="L6558" t="str">
        <f>"764614179"</f>
        <v>764614179</v>
      </c>
      <c r="M6558" t="s">
        <v>75</v>
      </c>
      <c r="N6558" s="1">
        <v>42872.849305555559</v>
      </c>
      <c r="O6558" t="s">
        <v>19</v>
      </c>
    </row>
    <row r="6559" spans="1:15" x14ac:dyDescent="0.25">
      <c r="A6559" t="s">
        <v>4766</v>
      </c>
      <c r="B6559" t="s">
        <v>15</v>
      </c>
      <c r="C6559" t="s">
        <v>1607</v>
      </c>
      <c r="D6559" t="s">
        <v>17</v>
      </c>
      <c r="E6559" t="s">
        <v>18</v>
      </c>
      <c r="F6559" t="s">
        <v>19</v>
      </c>
      <c r="G6559" t="s">
        <v>20</v>
      </c>
      <c r="J6559" t="s">
        <v>17</v>
      </c>
      <c r="K6559" t="str">
        <f>"766814293"</f>
        <v>766814293</v>
      </c>
      <c r="L6559" t="str">
        <f>"766814293"</f>
        <v>766814293</v>
      </c>
      <c r="M6559" t="s">
        <v>75</v>
      </c>
      <c r="N6559" s="1">
        <v>42872.849305555559</v>
      </c>
      <c r="O6559" t="s">
        <v>19</v>
      </c>
    </row>
    <row r="6560" spans="1:15" x14ac:dyDescent="0.25">
      <c r="A6560" t="s">
        <v>4767</v>
      </c>
      <c r="B6560" t="s">
        <v>15</v>
      </c>
      <c r="C6560" t="s">
        <v>1607</v>
      </c>
      <c r="D6560" t="s">
        <v>17</v>
      </c>
      <c r="E6560" t="s">
        <v>18</v>
      </c>
      <c r="F6560" t="s">
        <v>19</v>
      </c>
      <c r="G6560" t="s">
        <v>20</v>
      </c>
      <c r="J6560" t="s">
        <v>17</v>
      </c>
      <c r="K6560" t="str">
        <f>"202006101106"</f>
        <v>202006101106</v>
      </c>
      <c r="L6560" t="str">
        <f>"184914288"</f>
        <v>184914288</v>
      </c>
      <c r="M6560" t="s">
        <v>21</v>
      </c>
      <c r="N6560" s="1">
        <v>43132.635416666664</v>
      </c>
      <c r="O6560" t="s">
        <v>19</v>
      </c>
    </row>
    <row r="6561" spans="1:15" x14ac:dyDescent="0.25">
      <c r="A6561" t="s">
        <v>4768</v>
      </c>
      <c r="B6561" t="s">
        <v>15</v>
      </c>
      <c r="C6561" t="s">
        <v>1607</v>
      </c>
      <c r="D6561" t="s">
        <v>17</v>
      </c>
      <c r="E6561" t="s">
        <v>18</v>
      </c>
      <c r="F6561" t="s">
        <v>19</v>
      </c>
      <c r="G6561" t="s">
        <v>20</v>
      </c>
      <c r="J6561" t="s">
        <v>17</v>
      </c>
      <c r="K6561" t="str">
        <f>"764914258"</f>
        <v>764914258</v>
      </c>
      <c r="L6561" t="str">
        <f>"764914258"</f>
        <v>764914258</v>
      </c>
      <c r="M6561" t="s">
        <v>84</v>
      </c>
      <c r="N6561" s="1">
        <v>43518.851388888892</v>
      </c>
      <c r="O6561" t="s">
        <v>19</v>
      </c>
    </row>
    <row r="6562" spans="1:15" x14ac:dyDescent="0.25">
      <c r="A6562" t="s">
        <v>4769</v>
      </c>
      <c r="B6562" t="s">
        <v>15</v>
      </c>
      <c r="C6562" t="s">
        <v>1607</v>
      </c>
      <c r="D6562" t="s">
        <v>17</v>
      </c>
      <c r="E6562" t="s">
        <v>18</v>
      </c>
      <c r="F6562" t="s">
        <v>19</v>
      </c>
      <c r="G6562" t="s">
        <v>20</v>
      </c>
      <c r="J6562" t="s">
        <v>17</v>
      </c>
      <c r="K6562" t="str">
        <f>"764914259"</f>
        <v>764914259</v>
      </c>
      <c r="L6562" t="str">
        <f>"764914259"</f>
        <v>764914259</v>
      </c>
      <c r="M6562" t="s">
        <v>84</v>
      </c>
      <c r="N6562" s="1">
        <v>43518.852083333331</v>
      </c>
      <c r="O6562" t="s">
        <v>19</v>
      </c>
    </row>
    <row r="6563" spans="1:15" x14ac:dyDescent="0.25">
      <c r="A6563" t="s">
        <v>4770</v>
      </c>
      <c r="B6563" t="s">
        <v>15</v>
      </c>
      <c r="C6563" t="s">
        <v>1607</v>
      </c>
      <c r="D6563" t="s">
        <v>17</v>
      </c>
      <c r="E6563" t="s">
        <v>18</v>
      </c>
      <c r="F6563" t="s">
        <v>19</v>
      </c>
      <c r="G6563" t="s">
        <v>20</v>
      </c>
      <c r="J6563" t="s">
        <v>17</v>
      </c>
      <c r="K6563" t="str">
        <f>"344914177"</f>
        <v>344914177</v>
      </c>
      <c r="L6563" t="str">
        <f>"344914177"</f>
        <v>344914177</v>
      </c>
      <c r="M6563" t="s">
        <v>75</v>
      </c>
      <c r="N6563" s="1">
        <v>42872.849305555559</v>
      </c>
      <c r="O6563" t="s">
        <v>19</v>
      </c>
    </row>
    <row r="6564" spans="1:15" x14ac:dyDescent="0.25">
      <c r="A6564" t="s">
        <v>4771</v>
      </c>
      <c r="B6564" t="s">
        <v>15</v>
      </c>
      <c r="C6564" t="s">
        <v>1607</v>
      </c>
      <c r="D6564" t="s">
        <v>17</v>
      </c>
      <c r="E6564" t="s">
        <v>18</v>
      </c>
      <c r="F6564" t="s">
        <v>19</v>
      </c>
      <c r="G6564" t="s">
        <v>20</v>
      </c>
      <c r="J6564" t="s">
        <v>17</v>
      </c>
      <c r="K6564" t="str">
        <f>"766814294"</f>
        <v>766814294</v>
      </c>
      <c r="L6564" t="str">
        <f>"766814294"</f>
        <v>766814294</v>
      </c>
      <c r="M6564" t="s">
        <v>75</v>
      </c>
      <c r="N6564" s="1">
        <v>42872.849305555559</v>
      </c>
      <c r="O6564" t="s">
        <v>19</v>
      </c>
    </row>
    <row r="6565" spans="1:15" x14ac:dyDescent="0.25">
      <c r="A6565" t="s">
        <v>4771</v>
      </c>
      <c r="B6565" t="s">
        <v>15</v>
      </c>
      <c r="C6565" t="s">
        <v>1607</v>
      </c>
      <c r="D6565" t="s">
        <v>17</v>
      </c>
      <c r="E6565" t="s">
        <v>18</v>
      </c>
      <c r="F6565" t="s">
        <v>19</v>
      </c>
      <c r="G6565" t="s">
        <v>20</v>
      </c>
      <c r="J6565" t="s">
        <v>17</v>
      </c>
      <c r="K6565" t="str">
        <f>"346814294"</f>
        <v>346814294</v>
      </c>
      <c r="L6565" t="str">
        <f>"346814294"</f>
        <v>346814294</v>
      </c>
      <c r="M6565" t="s">
        <v>75</v>
      </c>
      <c r="N6565" s="1">
        <v>43083.910416666666</v>
      </c>
      <c r="O6565" t="s">
        <v>19</v>
      </c>
    </row>
    <row r="6566" spans="1:15" x14ac:dyDescent="0.25">
      <c r="A6566" t="s">
        <v>4772</v>
      </c>
      <c r="B6566" t="s">
        <v>15</v>
      </c>
      <c r="C6566" t="s">
        <v>1607</v>
      </c>
      <c r="D6566" t="s">
        <v>17</v>
      </c>
      <c r="E6566" t="s">
        <v>18</v>
      </c>
      <c r="F6566" t="s">
        <v>19</v>
      </c>
      <c r="G6566" t="s">
        <v>20</v>
      </c>
      <c r="J6566" t="s">
        <v>17</v>
      </c>
      <c r="K6566" t="str">
        <f>"764914265"</f>
        <v>764914265</v>
      </c>
      <c r="L6566" t="str">
        <f>"764914265"</f>
        <v>764914265</v>
      </c>
      <c r="M6566" t="s">
        <v>84</v>
      </c>
      <c r="N6566" s="1">
        <v>43465.723611111112</v>
      </c>
      <c r="O6566" t="s">
        <v>19</v>
      </c>
    </row>
    <row r="6567" spans="1:15" x14ac:dyDescent="0.25">
      <c r="A6567" t="s">
        <v>4773</v>
      </c>
      <c r="B6567" t="s">
        <v>15</v>
      </c>
      <c r="C6567" t="s">
        <v>1607</v>
      </c>
      <c r="D6567" t="s">
        <v>17</v>
      </c>
      <c r="E6567" t="s">
        <v>18</v>
      </c>
      <c r="F6567" t="s">
        <v>19</v>
      </c>
      <c r="G6567" t="s">
        <v>20</v>
      </c>
      <c r="J6567" t="s">
        <v>17</v>
      </c>
      <c r="K6567" t="str">
        <f>"764914277"</f>
        <v>764914277</v>
      </c>
      <c r="L6567" t="str">
        <f>"764914277"</f>
        <v>764914277</v>
      </c>
      <c r="M6567" t="s">
        <v>21</v>
      </c>
      <c r="N6567" s="1">
        <v>43610.681250000001</v>
      </c>
      <c r="O6567" t="s">
        <v>19</v>
      </c>
    </row>
    <row r="6568" spans="1:15" x14ac:dyDescent="0.25">
      <c r="A6568" t="s">
        <v>4774</v>
      </c>
      <c r="B6568" t="s">
        <v>15</v>
      </c>
      <c r="C6568" t="s">
        <v>1607</v>
      </c>
      <c r="D6568" t="s">
        <v>17</v>
      </c>
      <c r="E6568" t="s">
        <v>18</v>
      </c>
      <c r="F6568" t="s">
        <v>19</v>
      </c>
      <c r="G6568" t="s">
        <v>20</v>
      </c>
      <c r="J6568" t="s">
        <v>17</v>
      </c>
      <c r="K6568" t="str">
        <f>"766814138"</f>
        <v>766814138</v>
      </c>
      <c r="L6568" t="str">
        <f>"766814138"</f>
        <v>766814138</v>
      </c>
      <c r="M6568" t="s">
        <v>75</v>
      </c>
      <c r="N6568" s="1">
        <v>43218.652777777781</v>
      </c>
      <c r="O6568" t="s">
        <v>19</v>
      </c>
    </row>
    <row r="6569" spans="1:15" x14ac:dyDescent="0.25">
      <c r="A6569" t="s">
        <v>4774</v>
      </c>
      <c r="B6569" t="s">
        <v>15</v>
      </c>
      <c r="C6569" t="s">
        <v>1607</v>
      </c>
      <c r="D6569" t="s">
        <v>17</v>
      </c>
      <c r="E6569" t="s">
        <v>18</v>
      </c>
      <c r="F6569" t="s">
        <v>19</v>
      </c>
      <c r="G6569" t="s">
        <v>20</v>
      </c>
      <c r="J6569" t="s">
        <v>17</v>
      </c>
      <c r="K6569" t="str">
        <f>"344014168"</f>
        <v>344014168</v>
      </c>
      <c r="L6569" t="str">
        <f>"344014168"</f>
        <v>344014168</v>
      </c>
      <c r="M6569" t="s">
        <v>84</v>
      </c>
      <c r="N6569" s="1">
        <v>43378.587500000001</v>
      </c>
      <c r="O6569" t="s">
        <v>19</v>
      </c>
    </row>
    <row r="6570" spans="1:15" x14ac:dyDescent="0.25">
      <c r="A6570" t="s">
        <v>4775</v>
      </c>
      <c r="B6570" t="s">
        <v>15</v>
      </c>
      <c r="C6570" t="s">
        <v>1607</v>
      </c>
      <c r="D6570" t="s">
        <v>17</v>
      </c>
      <c r="E6570" t="s">
        <v>18</v>
      </c>
      <c r="F6570" t="s">
        <v>19</v>
      </c>
      <c r="G6570" t="s">
        <v>20</v>
      </c>
      <c r="J6570" t="s">
        <v>17</v>
      </c>
      <c r="K6570" t="str">
        <f>"766814139"</f>
        <v>766814139</v>
      </c>
      <c r="L6570" t="str">
        <f>"766814139"</f>
        <v>766814139</v>
      </c>
      <c r="M6570" t="s">
        <v>75</v>
      </c>
      <c r="N6570" s="1">
        <v>43218.652777777781</v>
      </c>
      <c r="O6570" t="s">
        <v>19</v>
      </c>
    </row>
    <row r="6571" spans="1:15" x14ac:dyDescent="0.25">
      <c r="A6571" t="s">
        <v>4775</v>
      </c>
      <c r="B6571" t="s">
        <v>15</v>
      </c>
      <c r="C6571" t="s">
        <v>1607</v>
      </c>
      <c r="D6571" t="s">
        <v>17</v>
      </c>
      <c r="E6571" t="s">
        <v>18</v>
      </c>
      <c r="F6571" t="s">
        <v>19</v>
      </c>
      <c r="G6571" t="s">
        <v>20</v>
      </c>
      <c r="J6571" t="s">
        <v>17</v>
      </c>
      <c r="K6571" t="str">
        <f>"344014139"</f>
        <v>344014139</v>
      </c>
      <c r="L6571" t="str">
        <f>"344014139"</f>
        <v>344014139</v>
      </c>
      <c r="M6571" t="s">
        <v>84</v>
      </c>
      <c r="N6571" s="1">
        <v>43378.588194444441</v>
      </c>
      <c r="O6571" t="s">
        <v>19</v>
      </c>
    </row>
    <row r="6572" spans="1:15" x14ac:dyDescent="0.25">
      <c r="A6572" t="s">
        <v>4776</v>
      </c>
      <c r="B6572" t="s">
        <v>15</v>
      </c>
      <c r="C6572" t="s">
        <v>1607</v>
      </c>
      <c r="D6572" t="s">
        <v>17</v>
      </c>
      <c r="E6572" t="s">
        <v>18</v>
      </c>
      <c r="F6572" t="s">
        <v>19</v>
      </c>
      <c r="G6572" t="s">
        <v>20</v>
      </c>
      <c r="J6572" t="s">
        <v>17</v>
      </c>
      <c r="K6572" t="str">
        <f>"764914210"</f>
        <v>764914210</v>
      </c>
      <c r="L6572" t="str">
        <f>"764914210"</f>
        <v>764914210</v>
      </c>
      <c r="M6572" t="s">
        <v>84</v>
      </c>
      <c r="N6572" s="1">
        <v>43518.850694444445</v>
      </c>
      <c r="O6572" t="s">
        <v>19</v>
      </c>
    </row>
    <row r="6573" spans="1:15" x14ac:dyDescent="0.25">
      <c r="A6573" t="s">
        <v>4777</v>
      </c>
      <c r="B6573" t="s">
        <v>15</v>
      </c>
      <c r="C6573" t="s">
        <v>1607</v>
      </c>
      <c r="D6573" t="s">
        <v>17</v>
      </c>
      <c r="E6573" t="s">
        <v>18</v>
      </c>
      <c r="F6573" t="s">
        <v>19</v>
      </c>
      <c r="G6573" t="s">
        <v>20</v>
      </c>
      <c r="J6573" t="s">
        <v>17</v>
      </c>
      <c r="K6573" t="str">
        <f>"34681413"</f>
        <v>34681413</v>
      </c>
      <c r="L6573" t="str">
        <f>"34681413"</f>
        <v>34681413</v>
      </c>
      <c r="M6573" t="s">
        <v>75</v>
      </c>
      <c r="N6573" s="1">
        <v>42872.839583333334</v>
      </c>
      <c r="O6573" t="s">
        <v>19</v>
      </c>
    </row>
    <row r="6574" spans="1:15" x14ac:dyDescent="0.25">
      <c r="A6574" t="s">
        <v>4777</v>
      </c>
      <c r="B6574" t="s">
        <v>15</v>
      </c>
      <c r="C6574" t="s">
        <v>1607</v>
      </c>
      <c r="D6574" t="s">
        <v>17</v>
      </c>
      <c r="E6574" t="s">
        <v>18</v>
      </c>
      <c r="F6574" t="s">
        <v>19</v>
      </c>
      <c r="G6574" t="s">
        <v>20</v>
      </c>
      <c r="J6574" t="s">
        <v>17</v>
      </c>
      <c r="K6574" t="str">
        <f>"76571413"</f>
        <v>76571413</v>
      </c>
      <c r="L6574" t="str">
        <f>"76571413"</f>
        <v>76571413</v>
      </c>
      <c r="M6574" t="s">
        <v>75</v>
      </c>
      <c r="N6574" s="1">
        <v>42872.847222222219</v>
      </c>
      <c r="O6574" t="s">
        <v>19</v>
      </c>
    </row>
    <row r="6575" spans="1:15" x14ac:dyDescent="0.25">
      <c r="A6575" t="s">
        <v>4778</v>
      </c>
      <c r="B6575" t="s">
        <v>15</v>
      </c>
      <c r="C6575" t="s">
        <v>1607</v>
      </c>
      <c r="D6575" t="s">
        <v>17</v>
      </c>
      <c r="E6575" t="s">
        <v>18</v>
      </c>
      <c r="F6575" t="s">
        <v>19</v>
      </c>
      <c r="G6575" t="s">
        <v>20</v>
      </c>
      <c r="J6575" t="s">
        <v>17</v>
      </c>
      <c r="K6575" t="str">
        <f>"76471431"</f>
        <v>76471431</v>
      </c>
      <c r="L6575" t="str">
        <f>"76471431"</f>
        <v>76471431</v>
      </c>
      <c r="M6575" t="s">
        <v>75</v>
      </c>
      <c r="N6575" s="1">
        <v>42872.847222222219</v>
      </c>
      <c r="O6575" t="s">
        <v>19</v>
      </c>
    </row>
    <row r="6576" spans="1:15" x14ac:dyDescent="0.25">
      <c r="A6576" t="s">
        <v>4778</v>
      </c>
      <c r="B6576" t="s">
        <v>15</v>
      </c>
      <c r="C6576" t="s">
        <v>1607</v>
      </c>
      <c r="D6576" t="s">
        <v>17</v>
      </c>
      <c r="E6576" t="s">
        <v>18</v>
      </c>
      <c r="F6576" t="s">
        <v>19</v>
      </c>
      <c r="G6576" t="s">
        <v>20</v>
      </c>
      <c r="J6576" t="s">
        <v>17</v>
      </c>
      <c r="K6576" t="str">
        <f>"110565654"</f>
        <v>110565654</v>
      </c>
      <c r="L6576" t="str">
        <f>"110565654"</f>
        <v>110565654</v>
      </c>
      <c r="M6576" t="s">
        <v>75</v>
      </c>
      <c r="N6576" s="1">
        <v>42872.847222222219</v>
      </c>
      <c r="O6576" t="s">
        <v>19</v>
      </c>
    </row>
    <row r="6577" spans="1:15" x14ac:dyDescent="0.25">
      <c r="A6577" t="s">
        <v>4779</v>
      </c>
      <c r="B6577" t="s">
        <v>15</v>
      </c>
      <c r="C6577" t="s">
        <v>1607</v>
      </c>
      <c r="D6577" t="s">
        <v>17</v>
      </c>
      <c r="E6577" t="s">
        <v>18</v>
      </c>
      <c r="F6577" t="s">
        <v>19</v>
      </c>
      <c r="G6577" t="s">
        <v>20</v>
      </c>
      <c r="J6577" t="s">
        <v>17</v>
      </c>
      <c r="K6577" t="str">
        <f>"34681455"</f>
        <v>34681455</v>
      </c>
      <c r="L6577" t="str">
        <f>"34681455"</f>
        <v>34681455</v>
      </c>
      <c r="M6577" t="s">
        <v>75</v>
      </c>
      <c r="N6577" s="1">
        <v>42872.839583333334</v>
      </c>
      <c r="O6577" t="s">
        <v>19</v>
      </c>
    </row>
    <row r="6578" spans="1:15" x14ac:dyDescent="0.25">
      <c r="A6578" t="s">
        <v>4779</v>
      </c>
      <c r="B6578" t="s">
        <v>15</v>
      </c>
      <c r="C6578" t="s">
        <v>1607</v>
      </c>
      <c r="D6578" t="s">
        <v>17</v>
      </c>
      <c r="E6578" t="s">
        <v>18</v>
      </c>
      <c r="F6578" t="s">
        <v>19</v>
      </c>
      <c r="G6578" t="s">
        <v>20</v>
      </c>
      <c r="J6578" t="s">
        <v>17</v>
      </c>
      <c r="K6578" t="str">
        <f>"76571425"</f>
        <v>76571425</v>
      </c>
      <c r="L6578" t="str">
        <f>"76571425"</f>
        <v>76571425</v>
      </c>
      <c r="M6578" t="s">
        <v>75</v>
      </c>
      <c r="N6578" s="1">
        <v>42872.847222222219</v>
      </c>
      <c r="O6578" t="s">
        <v>19</v>
      </c>
    </row>
    <row r="6579" spans="1:15" x14ac:dyDescent="0.25">
      <c r="A6579" t="s">
        <v>4779</v>
      </c>
      <c r="B6579" t="s">
        <v>15</v>
      </c>
      <c r="C6579" t="s">
        <v>1607</v>
      </c>
      <c r="D6579" t="s">
        <v>17</v>
      </c>
      <c r="E6579" t="s">
        <v>18</v>
      </c>
      <c r="F6579" t="s">
        <v>19</v>
      </c>
      <c r="G6579" t="s">
        <v>20</v>
      </c>
      <c r="J6579" t="s">
        <v>17</v>
      </c>
      <c r="K6579" t="str">
        <f>"76571455"</f>
        <v>76571455</v>
      </c>
      <c r="L6579" t="str">
        <f>"76571455"</f>
        <v>76571455</v>
      </c>
      <c r="M6579" t="s">
        <v>75</v>
      </c>
      <c r="N6579" s="1">
        <v>42872.847222222219</v>
      </c>
      <c r="O6579" t="s">
        <v>19</v>
      </c>
    </row>
    <row r="6580" spans="1:15" x14ac:dyDescent="0.25">
      <c r="A6580" t="s">
        <v>4779</v>
      </c>
      <c r="B6580" t="s">
        <v>15</v>
      </c>
      <c r="C6580" t="s">
        <v>1607</v>
      </c>
      <c r="D6580" t="s">
        <v>17</v>
      </c>
      <c r="E6580" t="s">
        <v>18</v>
      </c>
      <c r="F6580" t="s">
        <v>19</v>
      </c>
      <c r="G6580" t="s">
        <v>20</v>
      </c>
      <c r="J6580" t="s">
        <v>17</v>
      </c>
      <c r="K6580" t="str">
        <f>"76681425"</f>
        <v>76681425</v>
      </c>
      <c r="L6580" t="str">
        <f>"76681425"</f>
        <v>76681425</v>
      </c>
      <c r="M6580" t="s">
        <v>75</v>
      </c>
      <c r="N6580" s="1">
        <v>42872.847222222219</v>
      </c>
      <c r="O6580" t="s">
        <v>19</v>
      </c>
    </row>
    <row r="6581" spans="1:15" x14ac:dyDescent="0.25">
      <c r="A6581" t="s">
        <v>4779</v>
      </c>
      <c r="B6581" t="s">
        <v>15</v>
      </c>
      <c r="C6581" t="s">
        <v>1607</v>
      </c>
      <c r="D6581" t="s">
        <v>17</v>
      </c>
      <c r="E6581" t="s">
        <v>18</v>
      </c>
      <c r="F6581" t="s">
        <v>19</v>
      </c>
      <c r="G6581" t="s">
        <v>20</v>
      </c>
      <c r="J6581" t="s">
        <v>17</v>
      </c>
      <c r="K6581" t="str">
        <f>"76681455"</f>
        <v>76681455</v>
      </c>
      <c r="L6581" t="str">
        <f>"76681455"</f>
        <v>76681455</v>
      </c>
      <c r="M6581" t="s">
        <v>75</v>
      </c>
      <c r="N6581" s="1">
        <v>42872.847222222219</v>
      </c>
      <c r="O6581" t="s">
        <v>19</v>
      </c>
    </row>
    <row r="6582" spans="1:15" x14ac:dyDescent="0.25">
      <c r="A6582" t="s">
        <v>4780</v>
      </c>
      <c r="B6582" t="s">
        <v>15</v>
      </c>
      <c r="C6582" t="s">
        <v>1607</v>
      </c>
      <c r="D6582" t="s">
        <v>17</v>
      </c>
      <c r="E6582" t="s">
        <v>18</v>
      </c>
      <c r="F6582" t="s">
        <v>19</v>
      </c>
      <c r="G6582" t="s">
        <v>20</v>
      </c>
      <c r="J6582" t="s">
        <v>17</v>
      </c>
      <c r="K6582" t="str">
        <f>"76571428"</f>
        <v>76571428</v>
      </c>
      <c r="L6582" t="str">
        <f>"76571428"</f>
        <v>76571428</v>
      </c>
      <c r="M6582" t="s">
        <v>75</v>
      </c>
      <c r="N6582" s="1">
        <v>42872.847222222219</v>
      </c>
      <c r="O6582" t="s">
        <v>19</v>
      </c>
    </row>
    <row r="6583" spans="1:15" x14ac:dyDescent="0.25">
      <c r="A6583" t="s">
        <v>4781</v>
      </c>
      <c r="B6583" t="s">
        <v>15</v>
      </c>
      <c r="C6583" t="s">
        <v>1607</v>
      </c>
      <c r="D6583" t="s">
        <v>17</v>
      </c>
      <c r="E6583" t="s">
        <v>18</v>
      </c>
      <c r="F6583" t="s">
        <v>19</v>
      </c>
      <c r="G6583" t="s">
        <v>20</v>
      </c>
      <c r="J6583" t="s">
        <v>17</v>
      </c>
      <c r="K6583" t="str">
        <f>"76561427"</f>
        <v>76561427</v>
      </c>
      <c r="L6583" t="str">
        <f>"76561427"</f>
        <v>76561427</v>
      </c>
      <c r="M6583" t="s">
        <v>75</v>
      </c>
      <c r="N6583" s="1">
        <v>42872.847222222219</v>
      </c>
      <c r="O6583" t="s">
        <v>19</v>
      </c>
    </row>
    <row r="6584" spans="1:15" x14ac:dyDescent="0.25">
      <c r="A6584" t="s">
        <v>4782</v>
      </c>
      <c r="B6584" t="s">
        <v>15</v>
      </c>
      <c r="C6584" t="s">
        <v>1607</v>
      </c>
      <c r="D6584" t="s">
        <v>17</v>
      </c>
      <c r="E6584" t="s">
        <v>18</v>
      </c>
      <c r="F6584" t="s">
        <v>19</v>
      </c>
      <c r="G6584" t="s">
        <v>20</v>
      </c>
      <c r="J6584" t="s">
        <v>17</v>
      </c>
      <c r="K6584" t="str">
        <f>"34681430"</f>
        <v>34681430</v>
      </c>
      <c r="L6584" t="str">
        <f>"34681430"</f>
        <v>34681430</v>
      </c>
      <c r="M6584" t="s">
        <v>75</v>
      </c>
      <c r="N6584" s="1">
        <v>42872.839583333334</v>
      </c>
      <c r="O6584" t="s">
        <v>19</v>
      </c>
    </row>
    <row r="6585" spans="1:15" x14ac:dyDescent="0.25">
      <c r="A6585" t="s">
        <v>4783</v>
      </c>
      <c r="B6585" t="s">
        <v>15</v>
      </c>
      <c r="C6585" t="s">
        <v>1607</v>
      </c>
      <c r="D6585" t="s">
        <v>17</v>
      </c>
      <c r="E6585" t="s">
        <v>18</v>
      </c>
      <c r="F6585" t="s">
        <v>19</v>
      </c>
      <c r="G6585" t="s">
        <v>20</v>
      </c>
      <c r="J6585" t="s">
        <v>17</v>
      </c>
      <c r="K6585" t="str">
        <f>"34681480"</f>
        <v>34681480</v>
      </c>
      <c r="L6585" t="str">
        <f>"34681480"</f>
        <v>34681480</v>
      </c>
      <c r="M6585" t="s">
        <v>75</v>
      </c>
      <c r="N6585" s="1">
        <v>42872.839583333334</v>
      </c>
      <c r="O6585" t="s">
        <v>19</v>
      </c>
    </row>
    <row r="6586" spans="1:15" x14ac:dyDescent="0.25">
      <c r="A6586" t="s">
        <v>4784</v>
      </c>
      <c r="B6586" t="s">
        <v>15</v>
      </c>
      <c r="C6586" t="s">
        <v>1607</v>
      </c>
      <c r="D6586" t="s">
        <v>17</v>
      </c>
      <c r="E6586" t="s">
        <v>18</v>
      </c>
      <c r="F6586" t="s">
        <v>19</v>
      </c>
      <c r="G6586" t="s">
        <v>20</v>
      </c>
      <c r="J6586" t="s">
        <v>17</v>
      </c>
      <c r="K6586" t="str">
        <f>"76461480"</f>
        <v>76461480</v>
      </c>
      <c r="L6586" t="str">
        <f>"76461480"</f>
        <v>76461480</v>
      </c>
      <c r="M6586" t="s">
        <v>75</v>
      </c>
      <c r="N6586" s="1">
        <v>42872.847222222219</v>
      </c>
      <c r="O6586" t="s">
        <v>19</v>
      </c>
    </row>
    <row r="6587" spans="1:15" x14ac:dyDescent="0.25">
      <c r="A6587" t="s">
        <v>4784</v>
      </c>
      <c r="B6587" t="s">
        <v>15</v>
      </c>
      <c r="C6587" t="s">
        <v>1607</v>
      </c>
      <c r="D6587" t="s">
        <v>17</v>
      </c>
      <c r="E6587" t="s">
        <v>18</v>
      </c>
      <c r="F6587" t="s">
        <v>19</v>
      </c>
      <c r="G6587" t="s">
        <v>20</v>
      </c>
      <c r="J6587" t="s">
        <v>17</v>
      </c>
      <c r="K6587" t="str">
        <f>"76561480"</f>
        <v>76561480</v>
      </c>
      <c r="L6587" t="str">
        <f>"76561480"</f>
        <v>76561480</v>
      </c>
      <c r="M6587" t="s">
        <v>75</v>
      </c>
      <c r="N6587" s="1">
        <v>42872.847222222219</v>
      </c>
      <c r="O6587" t="s">
        <v>19</v>
      </c>
    </row>
    <row r="6588" spans="1:15" x14ac:dyDescent="0.25">
      <c r="A6588" t="s">
        <v>4785</v>
      </c>
      <c r="B6588" t="s">
        <v>15</v>
      </c>
      <c r="C6588" t="s">
        <v>1607</v>
      </c>
      <c r="D6588" t="s">
        <v>17</v>
      </c>
      <c r="E6588" t="s">
        <v>18</v>
      </c>
      <c r="F6588" t="s">
        <v>19</v>
      </c>
      <c r="G6588" t="s">
        <v>20</v>
      </c>
      <c r="J6588" t="s">
        <v>17</v>
      </c>
      <c r="K6588" t="str">
        <f>"76571480"</f>
        <v>76571480</v>
      </c>
      <c r="L6588" t="str">
        <f>"76571480"</f>
        <v>76571480</v>
      </c>
      <c r="M6588" t="s">
        <v>75</v>
      </c>
      <c r="N6588" s="1">
        <v>42872.847222222219</v>
      </c>
      <c r="O6588" t="s">
        <v>19</v>
      </c>
    </row>
    <row r="6589" spans="1:15" x14ac:dyDescent="0.25">
      <c r="A6589" t="s">
        <v>4786</v>
      </c>
      <c r="B6589" t="s">
        <v>15</v>
      </c>
      <c r="C6589" t="s">
        <v>1607</v>
      </c>
      <c r="D6589" t="s">
        <v>17</v>
      </c>
      <c r="E6589" t="s">
        <v>18</v>
      </c>
      <c r="F6589" t="s">
        <v>19</v>
      </c>
      <c r="G6589" t="s">
        <v>20</v>
      </c>
      <c r="J6589" t="s">
        <v>17</v>
      </c>
      <c r="K6589" t="str">
        <f>"76571430"</f>
        <v>76571430</v>
      </c>
      <c r="L6589" t="str">
        <f>"76571430"</f>
        <v>76571430</v>
      </c>
      <c r="M6589" t="s">
        <v>75</v>
      </c>
      <c r="N6589" s="1">
        <v>42872.847222222219</v>
      </c>
      <c r="O6589" t="s">
        <v>19</v>
      </c>
    </row>
    <row r="6590" spans="1:15" x14ac:dyDescent="0.25">
      <c r="A6590" t="s">
        <v>4786</v>
      </c>
      <c r="B6590" t="s">
        <v>15</v>
      </c>
      <c r="C6590" t="s">
        <v>1607</v>
      </c>
      <c r="D6590" t="s">
        <v>17</v>
      </c>
      <c r="E6590" t="s">
        <v>18</v>
      </c>
      <c r="F6590" t="s">
        <v>19</v>
      </c>
      <c r="G6590" t="s">
        <v>20</v>
      </c>
      <c r="J6590" t="s">
        <v>17</v>
      </c>
      <c r="K6590" t="str">
        <f>"76681430"</f>
        <v>76681430</v>
      </c>
      <c r="L6590" t="str">
        <f>"76681430"</f>
        <v>76681430</v>
      </c>
      <c r="M6590" t="s">
        <v>75</v>
      </c>
      <c r="N6590" s="1">
        <v>42872.847222222219</v>
      </c>
      <c r="O6590" t="s">
        <v>19</v>
      </c>
    </row>
    <row r="6591" spans="1:15" x14ac:dyDescent="0.25">
      <c r="A6591" t="s">
        <v>4786</v>
      </c>
      <c r="B6591" t="s">
        <v>15</v>
      </c>
      <c r="C6591" t="s">
        <v>1607</v>
      </c>
      <c r="D6591" t="s">
        <v>17</v>
      </c>
      <c r="E6591" t="s">
        <v>18</v>
      </c>
      <c r="F6591" t="s">
        <v>19</v>
      </c>
      <c r="G6591" t="s">
        <v>20</v>
      </c>
      <c r="J6591" t="s">
        <v>17</v>
      </c>
      <c r="K6591" t="str">
        <f>"76491430"</f>
        <v>76491430</v>
      </c>
      <c r="L6591" t="str">
        <f>"76491430"</f>
        <v>76491430</v>
      </c>
      <c r="M6591" t="s">
        <v>75</v>
      </c>
      <c r="N6591" s="1">
        <v>43162.677777777775</v>
      </c>
      <c r="O6591" t="s">
        <v>19</v>
      </c>
    </row>
    <row r="6592" spans="1:15" x14ac:dyDescent="0.25">
      <c r="A6592" t="s">
        <v>4787</v>
      </c>
      <c r="B6592" t="s">
        <v>15</v>
      </c>
      <c r="C6592" t="s">
        <v>1607</v>
      </c>
      <c r="D6592" t="s">
        <v>17</v>
      </c>
      <c r="E6592" t="s">
        <v>18</v>
      </c>
      <c r="F6592" t="s">
        <v>19</v>
      </c>
      <c r="G6592" t="s">
        <v>20</v>
      </c>
      <c r="J6592" t="s">
        <v>17</v>
      </c>
      <c r="K6592" t="str">
        <f>"346814125"</f>
        <v>346814125</v>
      </c>
      <c r="L6592" t="str">
        <f>"346814125"</f>
        <v>346814125</v>
      </c>
      <c r="M6592" t="s">
        <v>75</v>
      </c>
      <c r="N6592" s="1">
        <v>42872.849305555559</v>
      </c>
      <c r="O6592" t="s">
        <v>19</v>
      </c>
    </row>
    <row r="6593" spans="1:15" x14ac:dyDescent="0.25">
      <c r="A6593" t="s">
        <v>4788</v>
      </c>
      <c r="B6593" t="s">
        <v>15</v>
      </c>
      <c r="C6593" t="s">
        <v>1607</v>
      </c>
      <c r="D6593" t="s">
        <v>17</v>
      </c>
      <c r="E6593" t="s">
        <v>18</v>
      </c>
      <c r="F6593" t="s">
        <v>19</v>
      </c>
      <c r="G6593" t="s">
        <v>20</v>
      </c>
      <c r="J6593" t="s">
        <v>17</v>
      </c>
      <c r="K6593" t="str">
        <f>"76681443"</f>
        <v>76681443</v>
      </c>
      <c r="L6593" t="str">
        <f>"76681443"</f>
        <v>76681443</v>
      </c>
      <c r="M6593" t="s">
        <v>75</v>
      </c>
      <c r="N6593" s="1">
        <v>42872.847222222219</v>
      </c>
      <c r="O6593" t="s">
        <v>19</v>
      </c>
    </row>
    <row r="6594" spans="1:15" x14ac:dyDescent="0.25">
      <c r="A6594" t="s">
        <v>4788</v>
      </c>
      <c r="B6594" t="s">
        <v>15</v>
      </c>
      <c r="C6594" t="s">
        <v>1607</v>
      </c>
      <c r="D6594" t="s">
        <v>17</v>
      </c>
      <c r="E6594" t="s">
        <v>18</v>
      </c>
      <c r="F6594" t="s">
        <v>19</v>
      </c>
      <c r="G6594" t="s">
        <v>20</v>
      </c>
      <c r="J6594" t="s">
        <v>17</v>
      </c>
      <c r="K6594" t="str">
        <f>"344914125"</f>
        <v>344914125</v>
      </c>
      <c r="L6594" t="str">
        <f>"344914125"</f>
        <v>344914125</v>
      </c>
      <c r="M6594" t="s">
        <v>75</v>
      </c>
      <c r="N6594" s="1">
        <v>42872.849305555559</v>
      </c>
      <c r="O6594" t="s">
        <v>19</v>
      </c>
    </row>
    <row r="6595" spans="1:15" x14ac:dyDescent="0.25">
      <c r="A6595" t="s">
        <v>4788</v>
      </c>
      <c r="B6595" t="s">
        <v>15</v>
      </c>
      <c r="C6595" t="s">
        <v>1607</v>
      </c>
      <c r="D6595" t="s">
        <v>17</v>
      </c>
      <c r="E6595" t="s">
        <v>18</v>
      </c>
      <c r="F6595" t="s">
        <v>19</v>
      </c>
      <c r="G6595" t="s">
        <v>20</v>
      </c>
      <c r="J6595" t="s">
        <v>17</v>
      </c>
      <c r="K6595" t="str">
        <f>"764614125"</f>
        <v>764614125</v>
      </c>
      <c r="L6595" t="str">
        <f>"764614125"</f>
        <v>764614125</v>
      </c>
      <c r="M6595" t="s">
        <v>75</v>
      </c>
      <c r="N6595" s="1">
        <v>42872.849305555559</v>
      </c>
      <c r="O6595" t="s">
        <v>19</v>
      </c>
    </row>
    <row r="6596" spans="1:15" x14ac:dyDescent="0.25">
      <c r="A6596" t="s">
        <v>4788</v>
      </c>
      <c r="B6596" t="s">
        <v>15</v>
      </c>
      <c r="C6596" t="s">
        <v>1607</v>
      </c>
      <c r="D6596" t="s">
        <v>17</v>
      </c>
      <c r="E6596" t="s">
        <v>18</v>
      </c>
      <c r="F6596" t="s">
        <v>19</v>
      </c>
      <c r="G6596" t="s">
        <v>20</v>
      </c>
      <c r="J6596" t="s">
        <v>17</v>
      </c>
      <c r="K6596" t="str">
        <f>"414914125"</f>
        <v>414914125</v>
      </c>
      <c r="L6596" t="str">
        <f>"414914125"</f>
        <v>414914125</v>
      </c>
      <c r="M6596" t="s">
        <v>75</v>
      </c>
      <c r="N6596" s="1">
        <v>43131.831250000003</v>
      </c>
      <c r="O6596" t="s">
        <v>19</v>
      </c>
    </row>
    <row r="6597" spans="1:15" x14ac:dyDescent="0.25">
      <c r="A6597" t="s">
        <v>4789</v>
      </c>
      <c r="B6597" t="s">
        <v>15</v>
      </c>
      <c r="C6597" t="s">
        <v>1607</v>
      </c>
      <c r="D6597" t="s">
        <v>17</v>
      </c>
      <c r="E6597" t="s">
        <v>18</v>
      </c>
      <c r="F6597" t="s">
        <v>19</v>
      </c>
      <c r="G6597" t="s">
        <v>20</v>
      </c>
      <c r="J6597" t="s">
        <v>17</v>
      </c>
      <c r="K6597" t="str">
        <f>"76681492"</f>
        <v>76681492</v>
      </c>
      <c r="L6597" t="str">
        <f>"76681492"</f>
        <v>76681492</v>
      </c>
      <c r="M6597" t="s">
        <v>75</v>
      </c>
      <c r="N6597" s="1">
        <v>42872.847222222219</v>
      </c>
      <c r="O6597" t="s">
        <v>19</v>
      </c>
    </row>
    <row r="6598" spans="1:15" x14ac:dyDescent="0.25">
      <c r="A6598" t="s">
        <v>4789</v>
      </c>
      <c r="B6598" t="s">
        <v>15</v>
      </c>
      <c r="C6598" t="s">
        <v>1607</v>
      </c>
      <c r="D6598" t="s">
        <v>17</v>
      </c>
      <c r="E6598" t="s">
        <v>18</v>
      </c>
      <c r="F6598" t="s">
        <v>19</v>
      </c>
      <c r="G6598" t="s">
        <v>20</v>
      </c>
      <c r="J6598" t="s">
        <v>17</v>
      </c>
      <c r="K6598" t="str">
        <f>"766814192"</f>
        <v>766814192</v>
      </c>
      <c r="L6598" t="str">
        <f>"766814192"</f>
        <v>766814192</v>
      </c>
      <c r="M6598" t="s">
        <v>75</v>
      </c>
      <c r="N6598" s="1">
        <v>42872.849305555559</v>
      </c>
      <c r="O6598" t="s">
        <v>19</v>
      </c>
    </row>
    <row r="6599" spans="1:15" x14ac:dyDescent="0.25">
      <c r="A6599" t="s">
        <v>4790</v>
      </c>
      <c r="B6599" t="s">
        <v>15</v>
      </c>
      <c r="C6599" t="s">
        <v>1607</v>
      </c>
      <c r="D6599" t="s">
        <v>17</v>
      </c>
      <c r="E6599" t="s">
        <v>18</v>
      </c>
      <c r="F6599" t="s">
        <v>19</v>
      </c>
      <c r="G6599" t="s">
        <v>20</v>
      </c>
      <c r="J6599" t="s">
        <v>17</v>
      </c>
      <c r="K6599" t="str">
        <f>"346814136"</f>
        <v>346814136</v>
      </c>
      <c r="L6599" t="str">
        <f>"346814136"</f>
        <v>346814136</v>
      </c>
      <c r="M6599" t="s">
        <v>75</v>
      </c>
      <c r="N6599" s="1">
        <v>42872.849305555559</v>
      </c>
      <c r="O6599" t="s">
        <v>19</v>
      </c>
    </row>
    <row r="6600" spans="1:15" x14ac:dyDescent="0.25">
      <c r="A6600" t="s">
        <v>4790</v>
      </c>
      <c r="B6600" t="s">
        <v>15</v>
      </c>
      <c r="C6600" t="s">
        <v>1607</v>
      </c>
      <c r="D6600" t="s">
        <v>17</v>
      </c>
      <c r="E6600" t="s">
        <v>18</v>
      </c>
      <c r="F6600" t="s">
        <v>19</v>
      </c>
      <c r="G6600" t="s">
        <v>20</v>
      </c>
      <c r="J6600" t="s">
        <v>17</v>
      </c>
      <c r="K6600" t="str">
        <f>"764914136"</f>
        <v>764914136</v>
      </c>
      <c r="L6600" t="str">
        <f>"764914136"</f>
        <v>764914136</v>
      </c>
      <c r="M6600" t="s">
        <v>75</v>
      </c>
      <c r="N6600" s="1">
        <v>42872.849305555559</v>
      </c>
      <c r="O6600" t="s">
        <v>19</v>
      </c>
    </row>
    <row r="6601" spans="1:15" x14ac:dyDescent="0.25">
      <c r="A6601" t="s">
        <v>4790</v>
      </c>
      <c r="B6601" t="s">
        <v>15</v>
      </c>
      <c r="C6601" t="s">
        <v>1607</v>
      </c>
      <c r="D6601" t="s">
        <v>17</v>
      </c>
      <c r="E6601" t="s">
        <v>18</v>
      </c>
      <c r="F6601" t="s">
        <v>19</v>
      </c>
      <c r="G6601" t="s">
        <v>20</v>
      </c>
      <c r="J6601" t="s">
        <v>17</v>
      </c>
      <c r="K6601" t="str">
        <f>"766814136"</f>
        <v>766814136</v>
      </c>
      <c r="L6601" t="str">
        <f>"766814136"</f>
        <v>766814136</v>
      </c>
      <c r="M6601" t="s">
        <v>75</v>
      </c>
      <c r="N6601" s="1">
        <v>42872.849305555559</v>
      </c>
      <c r="O6601" t="s">
        <v>19</v>
      </c>
    </row>
    <row r="6602" spans="1:15" x14ac:dyDescent="0.25">
      <c r="A6602" t="s">
        <v>4791</v>
      </c>
      <c r="B6602" t="s">
        <v>15</v>
      </c>
      <c r="C6602" t="s">
        <v>1607</v>
      </c>
      <c r="D6602" t="s">
        <v>17</v>
      </c>
      <c r="E6602" t="s">
        <v>18</v>
      </c>
      <c r="F6602" t="s">
        <v>19</v>
      </c>
      <c r="G6602" t="s">
        <v>20</v>
      </c>
      <c r="J6602" t="s">
        <v>17</v>
      </c>
      <c r="K6602" t="str">
        <f>"764914262"</f>
        <v>764914262</v>
      </c>
      <c r="L6602" t="str">
        <f>"764914262"</f>
        <v>764914262</v>
      </c>
      <c r="M6602" t="s">
        <v>84</v>
      </c>
      <c r="N6602" s="1">
        <v>43451.65902777778</v>
      </c>
      <c r="O6602" t="s">
        <v>19</v>
      </c>
    </row>
    <row r="6603" spans="1:15" x14ac:dyDescent="0.25">
      <c r="A6603" t="s">
        <v>4792</v>
      </c>
      <c r="B6603" t="s">
        <v>15</v>
      </c>
      <c r="C6603" t="s">
        <v>1607</v>
      </c>
      <c r="D6603" t="s">
        <v>17</v>
      </c>
      <c r="E6603" t="s">
        <v>18</v>
      </c>
      <c r="F6603" t="s">
        <v>19</v>
      </c>
      <c r="G6603" t="s">
        <v>20</v>
      </c>
      <c r="J6603" t="s">
        <v>17</v>
      </c>
      <c r="K6603" t="str">
        <f>"345714283"</f>
        <v>345714283</v>
      </c>
      <c r="L6603" t="str">
        <f>"345714283"</f>
        <v>345714283</v>
      </c>
      <c r="M6603" t="s">
        <v>75</v>
      </c>
      <c r="N6603" s="1">
        <v>42872.849305555559</v>
      </c>
      <c r="O6603" t="s">
        <v>19</v>
      </c>
    </row>
    <row r="6604" spans="1:15" x14ac:dyDescent="0.25">
      <c r="A6604" t="s">
        <v>4792</v>
      </c>
      <c r="B6604" t="s">
        <v>15</v>
      </c>
      <c r="C6604" t="s">
        <v>1607</v>
      </c>
      <c r="D6604" t="s">
        <v>17</v>
      </c>
      <c r="E6604" t="s">
        <v>18</v>
      </c>
      <c r="F6604" t="s">
        <v>19</v>
      </c>
      <c r="G6604" t="s">
        <v>20</v>
      </c>
      <c r="J6604" t="s">
        <v>17</v>
      </c>
      <c r="K6604" t="str">
        <f>"766814283"</f>
        <v>766814283</v>
      </c>
      <c r="L6604" t="str">
        <f>"766814283"</f>
        <v>766814283</v>
      </c>
      <c r="M6604" t="s">
        <v>75</v>
      </c>
      <c r="N6604" s="1">
        <v>42872.849305555559</v>
      </c>
      <c r="O6604" t="s">
        <v>19</v>
      </c>
    </row>
    <row r="6605" spans="1:15" x14ac:dyDescent="0.25">
      <c r="A6605" t="s">
        <v>4792</v>
      </c>
      <c r="B6605" t="s">
        <v>15</v>
      </c>
      <c r="C6605" t="s">
        <v>1607</v>
      </c>
      <c r="D6605" t="s">
        <v>17</v>
      </c>
      <c r="E6605" t="s">
        <v>18</v>
      </c>
      <c r="F6605" t="s">
        <v>19</v>
      </c>
      <c r="G6605" t="s">
        <v>20</v>
      </c>
      <c r="J6605" t="s">
        <v>17</v>
      </c>
      <c r="K6605" t="str">
        <f>"764914283"</f>
        <v>764914283</v>
      </c>
      <c r="L6605" t="str">
        <f>"764914283"</f>
        <v>764914283</v>
      </c>
      <c r="M6605" t="s">
        <v>75</v>
      </c>
      <c r="N6605" s="1">
        <v>43147.87222222222</v>
      </c>
      <c r="O6605" t="s">
        <v>19</v>
      </c>
    </row>
    <row r="6606" spans="1:15" x14ac:dyDescent="0.25">
      <c r="A6606" t="s">
        <v>4793</v>
      </c>
      <c r="B6606" t="s">
        <v>15</v>
      </c>
      <c r="C6606" t="s">
        <v>1607</v>
      </c>
      <c r="D6606" t="s">
        <v>17</v>
      </c>
      <c r="E6606" t="s">
        <v>18</v>
      </c>
      <c r="F6606" t="s">
        <v>19</v>
      </c>
      <c r="G6606" t="s">
        <v>20</v>
      </c>
      <c r="J6606" t="s">
        <v>17</v>
      </c>
      <c r="K6606" t="str">
        <f>"766814131"</f>
        <v>766814131</v>
      </c>
      <c r="L6606" t="str">
        <f>"766814131"</f>
        <v>766814131</v>
      </c>
      <c r="M6606" t="s">
        <v>75</v>
      </c>
      <c r="N6606" s="1">
        <v>43196.606944444444</v>
      </c>
      <c r="O6606" t="s">
        <v>19</v>
      </c>
    </row>
    <row r="6607" spans="1:15" x14ac:dyDescent="0.25">
      <c r="A6607" t="s">
        <v>4793</v>
      </c>
      <c r="B6607" t="s">
        <v>15</v>
      </c>
      <c r="C6607" t="s">
        <v>1607</v>
      </c>
      <c r="D6607" t="s">
        <v>17</v>
      </c>
      <c r="E6607" t="s">
        <v>18</v>
      </c>
      <c r="F6607" t="s">
        <v>19</v>
      </c>
      <c r="G6607" t="s">
        <v>20</v>
      </c>
      <c r="J6607" t="s">
        <v>17</v>
      </c>
      <c r="K6607" t="str">
        <f>"346814131"</f>
        <v>346814131</v>
      </c>
      <c r="L6607" t="str">
        <f>"346814131"</f>
        <v>346814131</v>
      </c>
      <c r="M6607" t="s">
        <v>75</v>
      </c>
      <c r="N6607" s="1">
        <v>43237.879166666666</v>
      </c>
      <c r="O6607" t="s">
        <v>19</v>
      </c>
    </row>
    <row r="6608" spans="1:15" x14ac:dyDescent="0.25">
      <c r="A6608" t="s">
        <v>4794</v>
      </c>
      <c r="B6608" t="s">
        <v>15</v>
      </c>
      <c r="C6608" t="s">
        <v>1607</v>
      </c>
      <c r="D6608" t="s">
        <v>17</v>
      </c>
      <c r="E6608" t="s">
        <v>18</v>
      </c>
      <c r="F6608" t="s">
        <v>19</v>
      </c>
      <c r="G6608" t="s">
        <v>20</v>
      </c>
      <c r="J6608" t="s">
        <v>17</v>
      </c>
      <c r="K6608" t="str">
        <f>"766810255"</f>
        <v>766810255</v>
      </c>
      <c r="L6608" t="str">
        <f>"766810255"</f>
        <v>766810255</v>
      </c>
      <c r="M6608" t="s">
        <v>84</v>
      </c>
      <c r="N6608" s="1">
        <v>43335.659722222219</v>
      </c>
      <c r="O6608" t="s">
        <v>19</v>
      </c>
    </row>
    <row r="6609" spans="1:15" x14ac:dyDescent="0.25">
      <c r="A6609" t="s">
        <v>4794</v>
      </c>
      <c r="B6609" t="s">
        <v>15</v>
      </c>
      <c r="C6609" t="s">
        <v>1607</v>
      </c>
      <c r="D6609" t="s">
        <v>17</v>
      </c>
      <c r="E6609" t="s">
        <v>18</v>
      </c>
      <c r="F6609" t="s">
        <v>19</v>
      </c>
      <c r="G6609" t="s">
        <v>20</v>
      </c>
      <c r="J6609" t="s">
        <v>17</v>
      </c>
      <c r="K6609" t="str">
        <f>"864914255"</f>
        <v>864914255</v>
      </c>
      <c r="L6609" t="str">
        <f>"864914255"</f>
        <v>864914255</v>
      </c>
      <c r="M6609" t="s">
        <v>84</v>
      </c>
      <c r="N6609" s="1">
        <v>43367.90347222222</v>
      </c>
      <c r="O6609" t="s">
        <v>19</v>
      </c>
    </row>
    <row r="6610" spans="1:15" x14ac:dyDescent="0.25">
      <c r="A6610" t="s">
        <v>4794</v>
      </c>
      <c r="B6610" t="s">
        <v>15</v>
      </c>
      <c r="C6610" t="s">
        <v>1607</v>
      </c>
      <c r="D6610" t="s">
        <v>17</v>
      </c>
      <c r="E6610" t="s">
        <v>18</v>
      </c>
      <c r="F6610" t="s">
        <v>19</v>
      </c>
      <c r="G6610" t="s">
        <v>20</v>
      </c>
      <c r="J6610" t="s">
        <v>17</v>
      </c>
      <c r="K6610" t="str">
        <f>"766814255"</f>
        <v>766814255</v>
      </c>
      <c r="L6610" t="str">
        <f>"766814255"</f>
        <v>766814255</v>
      </c>
      <c r="M6610" t="s">
        <v>84</v>
      </c>
      <c r="N6610" s="1">
        <v>43370.695833333331</v>
      </c>
      <c r="O6610" t="s">
        <v>19</v>
      </c>
    </row>
    <row r="6611" spans="1:15" x14ac:dyDescent="0.25">
      <c r="A6611" t="s">
        <v>4794</v>
      </c>
      <c r="B6611" t="s">
        <v>15</v>
      </c>
      <c r="C6611" t="s">
        <v>1607</v>
      </c>
      <c r="D6611" t="s">
        <v>17</v>
      </c>
      <c r="E6611" t="s">
        <v>18</v>
      </c>
      <c r="F6611" t="s">
        <v>19</v>
      </c>
      <c r="G6611" t="s">
        <v>20</v>
      </c>
      <c r="J6611" t="s">
        <v>17</v>
      </c>
      <c r="K6611" t="str">
        <f>"614914255"</f>
        <v>614914255</v>
      </c>
      <c r="L6611" t="str">
        <f>"614914255"</f>
        <v>614914255</v>
      </c>
      <c r="M6611" t="s">
        <v>84</v>
      </c>
      <c r="N6611" s="1">
        <v>43420.7</v>
      </c>
      <c r="O6611" t="s">
        <v>19</v>
      </c>
    </row>
    <row r="6612" spans="1:15" x14ac:dyDescent="0.25">
      <c r="A6612" t="s">
        <v>4794</v>
      </c>
      <c r="B6612" t="s">
        <v>15</v>
      </c>
      <c r="C6612" t="s">
        <v>1607</v>
      </c>
      <c r="D6612" t="s">
        <v>17</v>
      </c>
      <c r="E6612" t="s">
        <v>18</v>
      </c>
      <c r="F6612" t="s">
        <v>19</v>
      </c>
      <c r="G6612" t="s">
        <v>20</v>
      </c>
      <c r="J6612" t="s">
        <v>17</v>
      </c>
      <c r="K6612" t="str">
        <f>"764914255"</f>
        <v>764914255</v>
      </c>
      <c r="L6612" t="str">
        <f>"764914255"</f>
        <v>764914255</v>
      </c>
      <c r="M6612" t="s">
        <v>84</v>
      </c>
      <c r="N6612" s="1">
        <v>43451.654166666667</v>
      </c>
      <c r="O6612" t="s">
        <v>19</v>
      </c>
    </row>
    <row r="6613" spans="1:15" x14ac:dyDescent="0.25">
      <c r="A6613" t="s">
        <v>4795</v>
      </c>
      <c r="B6613" t="s">
        <v>15</v>
      </c>
      <c r="C6613" t="s">
        <v>1607</v>
      </c>
      <c r="D6613" t="s">
        <v>17</v>
      </c>
      <c r="E6613" t="s">
        <v>18</v>
      </c>
      <c r="F6613" t="s">
        <v>19</v>
      </c>
      <c r="G6613" t="s">
        <v>20</v>
      </c>
      <c r="J6613" t="s">
        <v>17</v>
      </c>
      <c r="K6613" t="str">
        <f>"764914263"</f>
        <v>764914263</v>
      </c>
      <c r="L6613" t="str">
        <f>"764914263"</f>
        <v>764914263</v>
      </c>
      <c r="M6613" t="s">
        <v>84</v>
      </c>
      <c r="N6613" s="1">
        <v>43465.722222222219</v>
      </c>
      <c r="O6613" t="s">
        <v>19</v>
      </c>
    </row>
    <row r="6614" spans="1:15" x14ac:dyDescent="0.25">
      <c r="A6614" t="s">
        <v>4796</v>
      </c>
      <c r="B6614" t="s">
        <v>15</v>
      </c>
      <c r="C6614" t="s">
        <v>1607</v>
      </c>
      <c r="D6614" t="s">
        <v>17</v>
      </c>
      <c r="E6614" t="s">
        <v>18</v>
      </c>
      <c r="F6614" t="s">
        <v>19</v>
      </c>
      <c r="G6614" t="s">
        <v>20</v>
      </c>
      <c r="J6614" t="s">
        <v>17</v>
      </c>
      <c r="K6614" t="str">
        <f>"34491445"</f>
        <v>34491445</v>
      </c>
      <c r="L6614" t="str">
        <f>"34491445"</f>
        <v>34491445</v>
      </c>
      <c r="M6614" t="s">
        <v>75</v>
      </c>
      <c r="N6614" s="1">
        <v>42872.839583333334</v>
      </c>
      <c r="O6614" t="s">
        <v>19</v>
      </c>
    </row>
    <row r="6615" spans="1:15" x14ac:dyDescent="0.25">
      <c r="A6615" t="s">
        <v>4796</v>
      </c>
      <c r="B6615" t="s">
        <v>15</v>
      </c>
      <c r="C6615" t="s">
        <v>1607</v>
      </c>
      <c r="D6615" t="s">
        <v>17</v>
      </c>
      <c r="E6615" t="s">
        <v>18</v>
      </c>
      <c r="F6615" t="s">
        <v>19</v>
      </c>
      <c r="G6615" t="s">
        <v>20</v>
      </c>
      <c r="J6615" t="s">
        <v>17</v>
      </c>
      <c r="K6615" t="str">
        <f>"76491445"</f>
        <v>76491445</v>
      </c>
      <c r="L6615" t="str">
        <f>"76491445"</f>
        <v>76491445</v>
      </c>
      <c r="M6615" t="s">
        <v>75</v>
      </c>
      <c r="N6615" s="1">
        <v>42872.847222222219</v>
      </c>
      <c r="O6615" t="s">
        <v>19</v>
      </c>
    </row>
    <row r="6616" spans="1:15" x14ac:dyDescent="0.25">
      <c r="A6616" t="s">
        <v>4796</v>
      </c>
      <c r="B6616" t="s">
        <v>15</v>
      </c>
      <c r="C6616" t="s">
        <v>1607</v>
      </c>
      <c r="D6616" t="s">
        <v>17</v>
      </c>
      <c r="E6616" t="s">
        <v>18</v>
      </c>
      <c r="F6616" t="s">
        <v>19</v>
      </c>
      <c r="G6616" t="s">
        <v>20</v>
      </c>
      <c r="J6616" t="s">
        <v>17</v>
      </c>
      <c r="K6616" t="str">
        <f>"76681445"</f>
        <v>76681445</v>
      </c>
      <c r="L6616" t="str">
        <f>"76681445"</f>
        <v>76681445</v>
      </c>
      <c r="M6616" t="s">
        <v>75</v>
      </c>
      <c r="N6616" s="1">
        <v>42872.847222222219</v>
      </c>
      <c r="O6616" t="s">
        <v>19</v>
      </c>
    </row>
    <row r="6617" spans="1:15" x14ac:dyDescent="0.25">
      <c r="A6617" t="s">
        <v>4796</v>
      </c>
      <c r="B6617" t="s">
        <v>15</v>
      </c>
      <c r="C6617" t="s">
        <v>1607</v>
      </c>
      <c r="D6617" t="s">
        <v>17</v>
      </c>
      <c r="E6617" t="s">
        <v>18</v>
      </c>
      <c r="F6617" t="s">
        <v>19</v>
      </c>
      <c r="G6617" t="s">
        <v>20</v>
      </c>
      <c r="J6617" t="s">
        <v>17</v>
      </c>
      <c r="K6617" t="str">
        <f>"76571445"</f>
        <v>76571445</v>
      </c>
      <c r="L6617" t="str">
        <f>"76571445"</f>
        <v>76571445</v>
      </c>
      <c r="M6617" t="s">
        <v>75</v>
      </c>
      <c r="N6617" s="1">
        <v>42872.847222222219</v>
      </c>
      <c r="O6617" t="s">
        <v>19</v>
      </c>
    </row>
    <row r="6618" spans="1:15" x14ac:dyDescent="0.25">
      <c r="A6618" t="s">
        <v>4797</v>
      </c>
      <c r="B6618" t="s">
        <v>15</v>
      </c>
      <c r="C6618" t="s">
        <v>1607</v>
      </c>
      <c r="D6618" t="s">
        <v>17</v>
      </c>
      <c r="E6618" t="s">
        <v>18</v>
      </c>
      <c r="F6618" t="s">
        <v>19</v>
      </c>
      <c r="G6618" t="s">
        <v>20</v>
      </c>
      <c r="J6618" t="s">
        <v>17</v>
      </c>
      <c r="K6618" t="str">
        <f>"764914270"</f>
        <v>764914270</v>
      </c>
      <c r="L6618" t="str">
        <f>"764914270"</f>
        <v>764914270</v>
      </c>
      <c r="M6618" t="s">
        <v>75</v>
      </c>
      <c r="N6618" s="1">
        <v>42872.849305555559</v>
      </c>
      <c r="O6618" t="s">
        <v>19</v>
      </c>
    </row>
    <row r="6619" spans="1:15" x14ac:dyDescent="0.25">
      <c r="A6619" t="s">
        <v>4797</v>
      </c>
      <c r="B6619" t="s">
        <v>15</v>
      </c>
      <c r="C6619" t="s">
        <v>1607</v>
      </c>
      <c r="D6619" t="s">
        <v>17</v>
      </c>
      <c r="E6619" t="s">
        <v>18</v>
      </c>
      <c r="F6619" t="s">
        <v>19</v>
      </c>
      <c r="G6619" t="s">
        <v>20</v>
      </c>
      <c r="J6619" t="s">
        <v>17</v>
      </c>
      <c r="K6619" t="str">
        <f>"766814270"</f>
        <v>766814270</v>
      </c>
      <c r="L6619" t="str">
        <f>"766814270"</f>
        <v>766814270</v>
      </c>
      <c r="M6619" t="s">
        <v>75</v>
      </c>
      <c r="N6619" s="1">
        <v>42872.849305555559</v>
      </c>
      <c r="O6619" t="s">
        <v>19</v>
      </c>
    </row>
    <row r="6620" spans="1:15" x14ac:dyDescent="0.25">
      <c r="A6620" t="s">
        <v>4797</v>
      </c>
      <c r="B6620" t="s">
        <v>15</v>
      </c>
      <c r="C6620" t="s">
        <v>1607</v>
      </c>
      <c r="D6620" t="s">
        <v>17</v>
      </c>
      <c r="E6620" t="s">
        <v>18</v>
      </c>
      <c r="F6620" t="s">
        <v>19</v>
      </c>
      <c r="G6620" t="s">
        <v>20</v>
      </c>
      <c r="J6620" t="s">
        <v>17</v>
      </c>
      <c r="K6620" t="str">
        <f>"346814270"</f>
        <v>346814270</v>
      </c>
      <c r="L6620" t="str">
        <f>"346814270"</f>
        <v>346814270</v>
      </c>
      <c r="M6620" t="s">
        <v>84</v>
      </c>
      <c r="N6620" s="1">
        <v>43409.918055555558</v>
      </c>
      <c r="O6620" t="s">
        <v>19</v>
      </c>
    </row>
    <row r="6621" spans="1:15" x14ac:dyDescent="0.25">
      <c r="A6621" t="s">
        <v>4798</v>
      </c>
      <c r="B6621" t="s">
        <v>15</v>
      </c>
      <c r="C6621" t="s">
        <v>1607</v>
      </c>
      <c r="D6621" t="s">
        <v>17</v>
      </c>
      <c r="E6621" t="s">
        <v>18</v>
      </c>
      <c r="F6621" t="s">
        <v>19</v>
      </c>
      <c r="G6621" t="s">
        <v>20</v>
      </c>
      <c r="J6621" t="s">
        <v>17</v>
      </c>
      <c r="K6621" t="str">
        <f>"766814128"</f>
        <v>766814128</v>
      </c>
      <c r="L6621" t="str">
        <f>"766814128"</f>
        <v>766814128</v>
      </c>
      <c r="M6621" t="s">
        <v>75</v>
      </c>
      <c r="N6621" s="1">
        <v>42986.587500000001</v>
      </c>
      <c r="O6621" t="s">
        <v>19</v>
      </c>
    </row>
    <row r="6622" spans="1:15" x14ac:dyDescent="0.25">
      <c r="A6622" t="s">
        <v>4799</v>
      </c>
      <c r="B6622" t="s">
        <v>15</v>
      </c>
      <c r="C6622" t="s">
        <v>1607</v>
      </c>
      <c r="D6622" t="s">
        <v>17</v>
      </c>
      <c r="E6622" t="s">
        <v>18</v>
      </c>
      <c r="F6622" t="s">
        <v>19</v>
      </c>
      <c r="G6622" t="s">
        <v>20</v>
      </c>
      <c r="J6622" t="s">
        <v>17</v>
      </c>
      <c r="K6622" t="str">
        <f>"345714126"</f>
        <v>345714126</v>
      </c>
      <c r="L6622" t="str">
        <f>"345714126"</f>
        <v>345714126</v>
      </c>
      <c r="M6622" t="s">
        <v>75</v>
      </c>
      <c r="N6622" s="1">
        <v>42872.849305555559</v>
      </c>
      <c r="O6622" t="s">
        <v>19</v>
      </c>
    </row>
    <row r="6623" spans="1:15" x14ac:dyDescent="0.25">
      <c r="A6623" t="s">
        <v>4799</v>
      </c>
      <c r="B6623" t="s">
        <v>15</v>
      </c>
      <c r="C6623" t="s">
        <v>1607</v>
      </c>
      <c r="D6623" t="s">
        <v>17</v>
      </c>
      <c r="E6623" t="s">
        <v>18</v>
      </c>
      <c r="F6623" t="s">
        <v>19</v>
      </c>
      <c r="G6623" t="s">
        <v>20</v>
      </c>
      <c r="J6623" t="s">
        <v>17</v>
      </c>
      <c r="K6623" t="str">
        <f>"766814126"</f>
        <v>766814126</v>
      </c>
      <c r="L6623" t="str">
        <f>"766814126"</f>
        <v>766814126</v>
      </c>
      <c r="M6623" t="s">
        <v>75</v>
      </c>
      <c r="N6623" s="1">
        <v>42872.849305555559</v>
      </c>
      <c r="O6623" t="s">
        <v>19</v>
      </c>
    </row>
    <row r="6624" spans="1:15" x14ac:dyDescent="0.25">
      <c r="A6624" t="s">
        <v>4799</v>
      </c>
      <c r="B6624" t="s">
        <v>15</v>
      </c>
      <c r="C6624" t="s">
        <v>1607</v>
      </c>
      <c r="D6624" t="s">
        <v>17</v>
      </c>
      <c r="E6624" t="s">
        <v>18</v>
      </c>
      <c r="F6624" t="s">
        <v>19</v>
      </c>
      <c r="G6624" t="s">
        <v>20</v>
      </c>
      <c r="J6624" t="s">
        <v>17</v>
      </c>
      <c r="K6624" t="str">
        <f>"764914126"</f>
        <v>764914126</v>
      </c>
      <c r="L6624" t="str">
        <f>"764914126"</f>
        <v>764914126</v>
      </c>
      <c r="M6624" t="s">
        <v>75</v>
      </c>
      <c r="N6624" s="1">
        <v>43147.870833333334</v>
      </c>
      <c r="O6624" t="s">
        <v>19</v>
      </c>
    </row>
    <row r="6625" spans="1:15" x14ac:dyDescent="0.25">
      <c r="A6625" t="s">
        <v>4799</v>
      </c>
      <c r="B6625" t="s">
        <v>15</v>
      </c>
      <c r="C6625" t="s">
        <v>1607</v>
      </c>
      <c r="D6625" t="s">
        <v>17</v>
      </c>
      <c r="E6625" t="s">
        <v>18</v>
      </c>
      <c r="F6625" t="s">
        <v>19</v>
      </c>
      <c r="G6625" t="s">
        <v>20</v>
      </c>
      <c r="J6625" t="s">
        <v>17</v>
      </c>
      <c r="K6625" t="str">
        <f>"866814126"</f>
        <v>866814126</v>
      </c>
      <c r="L6625" t="str">
        <f>"866814126"</f>
        <v>866814126</v>
      </c>
      <c r="M6625" t="s">
        <v>84</v>
      </c>
      <c r="N6625" s="1">
        <v>43314.932638888888</v>
      </c>
      <c r="O6625" t="s">
        <v>19</v>
      </c>
    </row>
    <row r="6626" spans="1:15" x14ac:dyDescent="0.25">
      <c r="A6626" t="s">
        <v>4799</v>
      </c>
      <c r="B6626" t="s">
        <v>15</v>
      </c>
      <c r="C6626" t="s">
        <v>1607</v>
      </c>
      <c r="D6626" t="s">
        <v>17</v>
      </c>
      <c r="E6626" t="s">
        <v>18</v>
      </c>
      <c r="F6626" t="s">
        <v>19</v>
      </c>
      <c r="G6626" t="s">
        <v>20</v>
      </c>
      <c r="J6626" t="s">
        <v>17</v>
      </c>
      <c r="K6626" t="str">
        <f>"864914126"</f>
        <v>864914126</v>
      </c>
      <c r="L6626" t="str">
        <f>"864914126"</f>
        <v>864914126</v>
      </c>
      <c r="M6626" t="s">
        <v>84</v>
      </c>
      <c r="N6626" s="1">
        <v>43367.90625</v>
      </c>
      <c r="O6626" t="s">
        <v>19</v>
      </c>
    </row>
    <row r="6627" spans="1:15" x14ac:dyDescent="0.25">
      <c r="A6627" t="s">
        <v>4800</v>
      </c>
      <c r="B6627" t="s">
        <v>15</v>
      </c>
      <c r="C6627" t="s">
        <v>1607</v>
      </c>
      <c r="D6627" t="s">
        <v>17</v>
      </c>
      <c r="E6627" t="s">
        <v>18</v>
      </c>
      <c r="F6627" t="s">
        <v>19</v>
      </c>
      <c r="G6627" t="s">
        <v>20</v>
      </c>
      <c r="J6627" t="s">
        <v>17</v>
      </c>
      <c r="K6627" t="str">
        <f>"766814217"</f>
        <v>766814217</v>
      </c>
      <c r="L6627" t="str">
        <f>"766814217"</f>
        <v>766814217</v>
      </c>
      <c r="M6627" t="s">
        <v>75</v>
      </c>
      <c r="N6627" s="1">
        <v>43005.82916666667</v>
      </c>
      <c r="O6627" t="s">
        <v>19</v>
      </c>
    </row>
    <row r="6628" spans="1:15" x14ac:dyDescent="0.25">
      <c r="A6628" t="s">
        <v>4801</v>
      </c>
      <c r="B6628" t="s">
        <v>15</v>
      </c>
      <c r="C6628" t="s">
        <v>1607</v>
      </c>
      <c r="D6628" t="s">
        <v>17</v>
      </c>
      <c r="E6628" t="s">
        <v>18</v>
      </c>
      <c r="F6628" t="s">
        <v>19</v>
      </c>
      <c r="G6628" t="s">
        <v>20</v>
      </c>
      <c r="J6628" t="s">
        <v>18</v>
      </c>
      <c r="K6628" t="str">
        <f>"766814256"</f>
        <v>766814256</v>
      </c>
      <c r="L6628" t="str">
        <f>"766814256"</f>
        <v>766814256</v>
      </c>
      <c r="M6628" t="s">
        <v>84</v>
      </c>
      <c r="N6628" s="1">
        <v>43335.654861111114</v>
      </c>
      <c r="O6628" t="s">
        <v>19</v>
      </c>
    </row>
    <row r="6629" spans="1:15" x14ac:dyDescent="0.25">
      <c r="A6629" t="s">
        <v>4801</v>
      </c>
      <c r="B6629" t="s">
        <v>15</v>
      </c>
      <c r="C6629" t="s">
        <v>1607</v>
      </c>
      <c r="D6629" t="s">
        <v>17</v>
      </c>
      <c r="E6629" t="s">
        <v>18</v>
      </c>
      <c r="F6629" t="s">
        <v>19</v>
      </c>
      <c r="G6629" t="s">
        <v>20</v>
      </c>
      <c r="J6629" t="s">
        <v>17</v>
      </c>
      <c r="K6629" t="str">
        <f>"864914256"</f>
        <v>864914256</v>
      </c>
      <c r="L6629" t="str">
        <f>"864914256"</f>
        <v>864914256</v>
      </c>
      <c r="M6629" t="s">
        <v>84</v>
      </c>
      <c r="N6629" s="1">
        <v>43367.90347222222</v>
      </c>
      <c r="O6629" t="s">
        <v>19</v>
      </c>
    </row>
    <row r="6630" spans="1:15" x14ac:dyDescent="0.25">
      <c r="A6630" t="s">
        <v>4801</v>
      </c>
      <c r="B6630" t="s">
        <v>15</v>
      </c>
      <c r="C6630" t="s">
        <v>1607</v>
      </c>
      <c r="D6630" t="s">
        <v>17</v>
      </c>
      <c r="E6630" t="s">
        <v>18</v>
      </c>
      <c r="F6630" t="s">
        <v>19</v>
      </c>
      <c r="G6630" t="s">
        <v>20</v>
      </c>
      <c r="J6630" t="s">
        <v>17</v>
      </c>
      <c r="K6630" t="str">
        <f>"764914256"</f>
        <v>764914256</v>
      </c>
      <c r="L6630" t="str">
        <f>"764914256"</f>
        <v>764914256</v>
      </c>
      <c r="M6630" t="s">
        <v>84</v>
      </c>
      <c r="N6630" s="1">
        <v>43451.65347222222</v>
      </c>
      <c r="O6630" t="s">
        <v>19</v>
      </c>
    </row>
    <row r="6631" spans="1:15" x14ac:dyDescent="0.25">
      <c r="A6631" t="s">
        <v>4802</v>
      </c>
      <c r="B6631" t="s">
        <v>15</v>
      </c>
      <c r="C6631" t="s">
        <v>1607</v>
      </c>
      <c r="D6631" t="s">
        <v>17</v>
      </c>
      <c r="E6631" t="s">
        <v>18</v>
      </c>
      <c r="F6631" t="s">
        <v>19</v>
      </c>
      <c r="G6631" t="s">
        <v>20</v>
      </c>
      <c r="J6631" t="s">
        <v>17</v>
      </c>
      <c r="K6631" t="str">
        <f>"764914264"</f>
        <v>764914264</v>
      </c>
      <c r="L6631" t="str">
        <f>"764914264"</f>
        <v>764914264</v>
      </c>
      <c r="M6631" t="s">
        <v>84</v>
      </c>
      <c r="N6631" s="1">
        <v>43518.852777777778</v>
      </c>
      <c r="O6631" t="s">
        <v>19</v>
      </c>
    </row>
    <row r="6632" spans="1:15" x14ac:dyDescent="0.25">
      <c r="A6632" t="s">
        <v>4803</v>
      </c>
      <c r="B6632" t="s">
        <v>15</v>
      </c>
      <c r="C6632" t="s">
        <v>1607</v>
      </c>
      <c r="D6632" t="s">
        <v>17</v>
      </c>
      <c r="E6632" t="s">
        <v>18</v>
      </c>
      <c r="F6632" t="s">
        <v>19</v>
      </c>
      <c r="G6632" t="s">
        <v>20</v>
      </c>
      <c r="J6632" t="s">
        <v>17</v>
      </c>
      <c r="K6632" t="str">
        <f>"34681447"</f>
        <v>34681447</v>
      </c>
      <c r="L6632" t="str">
        <f>"34681447"</f>
        <v>34681447</v>
      </c>
      <c r="M6632" t="s">
        <v>75</v>
      </c>
      <c r="N6632" s="1">
        <v>42872.839583333334</v>
      </c>
      <c r="O6632" t="s">
        <v>19</v>
      </c>
    </row>
    <row r="6633" spans="1:15" x14ac:dyDescent="0.25">
      <c r="A6633" t="s">
        <v>4803</v>
      </c>
      <c r="B6633" t="s">
        <v>15</v>
      </c>
      <c r="C6633" t="s">
        <v>1607</v>
      </c>
      <c r="D6633" t="s">
        <v>17</v>
      </c>
      <c r="E6633" t="s">
        <v>18</v>
      </c>
      <c r="F6633" t="s">
        <v>19</v>
      </c>
      <c r="G6633" t="s">
        <v>20</v>
      </c>
      <c r="J6633" t="s">
        <v>17</v>
      </c>
      <c r="K6633" t="str">
        <f>"76461447"</f>
        <v>76461447</v>
      </c>
      <c r="L6633" t="str">
        <f>"76461447"</f>
        <v>76461447</v>
      </c>
      <c r="M6633" t="s">
        <v>75</v>
      </c>
      <c r="N6633" s="1">
        <v>42872.847222222219</v>
      </c>
      <c r="O6633" t="s">
        <v>19</v>
      </c>
    </row>
    <row r="6634" spans="1:15" x14ac:dyDescent="0.25">
      <c r="A6634" t="s">
        <v>4803</v>
      </c>
      <c r="B6634" t="s">
        <v>15</v>
      </c>
      <c r="C6634" t="s">
        <v>1607</v>
      </c>
      <c r="D6634" t="s">
        <v>17</v>
      </c>
      <c r="E6634" t="s">
        <v>18</v>
      </c>
      <c r="F6634" t="s">
        <v>19</v>
      </c>
      <c r="G6634" t="s">
        <v>20</v>
      </c>
      <c r="J6634" t="s">
        <v>17</v>
      </c>
      <c r="K6634" t="str">
        <f>"76491447"</f>
        <v>76491447</v>
      </c>
      <c r="L6634" t="str">
        <f>"76491447"</f>
        <v>76491447</v>
      </c>
      <c r="M6634" t="s">
        <v>75</v>
      </c>
      <c r="N6634" s="1">
        <v>42872.847222222219</v>
      </c>
      <c r="O6634" t="s">
        <v>19</v>
      </c>
    </row>
    <row r="6635" spans="1:15" x14ac:dyDescent="0.25">
      <c r="A6635" t="s">
        <v>4803</v>
      </c>
      <c r="B6635" t="s">
        <v>15</v>
      </c>
      <c r="C6635" t="s">
        <v>1607</v>
      </c>
      <c r="D6635" t="s">
        <v>17</v>
      </c>
      <c r="E6635" t="s">
        <v>18</v>
      </c>
      <c r="F6635" t="s">
        <v>19</v>
      </c>
      <c r="G6635" t="s">
        <v>20</v>
      </c>
      <c r="J6635" t="s">
        <v>17</v>
      </c>
      <c r="K6635" t="str">
        <f>"76681447"</f>
        <v>76681447</v>
      </c>
      <c r="L6635" t="str">
        <f>"76681447"</f>
        <v>76681447</v>
      </c>
      <c r="M6635" t="s">
        <v>75</v>
      </c>
      <c r="N6635" s="1">
        <v>42872.847222222219</v>
      </c>
      <c r="O6635" t="s">
        <v>19</v>
      </c>
    </row>
    <row r="6636" spans="1:15" x14ac:dyDescent="0.25">
      <c r="A6636" t="s">
        <v>4803</v>
      </c>
      <c r="B6636" t="s">
        <v>15</v>
      </c>
      <c r="C6636" t="s">
        <v>1607</v>
      </c>
      <c r="D6636" t="s">
        <v>17</v>
      </c>
      <c r="E6636" t="s">
        <v>18</v>
      </c>
      <c r="F6636" t="s">
        <v>19</v>
      </c>
      <c r="G6636" t="s">
        <v>20</v>
      </c>
      <c r="J6636" t="s">
        <v>17</v>
      </c>
      <c r="K6636" t="str">
        <f>"17681447"</f>
        <v>17681447</v>
      </c>
      <c r="L6636" t="str">
        <f>"17681447"</f>
        <v>17681447</v>
      </c>
      <c r="M6636" t="s">
        <v>75</v>
      </c>
      <c r="N6636" s="1">
        <v>43220.621527777781</v>
      </c>
      <c r="O6636" t="s">
        <v>19</v>
      </c>
    </row>
    <row r="6637" spans="1:15" x14ac:dyDescent="0.25">
      <c r="A6637" t="s">
        <v>4803</v>
      </c>
      <c r="B6637" t="s">
        <v>15</v>
      </c>
      <c r="C6637" t="s">
        <v>1607</v>
      </c>
      <c r="D6637" t="s">
        <v>17</v>
      </c>
      <c r="E6637" t="s">
        <v>18</v>
      </c>
      <c r="F6637" t="s">
        <v>19</v>
      </c>
      <c r="G6637" t="s">
        <v>20</v>
      </c>
      <c r="J6637" t="s">
        <v>17</v>
      </c>
      <c r="K6637" t="str">
        <f>"86681447"</f>
        <v>86681447</v>
      </c>
      <c r="L6637" t="str">
        <f>"86681447"</f>
        <v>86681447</v>
      </c>
      <c r="M6637" t="s">
        <v>84</v>
      </c>
      <c r="N6637" s="1">
        <v>43314.931944444441</v>
      </c>
      <c r="O6637" t="s">
        <v>19</v>
      </c>
    </row>
    <row r="6638" spans="1:15" x14ac:dyDescent="0.25">
      <c r="A6638" t="s">
        <v>4804</v>
      </c>
      <c r="B6638" t="s">
        <v>15</v>
      </c>
      <c r="C6638" t="s">
        <v>1607</v>
      </c>
      <c r="D6638" t="s">
        <v>17</v>
      </c>
      <c r="E6638" t="s">
        <v>18</v>
      </c>
      <c r="F6638" t="s">
        <v>19</v>
      </c>
      <c r="G6638" t="s">
        <v>20</v>
      </c>
      <c r="J6638" t="s">
        <v>18</v>
      </c>
      <c r="K6638" t="str">
        <f>"766814257"</f>
        <v>766814257</v>
      </c>
      <c r="L6638" t="str">
        <f>"766814257"</f>
        <v>766814257</v>
      </c>
      <c r="M6638" t="s">
        <v>84</v>
      </c>
      <c r="N6638" s="1">
        <v>43335.655555555553</v>
      </c>
      <c r="O6638" t="s">
        <v>19</v>
      </c>
    </row>
    <row r="6639" spans="1:15" x14ac:dyDescent="0.25">
      <c r="A6639" t="s">
        <v>4804</v>
      </c>
      <c r="B6639" t="s">
        <v>15</v>
      </c>
      <c r="C6639" t="s">
        <v>1607</v>
      </c>
      <c r="D6639" t="s">
        <v>17</v>
      </c>
      <c r="E6639" t="s">
        <v>18</v>
      </c>
      <c r="F6639" t="s">
        <v>19</v>
      </c>
      <c r="G6639" t="s">
        <v>20</v>
      </c>
      <c r="J6639" t="s">
        <v>17</v>
      </c>
      <c r="K6639" t="str">
        <f>"764914257"</f>
        <v>764914257</v>
      </c>
      <c r="L6639" t="str">
        <f>"764914257"</f>
        <v>764914257</v>
      </c>
      <c r="M6639" t="s">
        <v>84</v>
      </c>
      <c r="N6639" s="1">
        <v>43370.696527777778</v>
      </c>
      <c r="O6639" t="s">
        <v>19</v>
      </c>
    </row>
    <row r="6640" spans="1:15" x14ac:dyDescent="0.25">
      <c r="A6640" t="s">
        <v>4805</v>
      </c>
      <c r="B6640" t="s">
        <v>15</v>
      </c>
      <c r="C6640" t="s">
        <v>1607</v>
      </c>
      <c r="D6640" t="s">
        <v>17</v>
      </c>
      <c r="E6640" t="s">
        <v>18</v>
      </c>
      <c r="F6640" t="s">
        <v>19</v>
      </c>
      <c r="G6640" t="s">
        <v>20</v>
      </c>
      <c r="J6640" t="s">
        <v>17</v>
      </c>
      <c r="K6640" t="str">
        <f>"766814137"</f>
        <v>766814137</v>
      </c>
      <c r="L6640" t="str">
        <f>"766814137"</f>
        <v>766814137</v>
      </c>
      <c r="M6640" t="s">
        <v>84</v>
      </c>
      <c r="N6640" s="1">
        <v>43335.661111111112</v>
      </c>
      <c r="O6640" t="s">
        <v>19</v>
      </c>
    </row>
    <row r="6641" spans="1:15" x14ac:dyDescent="0.25">
      <c r="A6641" t="s">
        <v>4806</v>
      </c>
      <c r="B6641" t="s">
        <v>15</v>
      </c>
      <c r="C6641" t="s">
        <v>1607</v>
      </c>
      <c r="D6641" t="s">
        <v>17</v>
      </c>
      <c r="E6641" t="s">
        <v>18</v>
      </c>
      <c r="F6641" t="s">
        <v>19</v>
      </c>
      <c r="G6641" t="s">
        <v>20</v>
      </c>
      <c r="J6641" t="s">
        <v>17</v>
      </c>
      <c r="K6641" t="str">
        <f>"764914266"</f>
        <v>764914266</v>
      </c>
      <c r="L6641" t="str">
        <f>"764914266"</f>
        <v>764914266</v>
      </c>
      <c r="M6641" t="s">
        <v>75</v>
      </c>
      <c r="N6641" s="1">
        <v>42872.849305555559</v>
      </c>
      <c r="O6641" t="s">
        <v>19</v>
      </c>
    </row>
    <row r="6642" spans="1:15" x14ac:dyDescent="0.25">
      <c r="A6642" t="s">
        <v>4806</v>
      </c>
      <c r="B6642" t="s">
        <v>15</v>
      </c>
      <c r="C6642" t="s">
        <v>1607</v>
      </c>
      <c r="D6642" t="s">
        <v>17</v>
      </c>
      <c r="E6642" t="s">
        <v>18</v>
      </c>
      <c r="F6642" t="s">
        <v>19</v>
      </c>
      <c r="G6642" t="s">
        <v>20</v>
      </c>
      <c r="J6642" t="s">
        <v>17</v>
      </c>
      <c r="K6642" t="str">
        <f>"766814266"</f>
        <v>766814266</v>
      </c>
      <c r="L6642" t="str">
        <f>"766814266"</f>
        <v>766814266</v>
      </c>
      <c r="M6642" t="s">
        <v>75</v>
      </c>
      <c r="N6642" s="1">
        <v>42872.849305555559</v>
      </c>
      <c r="O6642" t="s">
        <v>19</v>
      </c>
    </row>
    <row r="6643" spans="1:15" x14ac:dyDescent="0.25">
      <c r="A6643" t="s">
        <v>4806</v>
      </c>
      <c r="B6643" t="s">
        <v>15</v>
      </c>
      <c r="C6643" t="s">
        <v>1607</v>
      </c>
      <c r="D6643" t="s">
        <v>17</v>
      </c>
      <c r="E6643" t="s">
        <v>18</v>
      </c>
      <c r="F6643" t="s">
        <v>19</v>
      </c>
      <c r="G6643" t="s">
        <v>20</v>
      </c>
      <c r="J6643" t="s">
        <v>17</v>
      </c>
      <c r="K6643" t="str">
        <f>"764614266"</f>
        <v>764614266</v>
      </c>
      <c r="L6643" t="str">
        <f>"764614266"</f>
        <v>764614266</v>
      </c>
      <c r="M6643" t="s">
        <v>84</v>
      </c>
      <c r="N6643" s="1">
        <v>43258.700694444444</v>
      </c>
      <c r="O6643" t="s">
        <v>19</v>
      </c>
    </row>
    <row r="6644" spans="1:15" x14ac:dyDescent="0.25">
      <c r="A6644" t="s">
        <v>4806</v>
      </c>
      <c r="B6644" t="s">
        <v>15</v>
      </c>
      <c r="C6644" t="s">
        <v>1607</v>
      </c>
      <c r="D6644" t="s">
        <v>17</v>
      </c>
      <c r="E6644" t="s">
        <v>18</v>
      </c>
      <c r="F6644" t="s">
        <v>19</v>
      </c>
      <c r="G6644" t="s">
        <v>20</v>
      </c>
      <c r="J6644" t="s">
        <v>17</v>
      </c>
      <c r="K6644" t="str">
        <f>"866814266"</f>
        <v>866814266</v>
      </c>
      <c r="L6644" t="str">
        <f>"866814266"</f>
        <v>866814266</v>
      </c>
      <c r="M6644" t="s">
        <v>84</v>
      </c>
      <c r="N6644" s="1">
        <v>43314.931944444441</v>
      </c>
      <c r="O6644" t="s">
        <v>19</v>
      </c>
    </row>
    <row r="6645" spans="1:15" x14ac:dyDescent="0.25">
      <c r="A6645" t="s">
        <v>4807</v>
      </c>
      <c r="B6645" t="s">
        <v>15</v>
      </c>
      <c r="C6645" t="s">
        <v>1607</v>
      </c>
      <c r="D6645" t="s">
        <v>17</v>
      </c>
      <c r="E6645" t="s">
        <v>18</v>
      </c>
      <c r="F6645" t="s">
        <v>19</v>
      </c>
      <c r="G6645" t="s">
        <v>20</v>
      </c>
      <c r="J6645" t="s">
        <v>17</v>
      </c>
      <c r="K6645" t="str">
        <f>"764914129"</f>
        <v>764914129</v>
      </c>
      <c r="L6645" t="str">
        <f>"764914129"</f>
        <v>764914129</v>
      </c>
      <c r="M6645" t="s">
        <v>75</v>
      </c>
      <c r="N6645" s="1">
        <v>43244.976388888892</v>
      </c>
      <c r="O6645" t="s">
        <v>19</v>
      </c>
    </row>
    <row r="6646" spans="1:15" x14ac:dyDescent="0.25">
      <c r="A6646" t="s">
        <v>4808</v>
      </c>
      <c r="B6646" t="s">
        <v>15</v>
      </c>
      <c r="C6646" t="s">
        <v>1607</v>
      </c>
      <c r="D6646" t="s">
        <v>17</v>
      </c>
      <c r="E6646" t="s">
        <v>18</v>
      </c>
      <c r="F6646" t="s">
        <v>19</v>
      </c>
      <c r="G6646" t="s">
        <v>20</v>
      </c>
      <c r="J6646" t="s">
        <v>17</v>
      </c>
      <c r="K6646" t="str">
        <f>"344914127"</f>
        <v>344914127</v>
      </c>
      <c r="L6646" t="str">
        <f>"344914127"</f>
        <v>344914127</v>
      </c>
      <c r="M6646" t="s">
        <v>75</v>
      </c>
      <c r="N6646" s="1">
        <v>42872.849305555559</v>
      </c>
      <c r="O6646" t="s">
        <v>19</v>
      </c>
    </row>
    <row r="6647" spans="1:15" x14ac:dyDescent="0.25">
      <c r="A6647" t="s">
        <v>4808</v>
      </c>
      <c r="B6647" t="s">
        <v>15</v>
      </c>
      <c r="C6647" t="s">
        <v>1607</v>
      </c>
      <c r="D6647" t="s">
        <v>17</v>
      </c>
      <c r="E6647" t="s">
        <v>18</v>
      </c>
      <c r="F6647" t="s">
        <v>19</v>
      </c>
      <c r="G6647" t="s">
        <v>20</v>
      </c>
      <c r="J6647" t="s">
        <v>17</v>
      </c>
      <c r="K6647" t="str">
        <f>"764614177"</f>
        <v>764614177</v>
      </c>
      <c r="L6647" t="str">
        <f>"764614177"</f>
        <v>764614177</v>
      </c>
      <c r="M6647" t="s">
        <v>75</v>
      </c>
      <c r="N6647" s="1">
        <v>42872.849305555559</v>
      </c>
      <c r="O6647" t="s">
        <v>19</v>
      </c>
    </row>
    <row r="6648" spans="1:15" x14ac:dyDescent="0.25">
      <c r="A6648" t="s">
        <v>4808</v>
      </c>
      <c r="B6648" t="s">
        <v>15</v>
      </c>
      <c r="C6648" t="s">
        <v>1607</v>
      </c>
      <c r="D6648" t="s">
        <v>17</v>
      </c>
      <c r="E6648" t="s">
        <v>18</v>
      </c>
      <c r="F6648" t="s">
        <v>19</v>
      </c>
      <c r="G6648" t="s">
        <v>20</v>
      </c>
      <c r="J6648" t="s">
        <v>17</v>
      </c>
      <c r="K6648" t="str">
        <f>"766814127"</f>
        <v>766814127</v>
      </c>
      <c r="L6648" t="str">
        <f>"766814127"</f>
        <v>766814127</v>
      </c>
      <c r="M6648" t="s">
        <v>75</v>
      </c>
      <c r="N6648" s="1">
        <v>42872.849305555559</v>
      </c>
      <c r="O6648" t="s">
        <v>19</v>
      </c>
    </row>
    <row r="6649" spans="1:15" x14ac:dyDescent="0.25">
      <c r="A6649" t="s">
        <v>4808</v>
      </c>
      <c r="B6649" t="s">
        <v>15</v>
      </c>
      <c r="C6649" t="s">
        <v>1607</v>
      </c>
      <c r="D6649" t="s">
        <v>17</v>
      </c>
      <c r="E6649" t="s">
        <v>18</v>
      </c>
      <c r="F6649" t="s">
        <v>19</v>
      </c>
      <c r="G6649" t="s">
        <v>20</v>
      </c>
      <c r="J6649" t="s">
        <v>17</v>
      </c>
      <c r="K6649" t="str">
        <f>"346814127"</f>
        <v>346814127</v>
      </c>
      <c r="L6649" t="str">
        <f>"346814127"</f>
        <v>346814127</v>
      </c>
      <c r="M6649" t="s">
        <v>75</v>
      </c>
      <c r="N6649" s="1">
        <v>43083.90902777778</v>
      </c>
      <c r="O6649" t="s">
        <v>19</v>
      </c>
    </row>
    <row r="6650" spans="1:15" x14ac:dyDescent="0.25">
      <c r="A6650" t="s">
        <v>4809</v>
      </c>
      <c r="B6650" t="s">
        <v>15</v>
      </c>
      <c r="C6650" t="s">
        <v>1607</v>
      </c>
      <c r="D6650" t="s">
        <v>17</v>
      </c>
      <c r="E6650" t="s">
        <v>18</v>
      </c>
      <c r="F6650" t="s">
        <v>19</v>
      </c>
      <c r="G6650" t="s">
        <v>20</v>
      </c>
      <c r="J6650" t="s">
        <v>17</v>
      </c>
      <c r="K6650" t="str">
        <f>"766814218"</f>
        <v>766814218</v>
      </c>
      <c r="L6650" t="str">
        <f>"766814218"</f>
        <v>766814218</v>
      </c>
      <c r="M6650" t="s">
        <v>75</v>
      </c>
      <c r="N6650" s="1">
        <v>43005.777083333334</v>
      </c>
      <c r="O6650" t="s">
        <v>19</v>
      </c>
    </row>
    <row r="6651" spans="1:15" x14ac:dyDescent="0.25">
      <c r="A6651" t="s">
        <v>4809</v>
      </c>
      <c r="B6651" t="s">
        <v>15</v>
      </c>
      <c r="C6651" t="s">
        <v>1607</v>
      </c>
      <c r="D6651" t="s">
        <v>17</v>
      </c>
      <c r="E6651" t="s">
        <v>18</v>
      </c>
      <c r="F6651" t="s">
        <v>19</v>
      </c>
      <c r="G6651" t="s">
        <v>20</v>
      </c>
      <c r="J6651" t="s">
        <v>17</v>
      </c>
      <c r="K6651" t="str">
        <f>"414914218"</f>
        <v>414914218</v>
      </c>
      <c r="L6651" t="str">
        <f>"414914218"</f>
        <v>414914218</v>
      </c>
      <c r="M6651" t="s">
        <v>75</v>
      </c>
      <c r="N6651" s="1">
        <v>43131.830555555556</v>
      </c>
      <c r="O6651" t="s">
        <v>19</v>
      </c>
    </row>
    <row r="6652" spans="1:15" x14ac:dyDescent="0.25">
      <c r="A6652" t="s">
        <v>4810</v>
      </c>
      <c r="B6652" t="s">
        <v>15</v>
      </c>
      <c r="C6652" t="s">
        <v>1607</v>
      </c>
      <c r="D6652" t="s">
        <v>17</v>
      </c>
      <c r="E6652" t="s">
        <v>18</v>
      </c>
      <c r="F6652" t="s">
        <v>19</v>
      </c>
      <c r="G6652" t="s">
        <v>20</v>
      </c>
      <c r="J6652" t="s">
        <v>17</v>
      </c>
      <c r="K6652" t="str">
        <f>"764914261"</f>
        <v>764914261</v>
      </c>
      <c r="L6652" t="str">
        <f>"764914261"</f>
        <v>764914261</v>
      </c>
      <c r="M6652" t="s">
        <v>84</v>
      </c>
      <c r="N6652" s="1">
        <v>43370.69027777778</v>
      </c>
      <c r="O6652" t="s">
        <v>19</v>
      </c>
    </row>
    <row r="6653" spans="1:15" x14ac:dyDescent="0.25">
      <c r="A6653" t="s">
        <v>4810</v>
      </c>
      <c r="B6653" t="s">
        <v>15</v>
      </c>
      <c r="C6653" t="s">
        <v>1607</v>
      </c>
      <c r="D6653" t="s">
        <v>17</v>
      </c>
      <c r="E6653" t="s">
        <v>18</v>
      </c>
      <c r="F6653" t="s">
        <v>19</v>
      </c>
      <c r="G6653" t="s">
        <v>20</v>
      </c>
      <c r="J6653" t="s">
        <v>17</v>
      </c>
      <c r="K6653" t="str">
        <f>"614714261"</f>
        <v>614714261</v>
      </c>
      <c r="L6653" t="str">
        <f>"614714261"</f>
        <v>614714261</v>
      </c>
      <c r="M6653" t="s">
        <v>84</v>
      </c>
      <c r="N6653" s="1">
        <v>43420.700694444444</v>
      </c>
      <c r="O6653" t="s">
        <v>19</v>
      </c>
    </row>
    <row r="6654" spans="1:15" x14ac:dyDescent="0.25">
      <c r="A6654" t="s">
        <v>4811</v>
      </c>
      <c r="B6654" t="s">
        <v>15</v>
      </c>
      <c r="C6654" t="s">
        <v>1607</v>
      </c>
      <c r="D6654" t="s">
        <v>17</v>
      </c>
      <c r="E6654" t="s">
        <v>18</v>
      </c>
      <c r="F6654" t="s">
        <v>19</v>
      </c>
      <c r="G6654" t="s">
        <v>20</v>
      </c>
      <c r="J6654" t="s">
        <v>17</v>
      </c>
      <c r="K6654" t="str">
        <f>"766814208"</f>
        <v>766814208</v>
      </c>
      <c r="L6654" t="str">
        <f>"766814208"</f>
        <v>766814208</v>
      </c>
      <c r="M6654" t="s">
        <v>75</v>
      </c>
      <c r="N6654" s="1">
        <v>43112.770138888889</v>
      </c>
      <c r="O6654" t="s">
        <v>19</v>
      </c>
    </row>
    <row r="6655" spans="1:15" x14ac:dyDescent="0.25">
      <c r="A6655" t="s">
        <v>4811</v>
      </c>
      <c r="B6655" t="s">
        <v>15</v>
      </c>
      <c r="C6655" t="s">
        <v>1607</v>
      </c>
      <c r="D6655" t="s">
        <v>17</v>
      </c>
      <c r="E6655" t="s">
        <v>18</v>
      </c>
      <c r="F6655" t="s">
        <v>19</v>
      </c>
      <c r="G6655" t="s">
        <v>20</v>
      </c>
      <c r="J6655" t="s">
        <v>17</v>
      </c>
      <c r="K6655" t="str">
        <f>"764914138"</f>
        <v>764914138</v>
      </c>
      <c r="L6655" t="str">
        <f>"764914138"</f>
        <v>764914138</v>
      </c>
      <c r="M6655" t="s">
        <v>75</v>
      </c>
      <c r="N6655" s="1">
        <v>43147.875</v>
      </c>
      <c r="O6655" t="s">
        <v>19</v>
      </c>
    </row>
    <row r="6656" spans="1:15" x14ac:dyDescent="0.25">
      <c r="A6656" t="s">
        <v>4812</v>
      </c>
      <c r="B6656" t="s">
        <v>15</v>
      </c>
      <c r="C6656" t="s">
        <v>1607</v>
      </c>
      <c r="D6656" t="s">
        <v>17</v>
      </c>
      <c r="E6656" t="s">
        <v>18</v>
      </c>
      <c r="F6656" t="s">
        <v>19</v>
      </c>
      <c r="G6656" t="s">
        <v>20</v>
      </c>
      <c r="J6656" t="s">
        <v>17</v>
      </c>
      <c r="K6656" t="str">
        <f>"346814260"</f>
        <v>346814260</v>
      </c>
      <c r="L6656" t="str">
        <f>"346814260"</f>
        <v>346814260</v>
      </c>
      <c r="M6656" t="s">
        <v>84</v>
      </c>
      <c r="N6656" s="1">
        <v>43409.918749999997</v>
      </c>
      <c r="O6656" t="s">
        <v>19</v>
      </c>
    </row>
    <row r="6657" spans="1:15" x14ac:dyDescent="0.25">
      <c r="A6657" t="s">
        <v>4813</v>
      </c>
      <c r="B6657" t="s">
        <v>15</v>
      </c>
      <c r="C6657" t="s">
        <v>1607</v>
      </c>
      <c r="D6657" t="s">
        <v>17</v>
      </c>
      <c r="E6657" t="s">
        <v>18</v>
      </c>
      <c r="F6657" t="s">
        <v>19</v>
      </c>
      <c r="G6657" t="s">
        <v>20</v>
      </c>
      <c r="J6657" t="s">
        <v>17</v>
      </c>
      <c r="K6657" t="str">
        <f>"10086111812"</f>
        <v>10086111812</v>
      </c>
      <c r="L6657" t="str">
        <f>"344910269"</f>
        <v>344910269</v>
      </c>
      <c r="M6657" t="s">
        <v>84</v>
      </c>
      <c r="N6657" s="1">
        <v>43545.877083333333</v>
      </c>
      <c r="O6657" t="s">
        <v>19</v>
      </c>
    </row>
    <row r="6658" spans="1:15" x14ac:dyDescent="0.25">
      <c r="A6658" t="s">
        <v>4813</v>
      </c>
      <c r="B6658" t="s">
        <v>15</v>
      </c>
      <c r="C6658" t="s">
        <v>1607</v>
      </c>
      <c r="D6658" t="s">
        <v>17</v>
      </c>
      <c r="E6658" t="s">
        <v>18</v>
      </c>
      <c r="F6658" t="s">
        <v>19</v>
      </c>
      <c r="G6658" t="s">
        <v>20</v>
      </c>
      <c r="J6658" t="s">
        <v>17</v>
      </c>
      <c r="K6658" t="str">
        <f>"764914269"</f>
        <v>764914269</v>
      </c>
      <c r="L6658" t="str">
        <f>"764914269"</f>
        <v>764914269</v>
      </c>
      <c r="M6658" t="s">
        <v>21</v>
      </c>
      <c r="N6658" s="1">
        <v>43588.674305555556</v>
      </c>
      <c r="O6658" t="s">
        <v>19</v>
      </c>
    </row>
    <row r="6659" spans="1:15" x14ac:dyDescent="0.25">
      <c r="A6659" t="s">
        <v>4814</v>
      </c>
      <c r="B6659" t="s">
        <v>15</v>
      </c>
      <c r="C6659" t="s">
        <v>1607</v>
      </c>
      <c r="D6659" t="s">
        <v>17</v>
      </c>
      <c r="E6659" t="s">
        <v>18</v>
      </c>
      <c r="F6659" t="s">
        <v>19</v>
      </c>
      <c r="G6659" t="s">
        <v>20</v>
      </c>
      <c r="J6659" t="s">
        <v>17</v>
      </c>
      <c r="K6659" t="str">
        <f>"10086111814"</f>
        <v>10086111814</v>
      </c>
      <c r="L6659" t="str">
        <f>"344910270"</f>
        <v>344910270</v>
      </c>
      <c r="M6659" t="s">
        <v>84</v>
      </c>
      <c r="N6659" s="1">
        <v>43545.87777777778</v>
      </c>
      <c r="O6659" t="s">
        <v>19</v>
      </c>
    </row>
    <row r="6660" spans="1:15" x14ac:dyDescent="0.25">
      <c r="A6660" t="s">
        <v>4815</v>
      </c>
      <c r="B6660" t="s">
        <v>15</v>
      </c>
      <c r="C6660" t="s">
        <v>1607</v>
      </c>
      <c r="D6660" t="s">
        <v>17</v>
      </c>
      <c r="E6660" t="s">
        <v>18</v>
      </c>
      <c r="F6660" t="s">
        <v>19</v>
      </c>
      <c r="G6660" t="s">
        <v>20</v>
      </c>
      <c r="J6660" t="s">
        <v>17</v>
      </c>
      <c r="K6660" t="str">
        <f>"764914273"</f>
        <v>764914273</v>
      </c>
      <c r="L6660" t="str">
        <f>"764914273"</f>
        <v>764914273</v>
      </c>
      <c r="M6660" t="s">
        <v>21</v>
      </c>
      <c r="N6660" s="1">
        <v>43588.675000000003</v>
      </c>
      <c r="O6660" t="s">
        <v>19</v>
      </c>
    </row>
    <row r="6661" spans="1:15" x14ac:dyDescent="0.25">
      <c r="A6661" t="s">
        <v>4816</v>
      </c>
      <c r="B6661" t="s">
        <v>15</v>
      </c>
      <c r="C6661" t="s">
        <v>1607</v>
      </c>
      <c r="D6661" t="s">
        <v>17</v>
      </c>
      <c r="E6661" t="s">
        <v>18</v>
      </c>
      <c r="F6661" t="s">
        <v>19</v>
      </c>
      <c r="G6661" t="s">
        <v>20</v>
      </c>
      <c r="J6661" t="s">
        <v>17</v>
      </c>
      <c r="K6661" t="str">
        <f>"110565657"</f>
        <v>110565657</v>
      </c>
      <c r="L6661" t="str">
        <f>"110565657"</f>
        <v>110565657</v>
      </c>
      <c r="M6661" t="s">
        <v>75</v>
      </c>
      <c r="N6661" s="1">
        <v>42872.847222222219</v>
      </c>
      <c r="O6661" t="s">
        <v>19</v>
      </c>
    </row>
    <row r="6662" spans="1:15" x14ac:dyDescent="0.25">
      <c r="A6662" t="s">
        <v>4817</v>
      </c>
      <c r="B6662" t="s">
        <v>15</v>
      </c>
      <c r="C6662" t="s">
        <v>27</v>
      </c>
      <c r="D6662" t="s">
        <v>17</v>
      </c>
      <c r="E6662" t="s">
        <v>18</v>
      </c>
      <c r="F6662" t="s">
        <v>19</v>
      </c>
      <c r="G6662" t="s">
        <v>20</v>
      </c>
      <c r="J6662" t="s">
        <v>17</v>
      </c>
      <c r="K6662" t="str">
        <f>"110565627"</f>
        <v>110565627</v>
      </c>
      <c r="L6662" t="str">
        <f>"110565627"</f>
        <v>110565627</v>
      </c>
      <c r="M6662" t="s">
        <v>75</v>
      </c>
      <c r="N6662" s="1">
        <v>42872.847222222219</v>
      </c>
      <c r="O6662" t="s">
        <v>19</v>
      </c>
    </row>
    <row r="6663" spans="1:15" x14ac:dyDescent="0.25">
      <c r="A6663" t="s">
        <v>4818</v>
      </c>
      <c r="B6663" t="s">
        <v>15</v>
      </c>
      <c r="C6663" t="s">
        <v>1607</v>
      </c>
      <c r="D6663" t="s">
        <v>17</v>
      </c>
      <c r="E6663" t="s">
        <v>18</v>
      </c>
      <c r="F6663" t="s">
        <v>19</v>
      </c>
      <c r="G6663" t="s">
        <v>20</v>
      </c>
      <c r="J6663" t="s">
        <v>17</v>
      </c>
      <c r="K6663" t="str">
        <f>"34681486"</f>
        <v>34681486</v>
      </c>
      <c r="L6663" t="str">
        <f>"34681486"</f>
        <v>34681486</v>
      </c>
      <c r="M6663" t="s">
        <v>75</v>
      </c>
      <c r="N6663" s="1">
        <v>42872.839583333334</v>
      </c>
      <c r="O6663" t="s">
        <v>19</v>
      </c>
    </row>
    <row r="6664" spans="1:15" x14ac:dyDescent="0.25">
      <c r="A6664" t="s">
        <v>4818</v>
      </c>
      <c r="B6664" t="s">
        <v>15</v>
      </c>
      <c r="C6664" t="s">
        <v>1607</v>
      </c>
      <c r="D6664" t="s">
        <v>17</v>
      </c>
      <c r="E6664" t="s">
        <v>18</v>
      </c>
      <c r="F6664" t="s">
        <v>19</v>
      </c>
      <c r="G6664" t="s">
        <v>20</v>
      </c>
      <c r="J6664" t="s">
        <v>17</v>
      </c>
      <c r="K6664" t="str">
        <f>"76491486"</f>
        <v>76491486</v>
      </c>
      <c r="L6664" t="str">
        <f>"76491486"</f>
        <v>76491486</v>
      </c>
      <c r="M6664" t="s">
        <v>75</v>
      </c>
      <c r="N6664" s="1">
        <v>42872.847222222219</v>
      </c>
      <c r="O6664" t="s">
        <v>19</v>
      </c>
    </row>
    <row r="6665" spans="1:15" x14ac:dyDescent="0.25">
      <c r="A6665" t="s">
        <v>4818</v>
      </c>
      <c r="B6665" t="s">
        <v>15</v>
      </c>
      <c r="C6665" t="s">
        <v>1607</v>
      </c>
      <c r="D6665" t="s">
        <v>17</v>
      </c>
      <c r="E6665" t="s">
        <v>18</v>
      </c>
      <c r="F6665" t="s">
        <v>19</v>
      </c>
      <c r="G6665" t="s">
        <v>20</v>
      </c>
      <c r="J6665" t="s">
        <v>17</v>
      </c>
      <c r="K6665" t="str">
        <f>"76681486"</f>
        <v>76681486</v>
      </c>
      <c r="L6665" t="str">
        <f>"76681486"</f>
        <v>76681486</v>
      </c>
      <c r="M6665" t="s">
        <v>75</v>
      </c>
      <c r="N6665" s="1">
        <v>42872.847222222219</v>
      </c>
      <c r="O6665" t="s">
        <v>19</v>
      </c>
    </row>
    <row r="6666" spans="1:15" x14ac:dyDescent="0.25">
      <c r="A6666" t="s">
        <v>4819</v>
      </c>
      <c r="B6666" t="s">
        <v>15</v>
      </c>
      <c r="C6666" t="s">
        <v>1607</v>
      </c>
      <c r="D6666" t="s">
        <v>17</v>
      </c>
      <c r="E6666" t="s">
        <v>18</v>
      </c>
      <c r="F6666" t="s">
        <v>19</v>
      </c>
      <c r="G6666" t="s">
        <v>20</v>
      </c>
      <c r="J6666" t="s">
        <v>17</v>
      </c>
      <c r="K6666" t="str">
        <f>"34471454"</f>
        <v>34471454</v>
      </c>
      <c r="L6666" t="str">
        <f>"34471454"</f>
        <v>34471454</v>
      </c>
      <c r="M6666" t="s">
        <v>75</v>
      </c>
      <c r="N6666" s="1">
        <v>42872.839583333334</v>
      </c>
      <c r="O6666" t="s">
        <v>19</v>
      </c>
    </row>
    <row r="6667" spans="1:15" x14ac:dyDescent="0.25">
      <c r="A6667" t="s">
        <v>4819</v>
      </c>
      <c r="B6667" t="s">
        <v>15</v>
      </c>
      <c r="C6667" t="s">
        <v>1607</v>
      </c>
      <c r="D6667" t="s">
        <v>17</v>
      </c>
      <c r="E6667" t="s">
        <v>18</v>
      </c>
      <c r="F6667" t="s">
        <v>19</v>
      </c>
      <c r="G6667" t="s">
        <v>20</v>
      </c>
      <c r="J6667" t="s">
        <v>17</v>
      </c>
      <c r="K6667" t="str">
        <f>"34681454"</f>
        <v>34681454</v>
      </c>
      <c r="L6667" t="str">
        <f>"34681454"</f>
        <v>34681454</v>
      </c>
      <c r="M6667" t="s">
        <v>75</v>
      </c>
      <c r="N6667" s="1">
        <v>42872.839583333334</v>
      </c>
      <c r="O6667" t="s">
        <v>19</v>
      </c>
    </row>
    <row r="6668" spans="1:15" x14ac:dyDescent="0.25">
      <c r="A6668" t="s">
        <v>4820</v>
      </c>
      <c r="B6668" t="s">
        <v>15</v>
      </c>
      <c r="C6668" t="s">
        <v>1607</v>
      </c>
      <c r="D6668" t="s">
        <v>17</v>
      </c>
      <c r="E6668" t="s">
        <v>18</v>
      </c>
      <c r="F6668" t="s">
        <v>19</v>
      </c>
      <c r="G6668" t="s">
        <v>20</v>
      </c>
      <c r="J6668" t="s">
        <v>17</v>
      </c>
      <c r="K6668" t="str">
        <f>"764614178"</f>
        <v>764614178</v>
      </c>
      <c r="L6668" t="str">
        <f>"764614178"</f>
        <v>764614178</v>
      </c>
      <c r="M6668" t="s">
        <v>75</v>
      </c>
      <c r="N6668" s="1">
        <v>42872.849305555559</v>
      </c>
      <c r="O6668" t="s">
        <v>19</v>
      </c>
    </row>
    <row r="6669" spans="1:15" x14ac:dyDescent="0.25">
      <c r="A6669" t="s">
        <v>4820</v>
      </c>
      <c r="B6669" t="s">
        <v>15</v>
      </c>
      <c r="C6669" t="s">
        <v>1607</v>
      </c>
      <c r="D6669" t="s">
        <v>17</v>
      </c>
      <c r="E6669" t="s">
        <v>18</v>
      </c>
      <c r="F6669" t="s">
        <v>19</v>
      </c>
      <c r="G6669" t="s">
        <v>20</v>
      </c>
      <c r="J6669" t="s">
        <v>17</v>
      </c>
      <c r="K6669" t="str">
        <f>"766814178"</f>
        <v>766814178</v>
      </c>
      <c r="L6669" t="str">
        <f>"766814178"</f>
        <v>766814178</v>
      </c>
      <c r="M6669" t="s">
        <v>75</v>
      </c>
      <c r="N6669" s="1">
        <v>42872.849305555559</v>
      </c>
      <c r="O6669" t="s">
        <v>19</v>
      </c>
    </row>
    <row r="6670" spans="1:15" x14ac:dyDescent="0.25">
      <c r="A6670" t="s">
        <v>4820</v>
      </c>
      <c r="B6670" t="s">
        <v>15</v>
      </c>
      <c r="C6670" t="s">
        <v>1607</v>
      </c>
      <c r="D6670" t="s">
        <v>17</v>
      </c>
      <c r="E6670" t="s">
        <v>18</v>
      </c>
      <c r="F6670" t="s">
        <v>19</v>
      </c>
      <c r="G6670" t="s">
        <v>20</v>
      </c>
      <c r="J6670" t="s">
        <v>17</v>
      </c>
      <c r="K6670" t="str">
        <f>"764914178"</f>
        <v>764914178</v>
      </c>
      <c r="L6670" t="str">
        <f>"764914178"</f>
        <v>764914178</v>
      </c>
      <c r="M6670" t="s">
        <v>75</v>
      </c>
      <c r="N6670" s="1">
        <v>43164.591666666667</v>
      </c>
      <c r="O6670" t="s">
        <v>19</v>
      </c>
    </row>
    <row r="6671" spans="1:15" x14ac:dyDescent="0.25">
      <c r="A6671" t="s">
        <v>4820</v>
      </c>
      <c r="B6671" t="s">
        <v>15</v>
      </c>
      <c r="C6671" t="s">
        <v>1607</v>
      </c>
      <c r="D6671" t="s">
        <v>17</v>
      </c>
      <c r="E6671" t="s">
        <v>18</v>
      </c>
      <c r="F6671" t="s">
        <v>19</v>
      </c>
      <c r="G6671" t="s">
        <v>20</v>
      </c>
      <c r="J6671" t="s">
        <v>17</v>
      </c>
      <c r="K6671" t="str">
        <f>"614914178"</f>
        <v>614914178</v>
      </c>
      <c r="L6671" t="str">
        <f>"614914178"</f>
        <v>614914178</v>
      </c>
      <c r="M6671" t="s">
        <v>84</v>
      </c>
      <c r="N6671" s="1">
        <v>43420.700694444444</v>
      </c>
      <c r="O6671" t="s">
        <v>19</v>
      </c>
    </row>
    <row r="6672" spans="1:15" x14ac:dyDescent="0.25">
      <c r="A6672" t="s">
        <v>4821</v>
      </c>
      <c r="B6672" t="s">
        <v>15</v>
      </c>
      <c r="C6672" t="s">
        <v>1607</v>
      </c>
      <c r="D6672" t="s">
        <v>17</v>
      </c>
      <c r="E6672" t="s">
        <v>18</v>
      </c>
      <c r="F6672" t="s">
        <v>19</v>
      </c>
      <c r="G6672" t="s">
        <v>20</v>
      </c>
      <c r="J6672" t="s">
        <v>17</v>
      </c>
      <c r="K6672" t="str">
        <f>"764614191"</f>
        <v>764614191</v>
      </c>
      <c r="L6672" t="str">
        <f>"764614191"</f>
        <v>764614191</v>
      </c>
      <c r="M6672" t="s">
        <v>75</v>
      </c>
      <c r="N6672" s="1">
        <v>42872.849305555559</v>
      </c>
      <c r="O6672" t="s">
        <v>19</v>
      </c>
    </row>
    <row r="6673" spans="1:15" x14ac:dyDescent="0.25">
      <c r="A6673" t="s">
        <v>4821</v>
      </c>
      <c r="B6673" t="s">
        <v>15</v>
      </c>
      <c r="C6673" t="s">
        <v>1607</v>
      </c>
      <c r="D6673" t="s">
        <v>17</v>
      </c>
      <c r="E6673" t="s">
        <v>18</v>
      </c>
      <c r="F6673" t="s">
        <v>19</v>
      </c>
      <c r="G6673" t="s">
        <v>20</v>
      </c>
      <c r="J6673" t="s">
        <v>17</v>
      </c>
      <c r="K6673" t="str">
        <f>"766814191"</f>
        <v>766814191</v>
      </c>
      <c r="L6673" t="str">
        <f>"766814191"</f>
        <v>766814191</v>
      </c>
      <c r="M6673" t="s">
        <v>75</v>
      </c>
      <c r="N6673" s="1">
        <v>43196.59097222222</v>
      </c>
      <c r="O6673" t="s">
        <v>19</v>
      </c>
    </row>
    <row r="6674" spans="1:15" x14ac:dyDescent="0.25">
      <c r="A6674" t="s">
        <v>4822</v>
      </c>
      <c r="B6674" t="s">
        <v>15</v>
      </c>
      <c r="C6674" t="s">
        <v>1607</v>
      </c>
      <c r="D6674" t="s">
        <v>17</v>
      </c>
      <c r="E6674" t="s">
        <v>18</v>
      </c>
      <c r="F6674" t="s">
        <v>19</v>
      </c>
      <c r="G6674" t="s">
        <v>20</v>
      </c>
      <c r="J6674" t="s">
        <v>17</v>
      </c>
      <c r="K6674" t="str">
        <f>"766814200"</f>
        <v>766814200</v>
      </c>
      <c r="L6674" t="str">
        <f>"766814200"</f>
        <v>766814200</v>
      </c>
      <c r="M6674" t="s">
        <v>75</v>
      </c>
      <c r="N6674" s="1">
        <v>42872.849305555559</v>
      </c>
      <c r="O6674" t="s">
        <v>19</v>
      </c>
    </row>
    <row r="6675" spans="1:15" x14ac:dyDescent="0.25">
      <c r="A6675" t="s">
        <v>4822</v>
      </c>
      <c r="B6675" t="s">
        <v>15</v>
      </c>
      <c r="C6675" t="s">
        <v>1607</v>
      </c>
      <c r="D6675" t="s">
        <v>17</v>
      </c>
      <c r="E6675" t="s">
        <v>18</v>
      </c>
      <c r="F6675" t="s">
        <v>19</v>
      </c>
      <c r="G6675" t="s">
        <v>20</v>
      </c>
      <c r="J6675" t="s">
        <v>17</v>
      </c>
      <c r="K6675" t="str">
        <f>"346814200"</f>
        <v>346814200</v>
      </c>
      <c r="L6675" t="str">
        <f>"346814200"</f>
        <v>346814200</v>
      </c>
      <c r="M6675" t="s">
        <v>75</v>
      </c>
      <c r="N6675" s="1">
        <v>43083.907638888886</v>
      </c>
      <c r="O6675" t="s">
        <v>19</v>
      </c>
    </row>
    <row r="6676" spans="1:15" x14ac:dyDescent="0.25">
      <c r="A6676" t="s">
        <v>4822</v>
      </c>
      <c r="B6676" t="s">
        <v>15</v>
      </c>
      <c r="C6676" t="s">
        <v>1607</v>
      </c>
      <c r="D6676" t="s">
        <v>17</v>
      </c>
      <c r="E6676" t="s">
        <v>18</v>
      </c>
      <c r="F6676" t="s">
        <v>19</v>
      </c>
      <c r="G6676" t="s">
        <v>20</v>
      </c>
      <c r="J6676" t="s">
        <v>17</v>
      </c>
      <c r="K6676" t="str">
        <f>"414914200"</f>
        <v>414914200</v>
      </c>
      <c r="L6676" t="str">
        <f>"414914200"</f>
        <v>414914200</v>
      </c>
      <c r="M6676" t="s">
        <v>84</v>
      </c>
      <c r="N6676" s="1">
        <v>43335.930555555555</v>
      </c>
      <c r="O6676" t="s">
        <v>19</v>
      </c>
    </row>
    <row r="6677" spans="1:15" x14ac:dyDescent="0.25">
      <c r="A6677" t="s">
        <v>4822</v>
      </c>
      <c r="B6677" t="s">
        <v>15</v>
      </c>
      <c r="C6677" t="s">
        <v>1607</v>
      </c>
      <c r="D6677" t="s">
        <v>17</v>
      </c>
      <c r="E6677" t="s">
        <v>18</v>
      </c>
      <c r="F6677" t="s">
        <v>19</v>
      </c>
      <c r="G6677" t="s">
        <v>20</v>
      </c>
      <c r="J6677" t="s">
        <v>17</v>
      </c>
      <c r="K6677" t="str">
        <f>"614914200"</f>
        <v>614914200</v>
      </c>
      <c r="L6677" t="str">
        <f>"614914200"</f>
        <v>614914200</v>
      </c>
      <c r="M6677" t="s">
        <v>84</v>
      </c>
      <c r="N6677" s="1">
        <v>43420.700694444444</v>
      </c>
      <c r="O6677" t="s">
        <v>19</v>
      </c>
    </row>
    <row r="6678" spans="1:15" x14ac:dyDescent="0.25">
      <c r="A6678" t="s">
        <v>4822</v>
      </c>
      <c r="B6678" t="s">
        <v>15</v>
      </c>
      <c r="C6678" t="s">
        <v>1607</v>
      </c>
      <c r="D6678" t="s">
        <v>17</v>
      </c>
      <c r="E6678" t="s">
        <v>18</v>
      </c>
      <c r="F6678" t="s">
        <v>19</v>
      </c>
      <c r="G6678" t="s">
        <v>20</v>
      </c>
      <c r="J6678" t="s">
        <v>17</v>
      </c>
      <c r="K6678" t="str">
        <f>"2019512588023"</f>
        <v>2019512588023</v>
      </c>
      <c r="L6678" t="str">
        <f>"344914200"</f>
        <v>344914200</v>
      </c>
      <c r="M6678" t="s">
        <v>21</v>
      </c>
      <c r="N6678" s="1">
        <v>43668.828472222223</v>
      </c>
      <c r="O6678" t="s">
        <v>19</v>
      </c>
    </row>
    <row r="6679" spans="1:15" x14ac:dyDescent="0.25">
      <c r="A6679" t="s">
        <v>4823</v>
      </c>
      <c r="B6679" t="s">
        <v>15</v>
      </c>
      <c r="C6679" t="s">
        <v>1607</v>
      </c>
      <c r="D6679" t="s">
        <v>17</v>
      </c>
      <c r="E6679" t="s">
        <v>18</v>
      </c>
      <c r="F6679" t="s">
        <v>19</v>
      </c>
      <c r="G6679" t="s">
        <v>20</v>
      </c>
      <c r="J6679" t="s">
        <v>17</v>
      </c>
      <c r="K6679" t="str">
        <f>"766814202"</f>
        <v>766814202</v>
      </c>
      <c r="L6679" t="str">
        <f>"766814202"</f>
        <v>766814202</v>
      </c>
      <c r="M6679" t="s">
        <v>75</v>
      </c>
      <c r="N6679" s="1">
        <v>42893.913194444445</v>
      </c>
      <c r="O6679" t="s">
        <v>19</v>
      </c>
    </row>
    <row r="6680" spans="1:15" x14ac:dyDescent="0.25">
      <c r="A6680" t="s">
        <v>4824</v>
      </c>
      <c r="B6680" t="s">
        <v>15</v>
      </c>
      <c r="C6680" t="s">
        <v>1607</v>
      </c>
      <c r="D6680" t="s">
        <v>17</v>
      </c>
      <c r="E6680" t="s">
        <v>18</v>
      </c>
      <c r="F6680" t="s">
        <v>19</v>
      </c>
      <c r="G6680" t="s">
        <v>20</v>
      </c>
      <c r="J6680" t="s">
        <v>17</v>
      </c>
      <c r="K6680" t="str">
        <f>"346814201"</f>
        <v>346814201</v>
      </c>
      <c r="L6680" t="str">
        <f>"346814201"</f>
        <v>346814201</v>
      </c>
      <c r="M6680" t="s">
        <v>75</v>
      </c>
      <c r="N6680" s="1">
        <v>43083.908333333333</v>
      </c>
      <c r="O6680" t="s">
        <v>19</v>
      </c>
    </row>
    <row r="6681" spans="1:15" x14ac:dyDescent="0.25">
      <c r="A6681" t="s">
        <v>4824</v>
      </c>
      <c r="B6681" t="s">
        <v>15</v>
      </c>
      <c r="C6681" t="s">
        <v>1607</v>
      </c>
      <c r="D6681" t="s">
        <v>17</v>
      </c>
      <c r="E6681" t="s">
        <v>18</v>
      </c>
      <c r="F6681" t="s">
        <v>19</v>
      </c>
      <c r="G6681" t="s">
        <v>20</v>
      </c>
      <c r="J6681" t="s">
        <v>17</v>
      </c>
      <c r="K6681" t="str">
        <f>"1908070123409"</f>
        <v>1908070123409</v>
      </c>
      <c r="L6681" t="str">
        <f>"344914201"</f>
        <v>344914201</v>
      </c>
      <c r="M6681" t="s">
        <v>21</v>
      </c>
      <c r="N6681" s="1">
        <v>43668.78402777778</v>
      </c>
      <c r="O6681" t="s">
        <v>19</v>
      </c>
    </row>
    <row r="6682" spans="1:15" x14ac:dyDescent="0.25">
      <c r="A6682" t="s">
        <v>4825</v>
      </c>
      <c r="B6682" t="s">
        <v>15</v>
      </c>
      <c r="C6682" t="s">
        <v>1607</v>
      </c>
      <c r="D6682" t="s">
        <v>17</v>
      </c>
      <c r="E6682" t="s">
        <v>18</v>
      </c>
      <c r="F6682" t="s">
        <v>19</v>
      </c>
      <c r="G6682" t="s">
        <v>20</v>
      </c>
      <c r="J6682" t="s">
        <v>17</v>
      </c>
      <c r="K6682" t="str">
        <f>"766814203"</f>
        <v>766814203</v>
      </c>
      <c r="L6682" t="str">
        <f>"766814203"</f>
        <v>766814203</v>
      </c>
      <c r="M6682" t="s">
        <v>75</v>
      </c>
      <c r="N6682" s="1">
        <v>43217.636111111111</v>
      </c>
      <c r="O6682" t="s">
        <v>19</v>
      </c>
    </row>
    <row r="6683" spans="1:15" x14ac:dyDescent="0.25">
      <c r="A6683" t="s">
        <v>4825</v>
      </c>
      <c r="B6683" t="s">
        <v>15</v>
      </c>
      <c r="C6683" t="s">
        <v>1607</v>
      </c>
      <c r="D6683" t="s">
        <v>17</v>
      </c>
      <c r="E6683" t="s">
        <v>18</v>
      </c>
      <c r="F6683" t="s">
        <v>19</v>
      </c>
      <c r="G6683" t="s">
        <v>20</v>
      </c>
      <c r="J6683" t="s">
        <v>17</v>
      </c>
      <c r="K6683" t="str">
        <f>"864914203"</f>
        <v>864914203</v>
      </c>
      <c r="L6683" t="str">
        <f>"864914203"</f>
        <v>864914203</v>
      </c>
      <c r="M6683" t="s">
        <v>84</v>
      </c>
      <c r="N6683" s="1">
        <v>43367.905555555553</v>
      </c>
      <c r="O6683" t="s">
        <v>19</v>
      </c>
    </row>
    <row r="6684" spans="1:15" x14ac:dyDescent="0.25">
      <c r="A6684" t="s">
        <v>4826</v>
      </c>
      <c r="B6684" t="s">
        <v>15</v>
      </c>
      <c r="C6684" t="s">
        <v>1607</v>
      </c>
      <c r="D6684" t="s">
        <v>17</v>
      </c>
      <c r="E6684" t="s">
        <v>18</v>
      </c>
      <c r="F6684" t="s">
        <v>19</v>
      </c>
      <c r="G6684" t="s">
        <v>20</v>
      </c>
      <c r="J6684" t="s">
        <v>17</v>
      </c>
      <c r="K6684" t="str">
        <f>"766814204"</f>
        <v>766814204</v>
      </c>
      <c r="L6684" t="str">
        <f>"766814204"</f>
        <v>766814204</v>
      </c>
      <c r="M6684" t="s">
        <v>75</v>
      </c>
      <c r="N6684" s="1">
        <v>43217.636111111111</v>
      </c>
      <c r="O6684" t="s">
        <v>19</v>
      </c>
    </row>
    <row r="6685" spans="1:15" x14ac:dyDescent="0.25">
      <c r="A6685" t="s">
        <v>4827</v>
      </c>
      <c r="B6685" t="s">
        <v>15</v>
      </c>
      <c r="C6685" t="s">
        <v>1607</v>
      </c>
      <c r="D6685" t="s">
        <v>17</v>
      </c>
      <c r="E6685" t="s">
        <v>18</v>
      </c>
      <c r="F6685" t="s">
        <v>19</v>
      </c>
      <c r="G6685" t="s">
        <v>20</v>
      </c>
      <c r="J6685" t="s">
        <v>17</v>
      </c>
      <c r="K6685" t="str">
        <f>"344914126"</f>
        <v>344914126</v>
      </c>
      <c r="L6685" t="str">
        <f>"344914126"</f>
        <v>344914126</v>
      </c>
      <c r="M6685" t="s">
        <v>75</v>
      </c>
      <c r="N6685" s="1">
        <v>42872.849305555559</v>
      </c>
      <c r="O6685" t="s">
        <v>19</v>
      </c>
    </row>
    <row r="6686" spans="1:15" x14ac:dyDescent="0.25">
      <c r="A6686" t="s">
        <v>4827</v>
      </c>
      <c r="B6686" t="s">
        <v>15</v>
      </c>
      <c r="C6686" t="s">
        <v>1607</v>
      </c>
      <c r="D6686" t="s">
        <v>17</v>
      </c>
      <c r="E6686" t="s">
        <v>18</v>
      </c>
      <c r="F6686" t="s">
        <v>19</v>
      </c>
      <c r="G6686" t="s">
        <v>20</v>
      </c>
      <c r="J6686" t="s">
        <v>17</v>
      </c>
      <c r="K6686" t="str">
        <f>"344914238"</f>
        <v>344914238</v>
      </c>
      <c r="L6686" t="str">
        <f>"344914238"</f>
        <v>344914238</v>
      </c>
      <c r="M6686" t="s">
        <v>75</v>
      </c>
      <c r="N6686" s="1">
        <v>42872.849305555559</v>
      </c>
      <c r="O6686" t="s">
        <v>19</v>
      </c>
    </row>
    <row r="6687" spans="1:15" x14ac:dyDescent="0.25">
      <c r="A6687" t="s">
        <v>4828</v>
      </c>
      <c r="B6687" t="s">
        <v>15</v>
      </c>
      <c r="C6687" t="s">
        <v>1607</v>
      </c>
      <c r="D6687" t="s">
        <v>17</v>
      </c>
      <c r="E6687" t="s">
        <v>18</v>
      </c>
      <c r="F6687" t="s">
        <v>19</v>
      </c>
      <c r="G6687" t="s">
        <v>20</v>
      </c>
      <c r="J6687" t="s">
        <v>17</v>
      </c>
      <c r="K6687" t="str">
        <f>"34681520"</f>
        <v>34681520</v>
      </c>
      <c r="L6687" t="str">
        <f>"34681520"</f>
        <v>34681520</v>
      </c>
      <c r="M6687" t="s">
        <v>75</v>
      </c>
      <c r="N6687" s="1">
        <v>42872.839583333334</v>
      </c>
      <c r="O6687" t="s">
        <v>19</v>
      </c>
    </row>
    <row r="6688" spans="1:15" x14ac:dyDescent="0.25">
      <c r="A6688" t="s">
        <v>4829</v>
      </c>
      <c r="B6688" t="s">
        <v>15</v>
      </c>
      <c r="C6688" t="s">
        <v>1607</v>
      </c>
      <c r="D6688" t="s">
        <v>17</v>
      </c>
      <c r="E6688" t="s">
        <v>18</v>
      </c>
      <c r="F6688" t="s">
        <v>19</v>
      </c>
      <c r="G6688" t="s">
        <v>20</v>
      </c>
      <c r="J6688" t="s">
        <v>17</v>
      </c>
      <c r="K6688" t="str">
        <f>"34681504"</f>
        <v>34681504</v>
      </c>
      <c r="L6688" t="str">
        <f>"34681504"</f>
        <v>34681504</v>
      </c>
      <c r="M6688" t="s">
        <v>75</v>
      </c>
      <c r="N6688" s="1">
        <v>42872.839583333334</v>
      </c>
      <c r="O6688" t="s">
        <v>19</v>
      </c>
    </row>
    <row r="6689" spans="1:15" x14ac:dyDescent="0.25">
      <c r="A6689" t="s">
        <v>4830</v>
      </c>
      <c r="B6689" t="s">
        <v>15</v>
      </c>
      <c r="C6689" t="s">
        <v>1607</v>
      </c>
      <c r="D6689" t="s">
        <v>17</v>
      </c>
      <c r="E6689" t="s">
        <v>18</v>
      </c>
      <c r="F6689" t="s">
        <v>19</v>
      </c>
      <c r="G6689" t="s">
        <v>20</v>
      </c>
      <c r="J6689" t="s">
        <v>17</v>
      </c>
      <c r="K6689" t="str">
        <f>"68681515"</f>
        <v>68681515</v>
      </c>
      <c r="L6689" t="str">
        <f>"68681515"</f>
        <v>68681515</v>
      </c>
      <c r="M6689" t="s">
        <v>75</v>
      </c>
      <c r="N6689" s="1">
        <v>43007.655555555553</v>
      </c>
      <c r="O6689" t="s">
        <v>19</v>
      </c>
    </row>
    <row r="6690" spans="1:15" x14ac:dyDescent="0.25">
      <c r="A6690" t="s">
        <v>4830</v>
      </c>
      <c r="B6690" t="s">
        <v>15</v>
      </c>
      <c r="C6690" t="s">
        <v>1607</v>
      </c>
      <c r="D6690" t="s">
        <v>17</v>
      </c>
      <c r="E6690" t="s">
        <v>18</v>
      </c>
      <c r="F6690" t="s">
        <v>19</v>
      </c>
      <c r="G6690" t="s">
        <v>20</v>
      </c>
      <c r="J6690" t="s">
        <v>17</v>
      </c>
      <c r="K6690" t="str">
        <f>"766815301"</f>
        <v>766815301</v>
      </c>
      <c r="L6690" t="str">
        <f>"766815301"</f>
        <v>766815301</v>
      </c>
      <c r="M6690" t="s">
        <v>75</v>
      </c>
      <c r="N6690" s="1">
        <v>43097.693055555559</v>
      </c>
      <c r="O6690" t="s">
        <v>19</v>
      </c>
    </row>
    <row r="6691" spans="1:15" x14ac:dyDescent="0.25">
      <c r="A6691" t="s">
        <v>4831</v>
      </c>
      <c r="B6691" t="s">
        <v>15</v>
      </c>
      <c r="C6691" t="s">
        <v>1607</v>
      </c>
      <c r="D6691" t="s">
        <v>17</v>
      </c>
      <c r="E6691" t="s">
        <v>18</v>
      </c>
      <c r="F6691" t="s">
        <v>19</v>
      </c>
      <c r="G6691" t="s">
        <v>20</v>
      </c>
      <c r="J6691" t="s">
        <v>17</v>
      </c>
      <c r="K6691" t="str">
        <f>"34681509"</f>
        <v>34681509</v>
      </c>
      <c r="L6691" t="str">
        <f>"34681509"</f>
        <v>34681509</v>
      </c>
      <c r="M6691" t="s">
        <v>75</v>
      </c>
      <c r="N6691" s="1">
        <v>42872.839583333334</v>
      </c>
      <c r="O6691" t="s">
        <v>19</v>
      </c>
    </row>
    <row r="6692" spans="1:15" x14ac:dyDescent="0.25">
      <c r="A6692" t="s">
        <v>4832</v>
      </c>
      <c r="B6692" t="s">
        <v>15</v>
      </c>
      <c r="C6692" t="s">
        <v>1607</v>
      </c>
      <c r="D6692" t="s">
        <v>17</v>
      </c>
      <c r="E6692" t="s">
        <v>18</v>
      </c>
      <c r="F6692" t="s">
        <v>19</v>
      </c>
      <c r="G6692" t="s">
        <v>20</v>
      </c>
      <c r="J6692" t="s">
        <v>17</v>
      </c>
      <c r="K6692" t="str">
        <f>"346815111"</f>
        <v>346815111</v>
      </c>
      <c r="L6692" t="str">
        <f>"346815111"</f>
        <v>346815111</v>
      </c>
      <c r="M6692" t="s">
        <v>75</v>
      </c>
      <c r="N6692" s="1">
        <v>42872.849305555559</v>
      </c>
      <c r="O6692" t="s">
        <v>19</v>
      </c>
    </row>
    <row r="6693" spans="1:15" x14ac:dyDescent="0.25">
      <c r="A6693" t="s">
        <v>4833</v>
      </c>
      <c r="B6693" t="s">
        <v>15</v>
      </c>
      <c r="C6693" t="s">
        <v>1607</v>
      </c>
      <c r="D6693" t="s">
        <v>17</v>
      </c>
      <c r="E6693" t="s">
        <v>18</v>
      </c>
      <c r="F6693" t="s">
        <v>19</v>
      </c>
      <c r="G6693" t="s">
        <v>20</v>
      </c>
      <c r="J6693" t="s">
        <v>17</v>
      </c>
      <c r="K6693" t="str">
        <f>"766815195"</f>
        <v>766815195</v>
      </c>
      <c r="L6693" t="str">
        <f>"766815195"</f>
        <v>766815195</v>
      </c>
      <c r="M6693" t="s">
        <v>75</v>
      </c>
      <c r="N6693" s="1">
        <v>43005.793749999997</v>
      </c>
      <c r="O6693" t="s">
        <v>19</v>
      </c>
    </row>
    <row r="6694" spans="1:15" x14ac:dyDescent="0.25">
      <c r="A6694" t="s">
        <v>4834</v>
      </c>
      <c r="B6694" t="s">
        <v>15</v>
      </c>
      <c r="C6694" t="s">
        <v>1607</v>
      </c>
      <c r="D6694" t="s">
        <v>17</v>
      </c>
      <c r="E6694" t="s">
        <v>18</v>
      </c>
      <c r="F6694" t="s">
        <v>19</v>
      </c>
      <c r="G6694" t="s">
        <v>20</v>
      </c>
      <c r="J6694" t="s">
        <v>17</v>
      </c>
      <c r="K6694" t="str">
        <f>"766815272"</f>
        <v>766815272</v>
      </c>
      <c r="L6694" t="str">
        <f>"766815272"</f>
        <v>766815272</v>
      </c>
      <c r="M6694" t="s">
        <v>84</v>
      </c>
      <c r="N6694" s="1">
        <v>43308.681250000001</v>
      </c>
      <c r="O6694" t="s">
        <v>19</v>
      </c>
    </row>
    <row r="6695" spans="1:15" x14ac:dyDescent="0.25">
      <c r="A6695" t="s">
        <v>4835</v>
      </c>
      <c r="B6695" t="s">
        <v>15</v>
      </c>
      <c r="C6695" t="s">
        <v>1607</v>
      </c>
      <c r="D6695" t="s">
        <v>17</v>
      </c>
      <c r="E6695" t="s">
        <v>18</v>
      </c>
      <c r="F6695" t="s">
        <v>19</v>
      </c>
      <c r="G6695" t="s">
        <v>20</v>
      </c>
      <c r="J6695" t="s">
        <v>17</v>
      </c>
      <c r="K6695" t="str">
        <f>"766815267"</f>
        <v>766815267</v>
      </c>
      <c r="L6695" t="str">
        <f>"766815267"</f>
        <v>766815267</v>
      </c>
      <c r="M6695" t="s">
        <v>75</v>
      </c>
      <c r="N6695" s="1">
        <v>43112.772916666669</v>
      </c>
      <c r="O6695" t="s">
        <v>19</v>
      </c>
    </row>
    <row r="6696" spans="1:15" x14ac:dyDescent="0.25">
      <c r="A6696" t="s">
        <v>4836</v>
      </c>
      <c r="B6696" t="s">
        <v>15</v>
      </c>
      <c r="C6696" t="s">
        <v>1607</v>
      </c>
      <c r="D6696" t="s">
        <v>17</v>
      </c>
      <c r="E6696" t="s">
        <v>18</v>
      </c>
      <c r="F6696" t="s">
        <v>19</v>
      </c>
      <c r="G6696" t="s">
        <v>20</v>
      </c>
      <c r="J6696" t="s">
        <v>17</v>
      </c>
      <c r="K6696" t="str">
        <f>"686815287"</f>
        <v>686815287</v>
      </c>
      <c r="L6696" t="str">
        <f>"686815287"</f>
        <v>686815287</v>
      </c>
      <c r="M6696" t="s">
        <v>75</v>
      </c>
      <c r="N6696" s="1">
        <v>43008.78125</v>
      </c>
      <c r="O6696" t="s">
        <v>19</v>
      </c>
    </row>
    <row r="6697" spans="1:15" x14ac:dyDescent="0.25">
      <c r="A6697" t="s">
        <v>4836</v>
      </c>
      <c r="B6697" t="s">
        <v>15</v>
      </c>
      <c r="C6697" t="s">
        <v>1607</v>
      </c>
      <c r="D6697" t="s">
        <v>17</v>
      </c>
      <c r="E6697" t="s">
        <v>18</v>
      </c>
      <c r="F6697" t="s">
        <v>19</v>
      </c>
      <c r="G6697" t="s">
        <v>20</v>
      </c>
      <c r="J6697" t="s">
        <v>17</v>
      </c>
      <c r="K6697" t="str">
        <f>"336815287"</f>
        <v>336815287</v>
      </c>
      <c r="L6697" t="str">
        <f>"336815287"</f>
        <v>336815287</v>
      </c>
      <c r="M6697" t="s">
        <v>75</v>
      </c>
      <c r="N6697" s="1">
        <v>43046.645138888889</v>
      </c>
      <c r="O6697" t="s">
        <v>19</v>
      </c>
    </row>
    <row r="6698" spans="1:15" x14ac:dyDescent="0.25">
      <c r="A6698" t="s">
        <v>4836</v>
      </c>
      <c r="B6698" t="s">
        <v>15</v>
      </c>
      <c r="C6698" t="s">
        <v>1607</v>
      </c>
      <c r="D6698" t="s">
        <v>17</v>
      </c>
      <c r="E6698" t="s">
        <v>18</v>
      </c>
      <c r="F6698" t="s">
        <v>19</v>
      </c>
      <c r="G6698" t="s">
        <v>20</v>
      </c>
      <c r="J6698" t="s">
        <v>17</v>
      </c>
      <c r="K6698" t="str">
        <f>"766815287"</f>
        <v>766815287</v>
      </c>
      <c r="L6698" t="str">
        <f>"766815287"</f>
        <v>766815287</v>
      </c>
      <c r="M6698" t="s">
        <v>75</v>
      </c>
      <c r="N6698" s="1">
        <v>43196.586805555555</v>
      </c>
      <c r="O6698" t="s">
        <v>19</v>
      </c>
    </row>
    <row r="6699" spans="1:15" x14ac:dyDescent="0.25">
      <c r="A6699" t="s">
        <v>4836</v>
      </c>
      <c r="B6699" t="s">
        <v>15</v>
      </c>
      <c r="C6699" t="s">
        <v>1607</v>
      </c>
      <c r="D6699" t="s">
        <v>17</v>
      </c>
      <c r="E6699" t="s">
        <v>18</v>
      </c>
      <c r="F6699" t="s">
        <v>19</v>
      </c>
      <c r="G6699" t="s">
        <v>20</v>
      </c>
      <c r="J6699" t="s">
        <v>17</v>
      </c>
      <c r="K6699" t="str">
        <f>"764915287"</f>
        <v>764915287</v>
      </c>
      <c r="L6699" t="str">
        <f>"764915287"</f>
        <v>764915287</v>
      </c>
      <c r="M6699" t="s">
        <v>84</v>
      </c>
      <c r="N6699" s="1">
        <v>43251.892361111109</v>
      </c>
      <c r="O6699" t="s">
        <v>19</v>
      </c>
    </row>
    <row r="6700" spans="1:15" x14ac:dyDescent="0.25">
      <c r="A6700" t="s">
        <v>4836</v>
      </c>
      <c r="B6700" t="s">
        <v>15</v>
      </c>
      <c r="C6700" t="s">
        <v>1607</v>
      </c>
      <c r="D6700" t="s">
        <v>17</v>
      </c>
      <c r="E6700" t="s">
        <v>18</v>
      </c>
      <c r="F6700" t="s">
        <v>19</v>
      </c>
      <c r="G6700" t="s">
        <v>20</v>
      </c>
      <c r="J6700" t="s">
        <v>17</v>
      </c>
      <c r="K6700" t="str">
        <f>"346815287"</f>
        <v>346815287</v>
      </c>
      <c r="L6700" t="str">
        <f>"346815287"</f>
        <v>346815287</v>
      </c>
      <c r="M6700" t="s">
        <v>84</v>
      </c>
      <c r="N6700" s="1">
        <v>43257.867361111108</v>
      </c>
      <c r="O6700" t="s">
        <v>19</v>
      </c>
    </row>
    <row r="6701" spans="1:15" x14ac:dyDescent="0.25">
      <c r="A6701" t="s">
        <v>4837</v>
      </c>
      <c r="B6701" t="s">
        <v>15</v>
      </c>
      <c r="C6701" t="s">
        <v>1607</v>
      </c>
      <c r="D6701" t="s">
        <v>17</v>
      </c>
      <c r="E6701" t="s">
        <v>18</v>
      </c>
      <c r="F6701" t="s">
        <v>19</v>
      </c>
      <c r="G6701" t="s">
        <v>20</v>
      </c>
      <c r="J6701" t="s">
        <v>17</v>
      </c>
      <c r="K6701" t="str">
        <f>"766815271"</f>
        <v>766815271</v>
      </c>
      <c r="L6701" t="str">
        <f>"766815271"</f>
        <v>766815271</v>
      </c>
      <c r="M6701" t="s">
        <v>84</v>
      </c>
      <c r="N6701" s="1">
        <v>43308.680555555555</v>
      </c>
      <c r="O6701" t="s">
        <v>19</v>
      </c>
    </row>
    <row r="6702" spans="1:15" x14ac:dyDescent="0.25">
      <c r="A6702" t="s">
        <v>4838</v>
      </c>
      <c r="B6702" t="s">
        <v>15</v>
      </c>
      <c r="C6702" t="s">
        <v>1607</v>
      </c>
      <c r="D6702" t="s">
        <v>17</v>
      </c>
      <c r="E6702" t="s">
        <v>18</v>
      </c>
      <c r="F6702" t="s">
        <v>19</v>
      </c>
      <c r="G6702" t="s">
        <v>20</v>
      </c>
      <c r="J6702" t="s">
        <v>17</v>
      </c>
      <c r="K6702" t="str">
        <f>"176815170"</f>
        <v>176815170</v>
      </c>
      <c r="L6702" t="str">
        <f>"176815170"</f>
        <v>176815170</v>
      </c>
      <c r="M6702" t="s">
        <v>75</v>
      </c>
      <c r="N6702" s="1">
        <v>43113.72152777778</v>
      </c>
      <c r="O6702" t="s">
        <v>19</v>
      </c>
    </row>
    <row r="6703" spans="1:15" x14ac:dyDescent="0.25">
      <c r="A6703" t="s">
        <v>4839</v>
      </c>
      <c r="B6703" t="s">
        <v>15</v>
      </c>
      <c r="C6703" t="s">
        <v>1607</v>
      </c>
      <c r="D6703" t="s">
        <v>17</v>
      </c>
      <c r="E6703" t="s">
        <v>18</v>
      </c>
      <c r="F6703" t="s">
        <v>19</v>
      </c>
      <c r="G6703" t="s">
        <v>20</v>
      </c>
      <c r="J6703" t="s">
        <v>17</v>
      </c>
      <c r="K6703" t="str">
        <f>"34681523"</f>
        <v>34681523</v>
      </c>
      <c r="L6703" t="str">
        <f>"34681523"</f>
        <v>34681523</v>
      </c>
      <c r="M6703" t="s">
        <v>75</v>
      </c>
      <c r="N6703" s="1">
        <v>42872.839583333334</v>
      </c>
      <c r="O6703" t="s">
        <v>19</v>
      </c>
    </row>
    <row r="6704" spans="1:15" x14ac:dyDescent="0.25">
      <c r="A6704" t="s">
        <v>4840</v>
      </c>
      <c r="B6704" t="s">
        <v>15</v>
      </c>
      <c r="C6704" t="s">
        <v>1607</v>
      </c>
      <c r="D6704" t="s">
        <v>17</v>
      </c>
      <c r="E6704" t="s">
        <v>18</v>
      </c>
      <c r="F6704" t="s">
        <v>19</v>
      </c>
      <c r="G6704" t="s">
        <v>20</v>
      </c>
      <c r="J6704" t="s">
        <v>17</v>
      </c>
      <c r="K6704" t="str">
        <f>"34685133"</f>
        <v>34685133</v>
      </c>
      <c r="L6704" t="str">
        <f>"34685133"</f>
        <v>34685133</v>
      </c>
      <c r="M6704" t="s">
        <v>75</v>
      </c>
      <c r="N6704" s="1">
        <v>42872.839583333334</v>
      </c>
      <c r="O6704" t="s">
        <v>19</v>
      </c>
    </row>
    <row r="6705" spans="1:15" x14ac:dyDescent="0.25">
      <c r="A6705" t="s">
        <v>4840</v>
      </c>
      <c r="B6705" t="s">
        <v>15</v>
      </c>
      <c r="C6705" t="s">
        <v>1607</v>
      </c>
      <c r="D6705" t="s">
        <v>17</v>
      </c>
      <c r="E6705" t="s">
        <v>18</v>
      </c>
      <c r="F6705" t="s">
        <v>19</v>
      </c>
      <c r="G6705" t="s">
        <v>20</v>
      </c>
      <c r="J6705" t="s">
        <v>17</v>
      </c>
      <c r="K6705" t="str">
        <f>"346815133"</f>
        <v>346815133</v>
      </c>
      <c r="L6705" t="str">
        <f>"346815133"</f>
        <v>346815133</v>
      </c>
      <c r="M6705" t="s">
        <v>75</v>
      </c>
      <c r="N6705" s="1">
        <v>42872.849305555559</v>
      </c>
      <c r="O6705" t="s">
        <v>19</v>
      </c>
    </row>
    <row r="6706" spans="1:15" x14ac:dyDescent="0.25">
      <c r="A6706" t="s">
        <v>4840</v>
      </c>
      <c r="B6706" t="s">
        <v>15</v>
      </c>
      <c r="C6706" t="s">
        <v>1607</v>
      </c>
      <c r="D6706" t="s">
        <v>17</v>
      </c>
      <c r="E6706" t="s">
        <v>18</v>
      </c>
      <c r="F6706" t="s">
        <v>19</v>
      </c>
      <c r="G6706" t="s">
        <v>20</v>
      </c>
      <c r="J6706" t="s">
        <v>17</v>
      </c>
      <c r="K6706" t="str">
        <f>"766815252"</f>
        <v>766815252</v>
      </c>
      <c r="L6706" t="str">
        <f>"766815252"</f>
        <v>766815252</v>
      </c>
      <c r="M6706" t="s">
        <v>75</v>
      </c>
      <c r="N6706" s="1">
        <v>42872.849305555559</v>
      </c>
      <c r="O6706" t="s">
        <v>19</v>
      </c>
    </row>
    <row r="6707" spans="1:15" x14ac:dyDescent="0.25">
      <c r="A6707" t="s">
        <v>4841</v>
      </c>
      <c r="B6707" t="s">
        <v>15</v>
      </c>
      <c r="C6707" t="s">
        <v>1607</v>
      </c>
      <c r="D6707" t="s">
        <v>17</v>
      </c>
      <c r="E6707" t="s">
        <v>18</v>
      </c>
      <c r="F6707" t="s">
        <v>19</v>
      </c>
      <c r="G6707" t="s">
        <v>20</v>
      </c>
      <c r="J6707" t="s">
        <v>17</v>
      </c>
      <c r="K6707" t="str">
        <f>"766815176"</f>
        <v>766815176</v>
      </c>
      <c r="L6707" t="str">
        <f>"766815176"</f>
        <v>766815176</v>
      </c>
      <c r="M6707" t="s">
        <v>75</v>
      </c>
      <c r="N6707" s="1">
        <v>42989.936805555553</v>
      </c>
      <c r="O6707" t="s">
        <v>19</v>
      </c>
    </row>
    <row r="6708" spans="1:15" x14ac:dyDescent="0.25">
      <c r="A6708" t="s">
        <v>4842</v>
      </c>
      <c r="B6708" t="s">
        <v>15</v>
      </c>
      <c r="C6708" t="s">
        <v>1607</v>
      </c>
      <c r="D6708" t="s">
        <v>17</v>
      </c>
      <c r="E6708" t="s">
        <v>18</v>
      </c>
      <c r="F6708" t="s">
        <v>19</v>
      </c>
      <c r="G6708" t="s">
        <v>20</v>
      </c>
      <c r="J6708" t="s">
        <v>18</v>
      </c>
      <c r="K6708" t="str">
        <f>"34680201"</f>
        <v>34680201</v>
      </c>
      <c r="L6708" t="str">
        <f>"34680201"</f>
        <v>34680201</v>
      </c>
      <c r="M6708" t="s">
        <v>84</v>
      </c>
      <c r="N6708" s="1">
        <v>43257.849305555559</v>
      </c>
      <c r="O6708" t="s">
        <v>19</v>
      </c>
    </row>
    <row r="6709" spans="1:15" x14ac:dyDescent="0.25">
      <c r="A6709" t="s">
        <v>4843</v>
      </c>
      <c r="B6709" t="s">
        <v>15</v>
      </c>
      <c r="C6709" t="s">
        <v>1607</v>
      </c>
      <c r="D6709" t="s">
        <v>17</v>
      </c>
      <c r="E6709" t="s">
        <v>18</v>
      </c>
      <c r="F6709" t="s">
        <v>19</v>
      </c>
      <c r="G6709" t="s">
        <v>20</v>
      </c>
      <c r="J6709" t="s">
        <v>17</v>
      </c>
      <c r="K6709" t="str">
        <f>"13490213"</f>
        <v>13490213</v>
      </c>
      <c r="L6709" t="str">
        <f>"13490213"</f>
        <v>13490213</v>
      </c>
      <c r="M6709" t="s">
        <v>21</v>
      </c>
      <c r="N6709" s="1">
        <v>44348.859027777777</v>
      </c>
      <c r="O6709" t="s">
        <v>19</v>
      </c>
    </row>
    <row r="6710" spans="1:15" x14ac:dyDescent="0.25">
      <c r="A6710" t="s">
        <v>4844</v>
      </c>
      <c r="B6710" t="s">
        <v>15</v>
      </c>
      <c r="C6710" t="s">
        <v>1607</v>
      </c>
      <c r="D6710" t="s">
        <v>17</v>
      </c>
      <c r="E6710" t="s">
        <v>18</v>
      </c>
      <c r="F6710" t="s">
        <v>19</v>
      </c>
      <c r="G6710" t="s">
        <v>20</v>
      </c>
      <c r="J6710" t="s">
        <v>17</v>
      </c>
      <c r="K6710" t="str">
        <f>"13490214"</f>
        <v>13490214</v>
      </c>
      <c r="L6710" t="str">
        <f>"13490214"</f>
        <v>13490214</v>
      </c>
      <c r="M6710" t="s">
        <v>21</v>
      </c>
      <c r="N6710" s="1">
        <v>44348.859027777777</v>
      </c>
      <c r="O6710" t="s">
        <v>19</v>
      </c>
    </row>
    <row r="6711" spans="1:15" x14ac:dyDescent="0.25">
      <c r="A6711" t="s">
        <v>4845</v>
      </c>
      <c r="B6711" t="s">
        <v>15</v>
      </c>
      <c r="C6711" t="s">
        <v>1607</v>
      </c>
      <c r="D6711" t="s">
        <v>17</v>
      </c>
      <c r="E6711" t="s">
        <v>18</v>
      </c>
      <c r="F6711" t="s">
        <v>19</v>
      </c>
      <c r="G6711" t="s">
        <v>20</v>
      </c>
      <c r="J6711" t="s">
        <v>17</v>
      </c>
      <c r="K6711" t="str">
        <f>"76390202"</f>
        <v>76390202</v>
      </c>
      <c r="L6711" t="str">
        <f>"76390202"</f>
        <v>76390202</v>
      </c>
      <c r="M6711" t="s">
        <v>84</v>
      </c>
      <c r="N6711" s="1">
        <v>43335.713194444441</v>
      </c>
      <c r="O6711" t="s">
        <v>19</v>
      </c>
    </row>
    <row r="6712" spans="1:15" x14ac:dyDescent="0.25">
      <c r="A6712" t="s">
        <v>4846</v>
      </c>
      <c r="B6712" t="s">
        <v>15</v>
      </c>
      <c r="C6712" t="s">
        <v>1607</v>
      </c>
      <c r="D6712" t="s">
        <v>17</v>
      </c>
      <c r="E6712" t="s">
        <v>18</v>
      </c>
      <c r="F6712" t="s">
        <v>19</v>
      </c>
      <c r="G6712" t="s">
        <v>20</v>
      </c>
      <c r="J6712" t="s">
        <v>17</v>
      </c>
      <c r="K6712" t="str">
        <f>"13490219"</f>
        <v>13490219</v>
      </c>
      <c r="L6712" t="str">
        <f>"13490219"</f>
        <v>13490219</v>
      </c>
      <c r="M6712" t="s">
        <v>21</v>
      </c>
      <c r="N6712" s="1">
        <v>44348.85833333333</v>
      </c>
      <c r="O6712" t="s">
        <v>19</v>
      </c>
    </row>
    <row r="6713" spans="1:15" x14ac:dyDescent="0.25">
      <c r="A6713" t="s">
        <v>4847</v>
      </c>
      <c r="B6713" t="s">
        <v>15</v>
      </c>
      <c r="C6713" t="s">
        <v>1607</v>
      </c>
      <c r="D6713" t="s">
        <v>17</v>
      </c>
      <c r="E6713" t="s">
        <v>18</v>
      </c>
      <c r="F6713" t="s">
        <v>19</v>
      </c>
      <c r="G6713" t="s">
        <v>20</v>
      </c>
      <c r="J6713" t="s">
        <v>17</v>
      </c>
      <c r="K6713" t="str">
        <f>"346818133"</f>
        <v>346818133</v>
      </c>
      <c r="L6713" t="str">
        <f>"346818133"</f>
        <v>346818133</v>
      </c>
      <c r="M6713" t="s">
        <v>75</v>
      </c>
      <c r="N6713" s="1">
        <v>42872.849305555559</v>
      </c>
      <c r="O6713" t="s">
        <v>19</v>
      </c>
    </row>
    <row r="6714" spans="1:15" x14ac:dyDescent="0.25">
      <c r="A6714" t="s">
        <v>4848</v>
      </c>
      <c r="B6714" t="s">
        <v>15</v>
      </c>
      <c r="C6714" t="s">
        <v>64</v>
      </c>
      <c r="D6714" t="s">
        <v>17</v>
      </c>
      <c r="E6714" t="s">
        <v>18</v>
      </c>
      <c r="F6714" t="s">
        <v>19</v>
      </c>
      <c r="G6714" t="s">
        <v>20</v>
      </c>
      <c r="J6714" t="s">
        <v>17</v>
      </c>
      <c r="K6714" t="str">
        <f>"6686996300733"</f>
        <v>6686996300733</v>
      </c>
      <c r="L6714" t="str">
        <f>"549330073"</f>
        <v>549330073</v>
      </c>
      <c r="M6714" t="s">
        <v>21</v>
      </c>
      <c r="N6714" s="1">
        <v>44210.761111111111</v>
      </c>
      <c r="O6714" t="s">
        <v>19</v>
      </c>
    </row>
    <row r="6715" spans="1:15" x14ac:dyDescent="0.25">
      <c r="A6715" t="s">
        <v>4849</v>
      </c>
      <c r="B6715" t="s">
        <v>15</v>
      </c>
      <c r="C6715" t="s">
        <v>64</v>
      </c>
      <c r="D6715" t="s">
        <v>17</v>
      </c>
      <c r="E6715" t="s">
        <v>18</v>
      </c>
      <c r="F6715" t="s">
        <v>19</v>
      </c>
      <c r="G6715" t="s">
        <v>20</v>
      </c>
      <c r="J6715" t="s">
        <v>17</v>
      </c>
      <c r="K6715" t="str">
        <f>"10003936"</f>
        <v>10003936</v>
      </c>
      <c r="L6715" t="str">
        <f>"10003936"</f>
        <v>10003936</v>
      </c>
      <c r="M6715" t="s">
        <v>21</v>
      </c>
      <c r="N6715" s="1">
        <v>44392.784722222219</v>
      </c>
      <c r="O6715" t="s">
        <v>19</v>
      </c>
    </row>
    <row r="6716" spans="1:15" x14ac:dyDescent="0.25">
      <c r="A6716" t="s">
        <v>4850</v>
      </c>
      <c r="B6716" t="s">
        <v>15</v>
      </c>
      <c r="C6716" t="s">
        <v>2751</v>
      </c>
      <c r="D6716" t="s">
        <v>17</v>
      </c>
      <c r="E6716" t="s">
        <v>18</v>
      </c>
      <c r="F6716" t="s">
        <v>19</v>
      </c>
      <c r="G6716" t="s">
        <v>20</v>
      </c>
      <c r="J6716" t="s">
        <v>17</v>
      </c>
      <c r="K6716" t="str">
        <f>"25362716"</f>
        <v>25362716</v>
      </c>
      <c r="L6716" t="str">
        <f>"25362716"</f>
        <v>25362716</v>
      </c>
      <c r="M6716" t="s">
        <v>75</v>
      </c>
      <c r="N6716" s="1">
        <v>42872.839583333334</v>
      </c>
      <c r="O6716" t="s">
        <v>19</v>
      </c>
    </row>
    <row r="6717" spans="1:15" x14ac:dyDescent="0.25">
      <c r="A6717" t="s">
        <v>4851</v>
      </c>
      <c r="B6717" t="s">
        <v>15</v>
      </c>
      <c r="C6717" t="s">
        <v>2751</v>
      </c>
      <c r="D6717" t="s">
        <v>17</v>
      </c>
      <c r="E6717" t="s">
        <v>18</v>
      </c>
      <c r="F6717" t="s">
        <v>19</v>
      </c>
      <c r="G6717" t="s">
        <v>20</v>
      </c>
      <c r="J6717" t="s">
        <v>17</v>
      </c>
      <c r="K6717" t="str">
        <f>"25363508"</f>
        <v>25363508</v>
      </c>
      <c r="L6717" t="str">
        <f>"25363508"</f>
        <v>25363508</v>
      </c>
      <c r="M6717" t="s">
        <v>75</v>
      </c>
      <c r="N6717" s="1">
        <v>42872.839583333334</v>
      </c>
      <c r="O6717" t="s">
        <v>19</v>
      </c>
    </row>
    <row r="6718" spans="1:15" x14ac:dyDescent="0.25">
      <c r="A6718" t="s">
        <v>4852</v>
      </c>
      <c r="B6718" t="s">
        <v>15</v>
      </c>
      <c r="C6718" t="s">
        <v>2751</v>
      </c>
      <c r="D6718" t="s">
        <v>17</v>
      </c>
      <c r="E6718" t="s">
        <v>18</v>
      </c>
      <c r="F6718" t="s">
        <v>19</v>
      </c>
      <c r="G6718" t="s">
        <v>20</v>
      </c>
      <c r="J6718" t="s">
        <v>17</v>
      </c>
      <c r="K6718" t="str">
        <f>"25363532"</f>
        <v>25363532</v>
      </c>
      <c r="L6718" t="str">
        <f>"25363532"</f>
        <v>25363532</v>
      </c>
      <c r="M6718" t="s">
        <v>75</v>
      </c>
      <c r="N6718" s="1">
        <v>42872.839583333334</v>
      </c>
      <c r="O6718" t="s">
        <v>19</v>
      </c>
    </row>
    <row r="6719" spans="1:15" x14ac:dyDescent="0.25">
      <c r="A6719" t="s">
        <v>4853</v>
      </c>
      <c r="B6719" t="s">
        <v>15</v>
      </c>
      <c r="C6719" t="s">
        <v>2751</v>
      </c>
      <c r="D6719" t="s">
        <v>17</v>
      </c>
      <c r="E6719" t="s">
        <v>18</v>
      </c>
      <c r="F6719" t="s">
        <v>19</v>
      </c>
      <c r="G6719" t="s">
        <v>20</v>
      </c>
      <c r="J6719" t="s">
        <v>17</v>
      </c>
      <c r="K6719" t="str">
        <f>"10102398"</f>
        <v>10102398</v>
      </c>
      <c r="L6719" t="str">
        <f>"10102398"</f>
        <v>10102398</v>
      </c>
      <c r="M6719" t="s">
        <v>75</v>
      </c>
      <c r="N6719" s="1">
        <v>42872.839583333334</v>
      </c>
      <c r="O6719" t="s">
        <v>19</v>
      </c>
    </row>
    <row r="6720" spans="1:15" x14ac:dyDescent="0.25">
      <c r="A6720" t="s">
        <v>4854</v>
      </c>
      <c r="B6720" t="s">
        <v>15</v>
      </c>
      <c r="C6720" t="s">
        <v>2131</v>
      </c>
      <c r="D6720" t="s">
        <v>17</v>
      </c>
      <c r="E6720" t="s">
        <v>18</v>
      </c>
      <c r="F6720" t="s">
        <v>19</v>
      </c>
      <c r="G6720" t="s">
        <v>20</v>
      </c>
      <c r="J6720" t="s">
        <v>17</v>
      </c>
      <c r="K6720" t="str">
        <f>"1495836193010"</f>
        <v>1495836193010</v>
      </c>
      <c r="L6720" t="str">
        <f>"1234"</f>
        <v>1234</v>
      </c>
      <c r="M6720" t="s">
        <v>75</v>
      </c>
      <c r="N6720" s="1">
        <v>42881.918749999997</v>
      </c>
      <c r="O6720" t="s">
        <v>19</v>
      </c>
    </row>
    <row r="6721" spans="1:15" x14ac:dyDescent="0.25">
      <c r="A6721" t="s">
        <v>4855</v>
      </c>
      <c r="B6721" t="s">
        <v>15</v>
      </c>
      <c r="C6721" t="s">
        <v>2838</v>
      </c>
      <c r="D6721" t="s">
        <v>17</v>
      </c>
      <c r="E6721" t="s">
        <v>18</v>
      </c>
      <c r="F6721" t="s">
        <v>19</v>
      </c>
      <c r="G6721" t="s">
        <v>20</v>
      </c>
      <c r="J6721" t="s">
        <v>17</v>
      </c>
      <c r="K6721" t="str">
        <f>"7796941038280"</f>
        <v>7796941038280</v>
      </c>
      <c r="L6721" t="str">
        <f>"42110100"</f>
        <v>42110100</v>
      </c>
      <c r="M6721" t="s">
        <v>75</v>
      </c>
      <c r="N6721" s="1">
        <v>42872.839583333334</v>
      </c>
      <c r="O6721" t="s">
        <v>19</v>
      </c>
    </row>
    <row r="6722" spans="1:15" x14ac:dyDescent="0.25">
      <c r="A6722" t="s">
        <v>4856</v>
      </c>
      <c r="B6722" t="s">
        <v>15</v>
      </c>
      <c r="C6722" t="s">
        <v>2838</v>
      </c>
      <c r="D6722" t="s">
        <v>17</v>
      </c>
      <c r="E6722" t="s">
        <v>18</v>
      </c>
      <c r="F6722" t="s">
        <v>19</v>
      </c>
      <c r="G6722" t="s">
        <v>20</v>
      </c>
      <c r="J6722" t="s">
        <v>17</v>
      </c>
      <c r="K6722" t="str">
        <f>"7796941038297"</f>
        <v>7796941038297</v>
      </c>
      <c r="L6722" t="str">
        <f>"42110201"</f>
        <v>42110201</v>
      </c>
      <c r="M6722" t="s">
        <v>75</v>
      </c>
      <c r="N6722" s="1">
        <v>42872.839583333334</v>
      </c>
      <c r="O6722" t="s">
        <v>19</v>
      </c>
    </row>
    <row r="6723" spans="1:15" x14ac:dyDescent="0.25">
      <c r="A6723" t="s">
        <v>4857</v>
      </c>
      <c r="B6723" t="s">
        <v>15</v>
      </c>
      <c r="C6723" t="s">
        <v>2838</v>
      </c>
      <c r="D6723" t="s">
        <v>17</v>
      </c>
      <c r="E6723" t="s">
        <v>18</v>
      </c>
      <c r="F6723" t="s">
        <v>19</v>
      </c>
      <c r="G6723" t="s">
        <v>20</v>
      </c>
      <c r="J6723" t="s">
        <v>17</v>
      </c>
      <c r="K6723" t="str">
        <f>"7796941037986"</f>
        <v>7796941037986</v>
      </c>
      <c r="L6723" t="str">
        <f>"42110400"</f>
        <v>42110400</v>
      </c>
      <c r="M6723" t="s">
        <v>75</v>
      </c>
      <c r="N6723" s="1">
        <v>42872.839583333334</v>
      </c>
      <c r="O6723" t="s">
        <v>19</v>
      </c>
    </row>
    <row r="6724" spans="1:15" x14ac:dyDescent="0.25">
      <c r="A6724" t="s">
        <v>4858</v>
      </c>
      <c r="B6724" t="s">
        <v>15</v>
      </c>
      <c r="C6724" t="s">
        <v>2838</v>
      </c>
      <c r="D6724" t="s">
        <v>17</v>
      </c>
      <c r="E6724" t="s">
        <v>18</v>
      </c>
      <c r="F6724" t="s">
        <v>19</v>
      </c>
      <c r="G6724" t="s">
        <v>20</v>
      </c>
      <c r="J6724" t="s">
        <v>17</v>
      </c>
      <c r="K6724" t="str">
        <f>"10821538"</f>
        <v>10821538</v>
      </c>
      <c r="L6724" t="str">
        <f>"10821538"</f>
        <v>10821538</v>
      </c>
      <c r="M6724" t="s">
        <v>75</v>
      </c>
      <c r="N6724" s="1">
        <v>42872.839583333334</v>
      </c>
      <c r="O6724" t="s">
        <v>19</v>
      </c>
    </row>
    <row r="6725" spans="1:15" x14ac:dyDescent="0.25">
      <c r="A6725" t="s">
        <v>4859</v>
      </c>
      <c r="B6725" t="s">
        <v>15</v>
      </c>
      <c r="C6725" t="s">
        <v>2838</v>
      </c>
      <c r="D6725" t="s">
        <v>17</v>
      </c>
      <c r="E6725" t="s">
        <v>18</v>
      </c>
      <c r="F6725" t="s">
        <v>19</v>
      </c>
      <c r="G6725" t="s">
        <v>20</v>
      </c>
      <c r="J6725" t="s">
        <v>17</v>
      </c>
      <c r="K6725" t="str">
        <f>"4710268255574"</f>
        <v>4710268255574</v>
      </c>
      <c r="L6725" t="str">
        <f>"92110100"</f>
        <v>92110100</v>
      </c>
      <c r="M6725" t="s">
        <v>21</v>
      </c>
      <c r="N6725" s="1">
        <v>43888.838888888888</v>
      </c>
      <c r="O6725" t="s">
        <v>19</v>
      </c>
    </row>
    <row r="6726" spans="1:15" x14ac:dyDescent="0.25">
      <c r="A6726" t="s">
        <v>4860</v>
      </c>
      <c r="B6726" t="s">
        <v>15</v>
      </c>
      <c r="C6726" t="s">
        <v>2838</v>
      </c>
      <c r="D6726" t="s">
        <v>17</v>
      </c>
      <c r="E6726" t="s">
        <v>18</v>
      </c>
      <c r="F6726" t="s">
        <v>19</v>
      </c>
      <c r="G6726" t="s">
        <v>20</v>
      </c>
      <c r="J6726" t="s">
        <v>17</v>
      </c>
      <c r="K6726" t="str">
        <f>"4710268255611"</f>
        <v>4710268255611</v>
      </c>
      <c r="L6726" t="str">
        <f>"92110102"</f>
        <v>92110102</v>
      </c>
      <c r="M6726" t="s">
        <v>21</v>
      </c>
      <c r="N6726" s="1">
        <v>43888.839583333334</v>
      </c>
      <c r="O6726" t="s">
        <v>19</v>
      </c>
    </row>
    <row r="6727" spans="1:15" x14ac:dyDescent="0.25">
      <c r="A6727" t="s">
        <v>4861</v>
      </c>
      <c r="B6727" t="s">
        <v>15</v>
      </c>
      <c r="C6727" t="s">
        <v>2838</v>
      </c>
      <c r="D6727" t="s">
        <v>17</v>
      </c>
      <c r="E6727" t="s">
        <v>18</v>
      </c>
      <c r="F6727" t="s">
        <v>19</v>
      </c>
      <c r="G6727" t="s">
        <v>20</v>
      </c>
      <c r="J6727" t="s">
        <v>17</v>
      </c>
      <c r="K6727" t="str">
        <f>"4710268257349"</f>
        <v>4710268257349</v>
      </c>
      <c r="L6727" t="str">
        <f>"92500116"</f>
        <v>92500116</v>
      </c>
      <c r="M6727" t="s">
        <v>21</v>
      </c>
      <c r="N6727" s="1">
        <v>44453.669444444444</v>
      </c>
      <c r="O6727" t="s">
        <v>19</v>
      </c>
    </row>
    <row r="6728" spans="1:15" x14ac:dyDescent="0.25">
      <c r="A6728" t="s">
        <v>4862</v>
      </c>
      <c r="B6728" t="s">
        <v>15</v>
      </c>
      <c r="C6728" t="s">
        <v>2838</v>
      </c>
      <c r="D6728" t="s">
        <v>17</v>
      </c>
      <c r="E6728" t="s">
        <v>18</v>
      </c>
      <c r="F6728" t="s">
        <v>19</v>
      </c>
      <c r="G6728" t="s">
        <v>20</v>
      </c>
      <c r="J6728" t="s">
        <v>17</v>
      </c>
      <c r="K6728" t="str">
        <f>"091163251408"</f>
        <v>091163251408</v>
      </c>
      <c r="L6728" t="str">
        <f>"29GENKB125"</f>
        <v>29GENKB125</v>
      </c>
      <c r="M6728" t="s">
        <v>21</v>
      </c>
      <c r="N6728" s="1">
        <v>43994.836805555555</v>
      </c>
      <c r="O6728" t="s">
        <v>19</v>
      </c>
    </row>
    <row r="6729" spans="1:15" x14ac:dyDescent="0.25">
      <c r="A6729" t="s">
        <v>4863</v>
      </c>
      <c r="B6729" t="s">
        <v>15</v>
      </c>
      <c r="C6729" t="s">
        <v>2838</v>
      </c>
      <c r="D6729" t="s">
        <v>17</v>
      </c>
      <c r="E6729" t="s">
        <v>18</v>
      </c>
      <c r="F6729" t="s">
        <v>19</v>
      </c>
      <c r="G6729" t="s">
        <v>20</v>
      </c>
      <c r="J6729" t="s">
        <v>17</v>
      </c>
      <c r="K6729" t="str">
        <f>"091163256175"</f>
        <v>091163256175</v>
      </c>
      <c r="L6729" t="str">
        <f>"29GENKM160"</f>
        <v>29GENKM160</v>
      </c>
      <c r="M6729" t="s">
        <v>21</v>
      </c>
      <c r="N6729" s="1">
        <v>43994.838888888888</v>
      </c>
      <c r="O6729" t="s">
        <v>19</v>
      </c>
    </row>
    <row r="6730" spans="1:15" x14ac:dyDescent="0.25">
      <c r="A6730" t="s">
        <v>4864</v>
      </c>
      <c r="B6730" t="s">
        <v>15</v>
      </c>
      <c r="C6730" t="s">
        <v>2838</v>
      </c>
      <c r="D6730" t="s">
        <v>17</v>
      </c>
      <c r="E6730" t="s">
        <v>18</v>
      </c>
      <c r="F6730" t="s">
        <v>19</v>
      </c>
      <c r="G6730" t="s">
        <v>20</v>
      </c>
      <c r="J6730" t="s">
        <v>17</v>
      </c>
      <c r="K6730" t="str">
        <f>"091163251422"</f>
        <v>091163251422</v>
      </c>
      <c r="L6730" t="str">
        <f>"29GENLUXEM"</f>
        <v>29GENLUXEM</v>
      </c>
      <c r="M6730" t="s">
        <v>21</v>
      </c>
      <c r="N6730" s="1">
        <v>43994.839583333334</v>
      </c>
      <c r="O6730" t="s">
        <v>19</v>
      </c>
    </row>
    <row r="6731" spans="1:15" x14ac:dyDescent="0.25">
      <c r="A6731" t="s">
        <v>4864</v>
      </c>
      <c r="B6731" t="s">
        <v>15</v>
      </c>
      <c r="C6731" t="s">
        <v>2838</v>
      </c>
      <c r="D6731" t="s">
        <v>17</v>
      </c>
      <c r="E6731" t="s">
        <v>18</v>
      </c>
      <c r="F6731" t="s">
        <v>19</v>
      </c>
      <c r="G6731" t="s">
        <v>20</v>
      </c>
      <c r="J6731" t="s">
        <v>17</v>
      </c>
      <c r="K6731" t="str">
        <f>"4710268251422"</f>
        <v>4710268251422</v>
      </c>
      <c r="L6731" t="str">
        <f>"92500100"</f>
        <v>92500100</v>
      </c>
      <c r="M6731" t="s">
        <v>21</v>
      </c>
      <c r="N6731" s="1">
        <v>44344.681944444441</v>
      </c>
      <c r="O6731" t="s">
        <v>19</v>
      </c>
    </row>
    <row r="6732" spans="1:15" x14ac:dyDescent="0.25">
      <c r="A6732" t="s">
        <v>4865</v>
      </c>
      <c r="B6732" t="s">
        <v>15</v>
      </c>
      <c r="C6732" t="s">
        <v>2838</v>
      </c>
      <c r="D6732" t="s">
        <v>17</v>
      </c>
      <c r="E6732" t="s">
        <v>18</v>
      </c>
      <c r="F6732" t="s">
        <v>19</v>
      </c>
      <c r="G6732" t="s">
        <v>20</v>
      </c>
      <c r="J6732" t="s">
        <v>17</v>
      </c>
      <c r="K6732" t="str">
        <f>"4710268257943"</f>
        <v>4710268257943</v>
      </c>
      <c r="L6732" t="str">
        <f>"92500126"</f>
        <v>92500126</v>
      </c>
      <c r="M6732" t="s">
        <v>21</v>
      </c>
      <c r="N6732" s="1">
        <v>44453.668749999997</v>
      </c>
      <c r="O6732" t="s">
        <v>19</v>
      </c>
    </row>
    <row r="6733" spans="1:15" x14ac:dyDescent="0.25">
      <c r="A6733" t="s">
        <v>4866</v>
      </c>
      <c r="B6733" t="s">
        <v>15</v>
      </c>
      <c r="C6733" t="s">
        <v>2838</v>
      </c>
      <c r="D6733" t="s">
        <v>17</v>
      </c>
      <c r="E6733" t="s">
        <v>18</v>
      </c>
      <c r="F6733" t="s">
        <v>19</v>
      </c>
      <c r="G6733" t="s">
        <v>20</v>
      </c>
      <c r="J6733" t="s">
        <v>17</v>
      </c>
      <c r="K6733" t="str">
        <f>"091163257561"</f>
        <v>091163257561</v>
      </c>
      <c r="L6733" t="str">
        <f>"29GEN0230N"</f>
        <v>29GEN0230N</v>
      </c>
      <c r="M6733" t="s">
        <v>21</v>
      </c>
      <c r="N6733" s="1">
        <v>43994.837500000001</v>
      </c>
      <c r="O6733" t="s">
        <v>19</v>
      </c>
    </row>
    <row r="6734" spans="1:15" x14ac:dyDescent="0.25">
      <c r="A6734" t="s">
        <v>4867</v>
      </c>
      <c r="B6734" t="s">
        <v>15</v>
      </c>
      <c r="C6734" t="s">
        <v>2838</v>
      </c>
      <c r="D6734" t="s">
        <v>17</v>
      </c>
      <c r="E6734" t="s">
        <v>18</v>
      </c>
      <c r="F6734" t="s">
        <v>19</v>
      </c>
      <c r="G6734" t="s">
        <v>20</v>
      </c>
      <c r="J6734" t="s">
        <v>17</v>
      </c>
      <c r="K6734" t="str">
        <f>"4710268255598"</f>
        <v>4710268255598</v>
      </c>
      <c r="L6734" t="str">
        <f>"92110101"</f>
        <v>92110101</v>
      </c>
      <c r="M6734" t="s">
        <v>21</v>
      </c>
      <c r="N6734" s="1">
        <v>43746.890972222223</v>
      </c>
      <c r="O6734" t="s">
        <v>19</v>
      </c>
    </row>
    <row r="6735" spans="1:15" x14ac:dyDescent="0.25">
      <c r="A6735" t="s">
        <v>4868</v>
      </c>
      <c r="B6735" t="s">
        <v>15</v>
      </c>
      <c r="C6735" t="s">
        <v>2838</v>
      </c>
      <c r="D6735" t="s">
        <v>17</v>
      </c>
      <c r="E6735" t="s">
        <v>18</v>
      </c>
      <c r="F6735" t="s">
        <v>19</v>
      </c>
      <c r="G6735" t="s">
        <v>20</v>
      </c>
      <c r="J6735" t="s">
        <v>17</v>
      </c>
      <c r="K6735" t="str">
        <f>"6912330586281"</f>
        <v>6912330586281</v>
      </c>
      <c r="L6735" t="str">
        <f>"40500123"</f>
        <v>40500123</v>
      </c>
      <c r="M6735" t="s">
        <v>21</v>
      </c>
      <c r="N6735" s="1">
        <v>44225.827777777777</v>
      </c>
      <c r="O6735" t="s">
        <v>19</v>
      </c>
    </row>
    <row r="6736" spans="1:15" x14ac:dyDescent="0.25">
      <c r="A6736" t="s">
        <v>4869</v>
      </c>
      <c r="B6736" t="s">
        <v>15</v>
      </c>
      <c r="C6736" t="s">
        <v>2838</v>
      </c>
      <c r="D6736" t="s">
        <v>17</v>
      </c>
      <c r="E6736" t="s">
        <v>18</v>
      </c>
      <c r="F6736" t="s">
        <v>19</v>
      </c>
      <c r="G6736" t="s">
        <v>20</v>
      </c>
      <c r="J6736" t="s">
        <v>17</v>
      </c>
      <c r="K6736" t="str">
        <f>"798302180680"</f>
        <v>798302180680</v>
      </c>
      <c r="L6736" t="str">
        <f>"92500550"</f>
        <v>92500550</v>
      </c>
      <c r="M6736" t="s">
        <v>21</v>
      </c>
      <c r="N6736" s="1">
        <v>42872.839583333334</v>
      </c>
      <c r="O6736" t="s">
        <v>19</v>
      </c>
    </row>
    <row r="6737" spans="1:15" x14ac:dyDescent="0.25">
      <c r="A6737" t="s">
        <v>4870</v>
      </c>
      <c r="B6737" t="s">
        <v>15</v>
      </c>
      <c r="C6737" t="s">
        <v>2838</v>
      </c>
      <c r="D6737" t="s">
        <v>17</v>
      </c>
      <c r="E6737" t="s">
        <v>18</v>
      </c>
      <c r="F6737" t="s">
        <v>19</v>
      </c>
      <c r="G6737" t="s">
        <v>20</v>
      </c>
      <c r="J6737" t="s">
        <v>17</v>
      </c>
      <c r="K6737" t="str">
        <f>"6927900010202"</f>
        <v>6927900010202</v>
      </c>
      <c r="L6737" t="str">
        <f>"25500009"</f>
        <v>25500009</v>
      </c>
      <c r="M6737" t="s">
        <v>21</v>
      </c>
      <c r="N6737" s="1">
        <v>42872.839583333334</v>
      </c>
      <c r="O6737" t="s">
        <v>19</v>
      </c>
    </row>
    <row r="6738" spans="1:15" x14ac:dyDescent="0.25">
      <c r="A6738" t="s">
        <v>4871</v>
      </c>
      <c r="B6738" t="s">
        <v>15</v>
      </c>
      <c r="C6738" t="s">
        <v>2838</v>
      </c>
      <c r="D6738" t="s">
        <v>17</v>
      </c>
      <c r="E6738" t="s">
        <v>18</v>
      </c>
      <c r="F6738" t="s">
        <v>19</v>
      </c>
      <c r="G6738" t="s">
        <v>20</v>
      </c>
      <c r="J6738" t="s">
        <v>17</v>
      </c>
      <c r="K6738" t="str">
        <f>"798303071222"</f>
        <v>798303071222</v>
      </c>
      <c r="L6738" t="str">
        <f>"98500100"</f>
        <v>98500100</v>
      </c>
      <c r="M6738" t="s">
        <v>21</v>
      </c>
      <c r="N6738" s="1">
        <v>42872.839583333334</v>
      </c>
      <c r="O6738" t="s">
        <v>19</v>
      </c>
    </row>
    <row r="6739" spans="1:15" x14ac:dyDescent="0.25">
      <c r="A6739" t="s">
        <v>4872</v>
      </c>
      <c r="B6739" t="s">
        <v>15</v>
      </c>
      <c r="C6739" t="s">
        <v>2838</v>
      </c>
      <c r="D6739" t="s">
        <v>17</v>
      </c>
      <c r="E6739" t="s">
        <v>18</v>
      </c>
      <c r="F6739" t="s">
        <v>19</v>
      </c>
      <c r="G6739" t="s">
        <v>20</v>
      </c>
      <c r="J6739" t="s">
        <v>17</v>
      </c>
      <c r="K6739" t="str">
        <f>"7168297165888"</f>
        <v>7168297165888</v>
      </c>
      <c r="L6739" t="str">
        <f>"98501000"</f>
        <v>98501000</v>
      </c>
      <c r="M6739" t="s">
        <v>21</v>
      </c>
      <c r="N6739" s="1">
        <v>42872.849305555559</v>
      </c>
      <c r="O6739" t="s">
        <v>19</v>
      </c>
    </row>
    <row r="6740" spans="1:15" x14ac:dyDescent="0.25">
      <c r="A6740" t="s">
        <v>4873</v>
      </c>
      <c r="B6740" t="s">
        <v>15</v>
      </c>
      <c r="C6740" t="s">
        <v>2838</v>
      </c>
      <c r="D6740" t="s">
        <v>17</v>
      </c>
      <c r="E6740" t="s">
        <v>18</v>
      </c>
      <c r="F6740" t="s">
        <v>19</v>
      </c>
      <c r="G6740" t="s">
        <v>20</v>
      </c>
      <c r="J6740" t="s">
        <v>17</v>
      </c>
      <c r="K6740" t="str">
        <f>"798302162181"</f>
        <v>798302162181</v>
      </c>
      <c r="L6740" t="str">
        <f>"92110160"</f>
        <v>92110160</v>
      </c>
      <c r="M6740" t="s">
        <v>21</v>
      </c>
      <c r="N6740" s="1">
        <v>43888.878472222219</v>
      </c>
      <c r="O6740" t="s">
        <v>19</v>
      </c>
    </row>
    <row r="6741" spans="1:15" x14ac:dyDescent="0.25">
      <c r="A6741" t="s">
        <v>4874</v>
      </c>
      <c r="B6741" t="s">
        <v>15</v>
      </c>
      <c r="C6741" t="s">
        <v>2838</v>
      </c>
      <c r="D6741" t="s">
        <v>17</v>
      </c>
      <c r="E6741" t="s">
        <v>18</v>
      </c>
      <c r="F6741" t="s">
        <v>19</v>
      </c>
      <c r="G6741" t="s">
        <v>20</v>
      </c>
      <c r="J6741" t="s">
        <v>17</v>
      </c>
      <c r="K6741" t="str">
        <f>"42110005"</f>
        <v>42110005</v>
      </c>
      <c r="L6741" t="str">
        <f>"42110005"</f>
        <v>42110005</v>
      </c>
      <c r="M6741" t="s">
        <v>75</v>
      </c>
      <c r="N6741" s="1">
        <v>42872.839583333334</v>
      </c>
      <c r="O6741" t="s">
        <v>19</v>
      </c>
    </row>
    <row r="6742" spans="1:15" x14ac:dyDescent="0.25">
      <c r="A6742" t="s">
        <v>4875</v>
      </c>
      <c r="B6742" t="s">
        <v>15</v>
      </c>
      <c r="C6742" t="s">
        <v>2838</v>
      </c>
      <c r="D6742" t="s">
        <v>17</v>
      </c>
      <c r="E6742" t="s">
        <v>18</v>
      </c>
      <c r="F6742" t="s">
        <v>19</v>
      </c>
      <c r="G6742" t="s">
        <v>20</v>
      </c>
      <c r="J6742" t="s">
        <v>17</v>
      </c>
      <c r="K6742" t="str">
        <f>"7804625561648"</f>
        <v>7804625561648</v>
      </c>
      <c r="L6742" t="str">
        <f>"42110450"</f>
        <v>42110450</v>
      </c>
      <c r="M6742" t="s">
        <v>84</v>
      </c>
      <c r="N6742" s="1">
        <v>43572.800694444442</v>
      </c>
      <c r="O6742" t="s">
        <v>19</v>
      </c>
    </row>
    <row r="6743" spans="1:15" x14ac:dyDescent="0.25">
      <c r="A6743" t="s">
        <v>4876</v>
      </c>
      <c r="B6743" t="s">
        <v>15</v>
      </c>
      <c r="C6743" t="s">
        <v>2838</v>
      </c>
      <c r="D6743" t="s">
        <v>17</v>
      </c>
      <c r="E6743" t="s">
        <v>18</v>
      </c>
      <c r="F6743" t="s">
        <v>19</v>
      </c>
      <c r="G6743" t="s">
        <v>20</v>
      </c>
      <c r="J6743" t="s">
        <v>17</v>
      </c>
      <c r="K6743" t="str">
        <f>"023942975373"</f>
        <v>023942975373</v>
      </c>
      <c r="L6743" t="str">
        <f>"98505373"</f>
        <v>98505373</v>
      </c>
      <c r="M6743" t="s">
        <v>75</v>
      </c>
      <c r="N6743" s="1">
        <v>43216.661111111112</v>
      </c>
      <c r="O6743" t="s">
        <v>19</v>
      </c>
    </row>
    <row r="6744" spans="1:15" x14ac:dyDescent="0.25">
      <c r="A6744" t="s">
        <v>4877</v>
      </c>
      <c r="B6744" t="s">
        <v>15</v>
      </c>
      <c r="C6744" t="s">
        <v>2838</v>
      </c>
      <c r="D6744" t="s">
        <v>17</v>
      </c>
      <c r="E6744" t="s">
        <v>18</v>
      </c>
      <c r="F6744" t="s">
        <v>19</v>
      </c>
      <c r="G6744" t="s">
        <v>20</v>
      </c>
      <c r="J6744" t="s">
        <v>17</v>
      </c>
      <c r="K6744" t="str">
        <f>"7796941037962"</f>
        <v>7796941037962</v>
      </c>
      <c r="L6744" t="str">
        <f>"42110150"</f>
        <v>42110150</v>
      </c>
      <c r="M6744" t="s">
        <v>75</v>
      </c>
      <c r="N6744" s="1">
        <v>42872.839583333334</v>
      </c>
      <c r="O6744" t="s">
        <v>19</v>
      </c>
    </row>
    <row r="6745" spans="1:15" x14ac:dyDescent="0.25">
      <c r="A6745" t="s">
        <v>4878</v>
      </c>
      <c r="B6745" t="s">
        <v>15</v>
      </c>
      <c r="C6745" t="s">
        <v>2838</v>
      </c>
      <c r="D6745" t="s">
        <v>17</v>
      </c>
      <c r="E6745" t="s">
        <v>18</v>
      </c>
      <c r="F6745" t="s">
        <v>19</v>
      </c>
      <c r="G6745" t="s">
        <v>20</v>
      </c>
      <c r="J6745" t="s">
        <v>17</v>
      </c>
      <c r="K6745" t="str">
        <f>"7895623049061"</f>
        <v>7895623049061</v>
      </c>
      <c r="L6745" t="str">
        <f>"66504906"</f>
        <v>66504906</v>
      </c>
      <c r="M6745" t="s">
        <v>21</v>
      </c>
      <c r="N6745" s="1">
        <v>44392.827777777777</v>
      </c>
      <c r="O6745" t="s">
        <v>19</v>
      </c>
    </row>
    <row r="6746" spans="1:15" x14ac:dyDescent="0.25">
      <c r="A6746" t="s">
        <v>4879</v>
      </c>
      <c r="B6746" t="s">
        <v>15</v>
      </c>
      <c r="C6746" t="s">
        <v>2838</v>
      </c>
      <c r="D6746" t="s">
        <v>17</v>
      </c>
      <c r="E6746" t="s">
        <v>18</v>
      </c>
      <c r="F6746" t="s">
        <v>19</v>
      </c>
      <c r="G6746" t="s">
        <v>20</v>
      </c>
      <c r="J6746" t="s">
        <v>17</v>
      </c>
      <c r="K6746" t="str">
        <f>"7895623050333"</f>
        <v>7895623050333</v>
      </c>
      <c r="L6746" t="str">
        <f>"66505033"</f>
        <v>66505033</v>
      </c>
      <c r="M6746" t="s">
        <v>21</v>
      </c>
      <c r="N6746" s="1">
        <v>44392.835416666669</v>
      </c>
      <c r="O6746" t="s">
        <v>19</v>
      </c>
    </row>
    <row r="6747" spans="1:15" x14ac:dyDescent="0.25">
      <c r="A6747" t="s">
        <v>4880</v>
      </c>
      <c r="B6747" t="s">
        <v>15</v>
      </c>
      <c r="C6747" t="s">
        <v>2838</v>
      </c>
      <c r="D6747" t="s">
        <v>17</v>
      </c>
      <c r="E6747" t="s">
        <v>18</v>
      </c>
      <c r="F6747" t="s">
        <v>19</v>
      </c>
      <c r="G6747" t="s">
        <v>20</v>
      </c>
      <c r="J6747" t="s">
        <v>17</v>
      </c>
      <c r="K6747" t="str">
        <f>"4710268251446"</f>
        <v>4710268251446</v>
      </c>
      <c r="L6747" t="str">
        <f>"98110215"</f>
        <v>98110215</v>
      </c>
      <c r="M6747" t="s">
        <v>84</v>
      </c>
      <c r="N6747" s="1">
        <v>43279.786805555559</v>
      </c>
      <c r="O6747" t="s">
        <v>19</v>
      </c>
    </row>
    <row r="6748" spans="1:15" x14ac:dyDescent="0.25">
      <c r="A6748" t="s">
        <v>4881</v>
      </c>
      <c r="B6748" t="s">
        <v>15</v>
      </c>
      <c r="C6748" t="s">
        <v>2838</v>
      </c>
      <c r="D6748" t="s">
        <v>17</v>
      </c>
      <c r="E6748" t="s">
        <v>18</v>
      </c>
      <c r="F6748" t="s">
        <v>19</v>
      </c>
      <c r="G6748" t="s">
        <v>20</v>
      </c>
      <c r="J6748" t="s">
        <v>17</v>
      </c>
      <c r="K6748" t="str">
        <f>"4710268251453"</f>
        <v>4710268251453</v>
      </c>
      <c r="L6748" t="str">
        <f>"92110220"</f>
        <v>92110220</v>
      </c>
      <c r="M6748" t="s">
        <v>21</v>
      </c>
      <c r="N6748" s="1">
        <v>43713.938194444447</v>
      </c>
      <c r="O6748" t="s">
        <v>19</v>
      </c>
    </row>
    <row r="6749" spans="1:15" x14ac:dyDescent="0.25">
      <c r="A6749" t="s">
        <v>4882</v>
      </c>
      <c r="B6749" t="s">
        <v>15</v>
      </c>
      <c r="C6749" t="s">
        <v>2838</v>
      </c>
      <c r="D6749" t="s">
        <v>17</v>
      </c>
      <c r="E6749" t="s">
        <v>18</v>
      </c>
      <c r="F6749" t="s">
        <v>19</v>
      </c>
      <c r="G6749" t="s">
        <v>20</v>
      </c>
      <c r="J6749" t="s">
        <v>17</v>
      </c>
      <c r="K6749" t="str">
        <f>"7893590161021"</f>
        <v>7893590161021</v>
      </c>
      <c r="L6749" t="str">
        <f>"40500008"</f>
        <v>40500008</v>
      </c>
      <c r="M6749" t="s">
        <v>21</v>
      </c>
      <c r="N6749" s="1">
        <v>44434.927083333336</v>
      </c>
      <c r="O6749" t="s">
        <v>19</v>
      </c>
    </row>
    <row r="6750" spans="1:15" x14ac:dyDescent="0.25">
      <c r="A6750" t="s">
        <v>4883</v>
      </c>
      <c r="B6750" t="s">
        <v>15</v>
      </c>
      <c r="C6750" t="s">
        <v>2838</v>
      </c>
      <c r="D6750" t="s">
        <v>17</v>
      </c>
      <c r="E6750" t="s">
        <v>18</v>
      </c>
      <c r="F6750" t="s">
        <v>19</v>
      </c>
      <c r="G6750" t="s">
        <v>20</v>
      </c>
      <c r="J6750" t="s">
        <v>17</v>
      </c>
      <c r="K6750" t="str">
        <f>"6818770048955"</f>
        <v>6818770048955</v>
      </c>
      <c r="L6750" t="str">
        <f>"85500900"</f>
        <v>85500900</v>
      </c>
      <c r="M6750" t="s">
        <v>84</v>
      </c>
      <c r="N6750" s="1">
        <v>43347.841666666667</v>
      </c>
      <c r="O6750" t="s">
        <v>19</v>
      </c>
    </row>
    <row r="6751" spans="1:15" x14ac:dyDescent="0.25">
      <c r="A6751" t="s">
        <v>4884</v>
      </c>
      <c r="B6751" t="s">
        <v>15</v>
      </c>
      <c r="C6751" t="s">
        <v>2838</v>
      </c>
      <c r="D6751" t="s">
        <v>17</v>
      </c>
      <c r="E6751" t="s">
        <v>18</v>
      </c>
      <c r="F6751" t="s">
        <v>19</v>
      </c>
      <c r="G6751" t="s">
        <v>20</v>
      </c>
      <c r="J6751" t="s">
        <v>17</v>
      </c>
      <c r="K6751" t="str">
        <f>"39500030"</f>
        <v>39500030</v>
      </c>
      <c r="L6751" t="str">
        <f>"39500030"</f>
        <v>39500030</v>
      </c>
      <c r="M6751" t="s">
        <v>21</v>
      </c>
      <c r="N6751" s="1">
        <v>44351.934027777781</v>
      </c>
      <c r="O6751" t="s">
        <v>19</v>
      </c>
    </row>
    <row r="6752" spans="1:15" x14ac:dyDescent="0.25">
      <c r="A6752" t="s">
        <v>4885</v>
      </c>
      <c r="B6752" t="s">
        <v>15</v>
      </c>
      <c r="C6752" t="s">
        <v>2838</v>
      </c>
      <c r="D6752" t="s">
        <v>17</v>
      </c>
      <c r="E6752" t="s">
        <v>18</v>
      </c>
      <c r="F6752" t="s">
        <v>19</v>
      </c>
      <c r="G6752" t="s">
        <v>20</v>
      </c>
      <c r="J6752" t="s">
        <v>17</v>
      </c>
      <c r="K6752" t="str">
        <f>"8713439222791"</f>
        <v>8713439222791</v>
      </c>
      <c r="L6752" t="str">
        <f>"92500830"</f>
        <v>92500830</v>
      </c>
      <c r="M6752" t="s">
        <v>21</v>
      </c>
      <c r="N6752" s="1">
        <v>44453.685416666667</v>
      </c>
      <c r="O6752" t="s">
        <v>19</v>
      </c>
    </row>
    <row r="6753" spans="1:15" x14ac:dyDescent="0.25">
      <c r="A6753" t="s">
        <v>4886</v>
      </c>
      <c r="B6753" t="s">
        <v>15</v>
      </c>
      <c r="C6753" t="s">
        <v>2838</v>
      </c>
      <c r="D6753" t="s">
        <v>17</v>
      </c>
      <c r="E6753" t="s">
        <v>18</v>
      </c>
      <c r="F6753" t="s">
        <v>19</v>
      </c>
      <c r="G6753" t="s">
        <v>20</v>
      </c>
      <c r="J6753" t="s">
        <v>17</v>
      </c>
      <c r="K6753" t="str">
        <f>"6955727790472"</f>
        <v>6955727790472</v>
      </c>
      <c r="L6753" t="str">
        <f>"40509002"</f>
        <v>40509002</v>
      </c>
      <c r="M6753" t="s">
        <v>21</v>
      </c>
      <c r="N6753" s="1">
        <v>44225.82916666667</v>
      </c>
      <c r="O6753" t="s">
        <v>19</v>
      </c>
    </row>
    <row r="6754" spans="1:15" x14ac:dyDescent="0.25">
      <c r="A6754" t="s">
        <v>4887</v>
      </c>
      <c r="B6754" t="s">
        <v>15</v>
      </c>
      <c r="C6754" t="s">
        <v>2838</v>
      </c>
      <c r="D6754" t="s">
        <v>17</v>
      </c>
      <c r="E6754" t="s">
        <v>18</v>
      </c>
      <c r="F6754" t="s">
        <v>19</v>
      </c>
      <c r="G6754" t="s">
        <v>20</v>
      </c>
      <c r="J6754" t="s">
        <v>17</v>
      </c>
      <c r="K6754" t="str">
        <f>"6917567002139"</f>
        <v>6917567002139</v>
      </c>
      <c r="L6754" t="str">
        <f>"40305001"</f>
        <v>40305001</v>
      </c>
      <c r="M6754" t="s">
        <v>21</v>
      </c>
      <c r="N6754" s="1">
        <v>42872.849305555559</v>
      </c>
      <c r="O6754" t="s">
        <v>19</v>
      </c>
    </row>
    <row r="6755" spans="1:15" x14ac:dyDescent="0.25">
      <c r="A6755" t="s">
        <v>4888</v>
      </c>
      <c r="B6755" t="s">
        <v>15</v>
      </c>
      <c r="C6755" t="s">
        <v>2838</v>
      </c>
      <c r="D6755" t="s">
        <v>17</v>
      </c>
      <c r="E6755" t="s">
        <v>18</v>
      </c>
      <c r="F6755" t="s">
        <v>19</v>
      </c>
      <c r="G6755" t="s">
        <v>20</v>
      </c>
      <c r="J6755" t="s">
        <v>17</v>
      </c>
      <c r="K6755" t="str">
        <f>"7168229273827"</f>
        <v>7168229273827</v>
      </c>
      <c r="L6755" t="str">
        <f>"1594658309238"</f>
        <v>1594658309238</v>
      </c>
      <c r="M6755" t="s">
        <v>21</v>
      </c>
      <c r="N6755" s="1">
        <v>43805.73541666667</v>
      </c>
      <c r="O6755" t="s">
        <v>19</v>
      </c>
    </row>
    <row r="6756" spans="1:15" x14ac:dyDescent="0.25">
      <c r="A6756" t="s">
        <v>4889</v>
      </c>
      <c r="B6756" t="s">
        <v>15</v>
      </c>
      <c r="C6756" t="s">
        <v>2838</v>
      </c>
      <c r="D6756" t="s">
        <v>17</v>
      </c>
      <c r="E6756" t="s">
        <v>18</v>
      </c>
      <c r="F6756" t="s">
        <v>19</v>
      </c>
      <c r="G6756" t="s">
        <v>20</v>
      </c>
      <c r="J6756" t="s">
        <v>17</v>
      </c>
      <c r="K6756" t="str">
        <f>"7804625560986"</f>
        <v>7804625560986</v>
      </c>
      <c r="L6756" t="str">
        <f>"42800900"</f>
        <v>42800900</v>
      </c>
      <c r="M6756" t="s">
        <v>75</v>
      </c>
      <c r="N6756" s="1">
        <v>42872.839583333334</v>
      </c>
      <c r="O6756" t="s">
        <v>19</v>
      </c>
    </row>
    <row r="6757" spans="1:15" x14ac:dyDescent="0.25">
      <c r="A6757" t="s">
        <v>4890</v>
      </c>
      <c r="B6757" t="s">
        <v>15</v>
      </c>
      <c r="C6757" t="s">
        <v>2838</v>
      </c>
      <c r="D6757" t="s">
        <v>17</v>
      </c>
      <c r="E6757" t="s">
        <v>18</v>
      </c>
      <c r="F6757" t="s">
        <v>19</v>
      </c>
      <c r="G6757" t="s">
        <v>20</v>
      </c>
      <c r="J6757" t="s">
        <v>17</v>
      </c>
      <c r="K6757" t="str">
        <f>"7168297807722"</f>
        <v>7168297807722</v>
      </c>
      <c r="L6757" t="str">
        <f>"98501111"</f>
        <v>98501111</v>
      </c>
      <c r="M6757" t="s">
        <v>21</v>
      </c>
      <c r="N6757" s="1">
        <v>44321.864583333336</v>
      </c>
      <c r="O6757" t="s">
        <v>19</v>
      </c>
    </row>
    <row r="6758" spans="1:15" x14ac:dyDescent="0.25">
      <c r="A6758" t="s">
        <v>4891</v>
      </c>
      <c r="B6758" t="s">
        <v>15</v>
      </c>
      <c r="C6758" t="s">
        <v>2838</v>
      </c>
      <c r="D6758" t="s">
        <v>17</v>
      </c>
      <c r="E6758" t="s">
        <v>18</v>
      </c>
      <c r="F6758" t="s">
        <v>19</v>
      </c>
      <c r="G6758" t="s">
        <v>20</v>
      </c>
      <c r="J6758" t="s">
        <v>17</v>
      </c>
      <c r="K6758" t="str">
        <f>"10002162"</f>
        <v>10002162</v>
      </c>
      <c r="L6758" t="str">
        <f>"10002162"</f>
        <v>10002162</v>
      </c>
      <c r="M6758" t="s">
        <v>75</v>
      </c>
      <c r="N6758" s="1">
        <v>42924.697916666664</v>
      </c>
      <c r="O6758" t="s">
        <v>19</v>
      </c>
    </row>
    <row r="6759" spans="1:15" x14ac:dyDescent="0.25">
      <c r="A6759" t="s">
        <v>4891</v>
      </c>
      <c r="B6759" t="s">
        <v>15</v>
      </c>
      <c r="C6759" t="s">
        <v>2838</v>
      </c>
      <c r="D6759" t="s">
        <v>17</v>
      </c>
      <c r="E6759" t="s">
        <v>18</v>
      </c>
      <c r="F6759" t="s">
        <v>19</v>
      </c>
      <c r="G6759" t="s">
        <v>20</v>
      </c>
      <c r="J6759" t="s">
        <v>17</v>
      </c>
      <c r="K6759" t="str">
        <f>"4712592947323"</f>
        <v>4712592947323</v>
      </c>
      <c r="L6759" t="str">
        <f>"1507322576023"</f>
        <v>1507322576023</v>
      </c>
      <c r="M6759" t="s">
        <v>21</v>
      </c>
      <c r="N6759" s="1">
        <v>43014.862500000003</v>
      </c>
      <c r="O6759" t="s">
        <v>33</v>
      </c>
    </row>
    <row r="6760" spans="1:15" x14ac:dyDescent="0.25">
      <c r="A6760" t="s">
        <v>4892</v>
      </c>
      <c r="B6760" t="s">
        <v>15</v>
      </c>
      <c r="C6760" t="s">
        <v>2838</v>
      </c>
      <c r="D6760" t="s">
        <v>17</v>
      </c>
      <c r="E6760" t="s">
        <v>18</v>
      </c>
      <c r="F6760" t="s">
        <v>19</v>
      </c>
      <c r="G6760" t="s">
        <v>20</v>
      </c>
      <c r="J6760" t="s">
        <v>17</v>
      </c>
      <c r="K6760" t="str">
        <f>"766623178846"</f>
        <v>766623178846</v>
      </c>
      <c r="L6760" t="str">
        <f>"52508846"</f>
        <v>52508846</v>
      </c>
      <c r="M6760" t="s">
        <v>21</v>
      </c>
      <c r="N6760" s="1">
        <v>43985.852777777778</v>
      </c>
      <c r="O6760" t="s">
        <v>19</v>
      </c>
    </row>
    <row r="6761" spans="1:15" x14ac:dyDescent="0.25">
      <c r="A6761" t="s">
        <v>4893</v>
      </c>
      <c r="B6761" t="s">
        <v>15</v>
      </c>
      <c r="C6761" t="s">
        <v>2838</v>
      </c>
      <c r="D6761" t="s">
        <v>17</v>
      </c>
      <c r="E6761" t="s">
        <v>18</v>
      </c>
      <c r="F6761" t="s">
        <v>19</v>
      </c>
      <c r="G6761" t="s">
        <v>20</v>
      </c>
      <c r="J6761" t="s">
        <v>17</v>
      </c>
      <c r="K6761" t="str">
        <f>"7168297807702"</f>
        <v>7168297807702</v>
      </c>
      <c r="L6761" t="str">
        <f>"98110200"</f>
        <v>98110200</v>
      </c>
      <c r="M6761" t="s">
        <v>84</v>
      </c>
      <c r="N6761" s="1">
        <v>43279.9375</v>
      </c>
      <c r="O6761" t="s">
        <v>19</v>
      </c>
    </row>
    <row r="6762" spans="1:15" x14ac:dyDescent="0.25">
      <c r="A6762" t="s">
        <v>4894</v>
      </c>
      <c r="B6762" t="s">
        <v>15</v>
      </c>
      <c r="C6762" t="s">
        <v>2838</v>
      </c>
      <c r="D6762" t="s">
        <v>17</v>
      </c>
      <c r="E6762" t="s">
        <v>18</v>
      </c>
      <c r="F6762" t="s">
        <v>19</v>
      </c>
      <c r="G6762" t="s">
        <v>20</v>
      </c>
      <c r="J6762" t="s">
        <v>17</v>
      </c>
      <c r="K6762" t="str">
        <f>"6931326001942"</f>
        <v>6931326001942</v>
      </c>
      <c r="L6762" t="str">
        <f>"40501942"</f>
        <v>40501942</v>
      </c>
      <c r="M6762" t="s">
        <v>21</v>
      </c>
      <c r="N6762" s="1">
        <v>42872.849305555559</v>
      </c>
      <c r="O6762" t="s">
        <v>19</v>
      </c>
    </row>
    <row r="6763" spans="1:15" x14ac:dyDescent="0.25">
      <c r="A6763" t="s">
        <v>4895</v>
      </c>
      <c r="B6763" t="s">
        <v>15</v>
      </c>
      <c r="C6763" t="s">
        <v>37</v>
      </c>
      <c r="D6763" t="s">
        <v>17</v>
      </c>
      <c r="E6763" t="s">
        <v>18</v>
      </c>
      <c r="F6763" t="s">
        <v>19</v>
      </c>
      <c r="G6763" t="s">
        <v>20</v>
      </c>
      <c r="J6763" t="s">
        <v>17</v>
      </c>
      <c r="K6763" t="str">
        <f>"10001351"</f>
        <v>10001351</v>
      </c>
      <c r="L6763" t="str">
        <f>"10001351"</f>
        <v>10001351</v>
      </c>
      <c r="M6763" t="s">
        <v>84</v>
      </c>
      <c r="N6763" s="1">
        <v>43463.837500000001</v>
      </c>
      <c r="O6763" t="s">
        <v>19</v>
      </c>
    </row>
    <row r="6764" spans="1:15" x14ac:dyDescent="0.25">
      <c r="A6764" t="s">
        <v>4896</v>
      </c>
      <c r="B6764" t="s">
        <v>15</v>
      </c>
      <c r="C6764" t="s">
        <v>2838</v>
      </c>
      <c r="D6764" t="s">
        <v>17</v>
      </c>
      <c r="E6764" t="s">
        <v>18</v>
      </c>
      <c r="F6764" t="s">
        <v>19</v>
      </c>
      <c r="G6764" t="s">
        <v>20</v>
      </c>
      <c r="J6764" t="s">
        <v>17</v>
      </c>
      <c r="K6764" t="str">
        <f>"2015061908163"</f>
        <v>2015061908163</v>
      </c>
      <c r="L6764" t="str">
        <f>"10001538"</f>
        <v>10001538</v>
      </c>
      <c r="M6764" t="s">
        <v>84</v>
      </c>
      <c r="N6764" s="1">
        <v>42872.839583333334</v>
      </c>
      <c r="O6764" t="s">
        <v>19</v>
      </c>
    </row>
    <row r="6765" spans="1:15" x14ac:dyDescent="0.25">
      <c r="A6765" t="s">
        <v>4897</v>
      </c>
      <c r="B6765" t="s">
        <v>15</v>
      </c>
      <c r="C6765" t="s">
        <v>2838</v>
      </c>
      <c r="D6765" t="s">
        <v>17</v>
      </c>
      <c r="E6765" t="s">
        <v>18</v>
      </c>
      <c r="F6765" t="s">
        <v>19</v>
      </c>
      <c r="G6765" t="s">
        <v>20</v>
      </c>
      <c r="J6765" t="s">
        <v>17</v>
      </c>
      <c r="K6765" t="str">
        <f>"6956822420028"</f>
        <v>6956822420028</v>
      </c>
      <c r="L6765" t="str">
        <f>"10002123"</f>
        <v>10002123</v>
      </c>
      <c r="M6765" t="s">
        <v>75</v>
      </c>
      <c r="N6765" s="1">
        <v>42924.679166666669</v>
      </c>
      <c r="O6765" t="s">
        <v>19</v>
      </c>
    </row>
    <row r="6766" spans="1:15" x14ac:dyDescent="0.25">
      <c r="A6766" t="s">
        <v>4898</v>
      </c>
      <c r="B6766" t="s">
        <v>15</v>
      </c>
      <c r="C6766" t="s">
        <v>2838</v>
      </c>
      <c r="D6766" t="s">
        <v>17</v>
      </c>
      <c r="E6766" t="s">
        <v>18</v>
      </c>
      <c r="F6766" t="s">
        <v>19</v>
      </c>
      <c r="G6766" t="s">
        <v>20</v>
      </c>
      <c r="J6766" t="s">
        <v>17</v>
      </c>
      <c r="K6766" t="str">
        <f>"4710007715291"</f>
        <v>4710007715291</v>
      </c>
      <c r="L6766" t="str">
        <f>"65505291"</f>
        <v>65505291</v>
      </c>
      <c r="M6766" t="s">
        <v>75</v>
      </c>
      <c r="N6766" s="1">
        <v>43029.629861111112</v>
      </c>
      <c r="O6766" t="s">
        <v>19</v>
      </c>
    </row>
    <row r="6767" spans="1:15" x14ac:dyDescent="0.25">
      <c r="A6767" t="s">
        <v>4899</v>
      </c>
      <c r="B6767" t="s">
        <v>15</v>
      </c>
      <c r="C6767" t="s">
        <v>2838</v>
      </c>
      <c r="D6767" t="s">
        <v>17</v>
      </c>
      <c r="E6767" t="s">
        <v>18</v>
      </c>
      <c r="F6767" t="s">
        <v>19</v>
      </c>
      <c r="G6767" t="s">
        <v>20</v>
      </c>
      <c r="J6767" t="s">
        <v>17</v>
      </c>
      <c r="K6767" t="str">
        <f>"4710007718407"</f>
        <v>4710007718407</v>
      </c>
      <c r="L6767" t="str">
        <f>"65508407"</f>
        <v>65508407</v>
      </c>
      <c r="M6767" t="s">
        <v>75</v>
      </c>
      <c r="N6767" s="1">
        <v>43029.64166666667</v>
      </c>
      <c r="O6767" t="s">
        <v>19</v>
      </c>
    </row>
    <row r="6768" spans="1:15" x14ac:dyDescent="0.25">
      <c r="A6768" t="s">
        <v>4900</v>
      </c>
      <c r="B6768" t="s">
        <v>15</v>
      </c>
      <c r="C6768" t="s">
        <v>2838</v>
      </c>
      <c r="D6768" t="s">
        <v>17</v>
      </c>
      <c r="E6768" t="s">
        <v>18</v>
      </c>
      <c r="F6768" t="s">
        <v>19</v>
      </c>
      <c r="G6768" t="s">
        <v>20</v>
      </c>
      <c r="J6768" t="s">
        <v>17</v>
      </c>
      <c r="K6768" t="str">
        <f>"7168299684370"</f>
        <v>7168299684370</v>
      </c>
      <c r="L6768" t="str">
        <f>"98500050"</f>
        <v>98500050</v>
      </c>
      <c r="M6768" t="s">
        <v>21</v>
      </c>
      <c r="N6768" s="1">
        <v>43706.658333333333</v>
      </c>
      <c r="O6768" t="s">
        <v>19</v>
      </c>
    </row>
    <row r="6769" spans="1:15" x14ac:dyDescent="0.25">
      <c r="A6769" t="s">
        <v>4900</v>
      </c>
      <c r="B6769" t="s">
        <v>15</v>
      </c>
      <c r="C6769" t="s">
        <v>2838</v>
      </c>
      <c r="D6769" t="s">
        <v>17</v>
      </c>
      <c r="E6769" t="s">
        <v>18</v>
      </c>
      <c r="F6769" t="s">
        <v>19</v>
      </c>
      <c r="G6769" t="s">
        <v>20</v>
      </c>
      <c r="J6769" t="s">
        <v>17</v>
      </c>
      <c r="K6769" t="str">
        <f>"92500050"</f>
        <v>92500050</v>
      </c>
      <c r="L6769" t="str">
        <f>"92500050"</f>
        <v>92500050</v>
      </c>
      <c r="M6769" t="s">
        <v>21</v>
      </c>
      <c r="N6769" s="1">
        <v>43805.73333333333</v>
      </c>
      <c r="O6769" t="s">
        <v>19</v>
      </c>
    </row>
    <row r="6770" spans="1:15" x14ac:dyDescent="0.25">
      <c r="A6770" t="s">
        <v>4901</v>
      </c>
      <c r="B6770" t="s">
        <v>15</v>
      </c>
      <c r="C6770" t="s">
        <v>2838</v>
      </c>
      <c r="D6770" t="s">
        <v>17</v>
      </c>
      <c r="E6770" t="s">
        <v>18</v>
      </c>
      <c r="F6770" t="s">
        <v>19</v>
      </c>
      <c r="G6770" t="s">
        <v>20</v>
      </c>
      <c r="J6770" t="s">
        <v>17</v>
      </c>
      <c r="K6770" t="str">
        <f>"4710268252153"</f>
        <v>4710268252153</v>
      </c>
      <c r="L6770" t="str">
        <f>"92110130"</f>
        <v>92110130</v>
      </c>
      <c r="M6770" t="s">
        <v>21</v>
      </c>
      <c r="N6770" s="1">
        <v>43746.892361111109</v>
      </c>
      <c r="O6770" t="s">
        <v>19</v>
      </c>
    </row>
    <row r="6771" spans="1:15" x14ac:dyDescent="0.25">
      <c r="A6771" t="s">
        <v>4902</v>
      </c>
      <c r="B6771" t="s">
        <v>15</v>
      </c>
      <c r="C6771" t="s">
        <v>2838</v>
      </c>
      <c r="D6771" t="s">
        <v>17</v>
      </c>
      <c r="E6771" t="s">
        <v>18</v>
      </c>
      <c r="F6771" t="s">
        <v>19</v>
      </c>
      <c r="G6771" t="s">
        <v>20</v>
      </c>
      <c r="J6771" t="s">
        <v>17</v>
      </c>
      <c r="K6771" t="str">
        <f>"4710268256175"</f>
        <v>4710268256175</v>
      </c>
      <c r="L6771" t="str">
        <f>"92500160"</f>
        <v>92500160</v>
      </c>
      <c r="M6771" t="s">
        <v>21</v>
      </c>
      <c r="N6771" s="1">
        <v>44453.667361111111</v>
      </c>
      <c r="O6771" t="s">
        <v>19</v>
      </c>
    </row>
    <row r="6772" spans="1:15" x14ac:dyDescent="0.25">
      <c r="A6772" t="s">
        <v>4903</v>
      </c>
      <c r="B6772" t="s">
        <v>15</v>
      </c>
      <c r="C6772" t="s">
        <v>2838</v>
      </c>
      <c r="D6772" t="s">
        <v>17</v>
      </c>
      <c r="E6772" t="s">
        <v>18</v>
      </c>
      <c r="F6772" t="s">
        <v>19</v>
      </c>
      <c r="G6772" t="s">
        <v>20</v>
      </c>
      <c r="J6772" t="s">
        <v>17</v>
      </c>
      <c r="K6772" t="str">
        <f>"4710268252023"</f>
        <v>4710268252023</v>
      </c>
      <c r="L6772" t="str">
        <f>"92500130"</f>
        <v>92500130</v>
      </c>
      <c r="M6772" t="s">
        <v>21</v>
      </c>
      <c r="N6772" s="1">
        <v>44344.684027777781</v>
      </c>
      <c r="O6772" t="s">
        <v>19</v>
      </c>
    </row>
    <row r="6773" spans="1:15" x14ac:dyDescent="0.25">
      <c r="A6773" t="s">
        <v>4904</v>
      </c>
      <c r="B6773" t="s">
        <v>15</v>
      </c>
      <c r="C6773" t="s">
        <v>2838</v>
      </c>
      <c r="D6773" t="s">
        <v>17</v>
      </c>
      <c r="E6773" t="s">
        <v>18</v>
      </c>
      <c r="F6773" t="s">
        <v>19</v>
      </c>
      <c r="G6773" t="s">
        <v>20</v>
      </c>
      <c r="J6773" t="s">
        <v>17</v>
      </c>
      <c r="K6773" t="str">
        <f>"8712581761790"</f>
        <v>8712581761790</v>
      </c>
      <c r="L6773" t="str">
        <f>"98300234"</f>
        <v>98300234</v>
      </c>
      <c r="M6773" t="s">
        <v>21</v>
      </c>
      <c r="N6773" s="1">
        <v>43686.713194444441</v>
      </c>
      <c r="O6773" t="s">
        <v>19</v>
      </c>
    </row>
    <row r="6774" spans="1:15" x14ac:dyDescent="0.25">
      <c r="A6774" t="s">
        <v>4905</v>
      </c>
      <c r="B6774" t="s">
        <v>15</v>
      </c>
      <c r="C6774" t="s">
        <v>2838</v>
      </c>
      <c r="D6774" t="s">
        <v>17</v>
      </c>
      <c r="E6774" t="s">
        <v>18</v>
      </c>
      <c r="F6774" t="s">
        <v>19</v>
      </c>
      <c r="G6774" t="s">
        <v>20</v>
      </c>
      <c r="J6774" t="s">
        <v>18</v>
      </c>
      <c r="K6774" t="str">
        <f>"798302164451"</f>
        <v>798302164451</v>
      </c>
      <c r="L6774" t="str">
        <f>"92500301"</f>
        <v>92500301</v>
      </c>
      <c r="M6774" t="s">
        <v>21</v>
      </c>
      <c r="N6774" s="1">
        <v>44344.695138888892</v>
      </c>
      <c r="O6774" t="s">
        <v>19</v>
      </c>
    </row>
    <row r="6775" spans="1:15" x14ac:dyDescent="0.25">
      <c r="A6775" t="s">
        <v>4906</v>
      </c>
      <c r="B6775" t="s">
        <v>15</v>
      </c>
      <c r="C6775" t="s">
        <v>2838</v>
      </c>
      <c r="D6775" t="s">
        <v>17</v>
      </c>
      <c r="E6775" t="s">
        <v>18</v>
      </c>
      <c r="F6775" t="s">
        <v>19</v>
      </c>
      <c r="G6775" t="s">
        <v>20</v>
      </c>
      <c r="J6775" t="s">
        <v>17</v>
      </c>
      <c r="K6775" t="str">
        <f>"8712581763428"</f>
        <v>8712581763428</v>
      </c>
      <c r="L6775" t="str">
        <f>"98308264"</f>
        <v>98308264</v>
      </c>
      <c r="M6775" t="s">
        <v>21</v>
      </c>
      <c r="N6775" s="1">
        <v>43805.886111111111</v>
      </c>
      <c r="O6775" t="s">
        <v>19</v>
      </c>
    </row>
    <row r="6776" spans="1:15" x14ac:dyDescent="0.25">
      <c r="A6776" t="s">
        <v>4907</v>
      </c>
      <c r="B6776" t="s">
        <v>15</v>
      </c>
      <c r="C6776" t="s">
        <v>2838</v>
      </c>
      <c r="D6776" t="s">
        <v>17</v>
      </c>
      <c r="E6776" t="s">
        <v>18</v>
      </c>
      <c r="F6776" t="s">
        <v>19</v>
      </c>
      <c r="G6776" t="s">
        <v>20</v>
      </c>
      <c r="J6776" t="s">
        <v>17</v>
      </c>
      <c r="K6776" t="str">
        <f>"8713439234824"</f>
        <v>8713439234824</v>
      </c>
      <c r="L6776" t="str">
        <f>"92500838"</f>
        <v>92500838</v>
      </c>
      <c r="M6776" t="s">
        <v>21</v>
      </c>
      <c r="N6776" s="1">
        <v>44453.686805555553</v>
      </c>
      <c r="O6776" t="s">
        <v>19</v>
      </c>
    </row>
    <row r="6777" spans="1:15" x14ac:dyDescent="0.25">
      <c r="A6777" t="s">
        <v>4908</v>
      </c>
      <c r="B6777" t="s">
        <v>15</v>
      </c>
      <c r="C6777" t="s">
        <v>2838</v>
      </c>
      <c r="D6777" t="s">
        <v>17</v>
      </c>
      <c r="E6777" t="s">
        <v>18</v>
      </c>
      <c r="F6777" t="s">
        <v>19</v>
      </c>
      <c r="G6777" t="s">
        <v>20</v>
      </c>
      <c r="J6777" t="s">
        <v>17</v>
      </c>
      <c r="K6777" t="str">
        <f>"4710268248729"</f>
        <v>4710268248729</v>
      </c>
      <c r="L6777" t="str">
        <f>"92118000"</f>
        <v>92118000</v>
      </c>
      <c r="M6777" t="s">
        <v>21</v>
      </c>
      <c r="N6777" s="1">
        <v>43888.84097222222</v>
      </c>
      <c r="O6777" t="s">
        <v>19</v>
      </c>
    </row>
    <row r="6778" spans="1:15" x14ac:dyDescent="0.25">
      <c r="A6778" t="s">
        <v>4909</v>
      </c>
      <c r="B6778" t="s">
        <v>15</v>
      </c>
      <c r="C6778" t="s">
        <v>2838</v>
      </c>
      <c r="D6778" t="s">
        <v>17</v>
      </c>
      <c r="E6778" t="s">
        <v>18</v>
      </c>
      <c r="F6778" t="s">
        <v>19</v>
      </c>
      <c r="G6778" t="s">
        <v>20</v>
      </c>
      <c r="J6778" t="s">
        <v>17</v>
      </c>
      <c r="K6778" t="str">
        <f>"4710268255239"</f>
        <v>4710268255239</v>
      </c>
      <c r="L6778" t="str">
        <f>"92118006"</f>
        <v>92118006</v>
      </c>
      <c r="M6778" t="s">
        <v>21</v>
      </c>
      <c r="N6778" s="1">
        <v>43746.893750000003</v>
      </c>
      <c r="O6778" t="s">
        <v>19</v>
      </c>
    </row>
    <row r="6779" spans="1:15" x14ac:dyDescent="0.25">
      <c r="A6779" t="s">
        <v>4910</v>
      </c>
      <c r="B6779" t="s">
        <v>15</v>
      </c>
      <c r="C6779" t="s">
        <v>2838</v>
      </c>
      <c r="D6779" t="s">
        <v>17</v>
      </c>
      <c r="E6779" t="s">
        <v>18</v>
      </c>
      <c r="F6779" t="s">
        <v>19</v>
      </c>
      <c r="G6779" t="s">
        <v>20</v>
      </c>
      <c r="J6779" t="s">
        <v>17</v>
      </c>
      <c r="K6779" t="str">
        <f>"4710268256250"</f>
        <v>4710268256250</v>
      </c>
      <c r="L6779" t="str">
        <f>"92502081"</f>
        <v>92502081</v>
      </c>
      <c r="M6779" t="s">
        <v>21</v>
      </c>
      <c r="N6779" s="1">
        <v>42872.839583333334</v>
      </c>
      <c r="O6779" t="s">
        <v>19</v>
      </c>
    </row>
    <row r="6780" spans="1:15" x14ac:dyDescent="0.25">
      <c r="A6780" t="s">
        <v>4911</v>
      </c>
      <c r="B6780" t="s">
        <v>15</v>
      </c>
      <c r="C6780" t="s">
        <v>2838</v>
      </c>
      <c r="D6780" t="s">
        <v>17</v>
      </c>
      <c r="E6780" t="s">
        <v>18</v>
      </c>
      <c r="F6780" t="s">
        <v>19</v>
      </c>
      <c r="G6780" t="s">
        <v>20</v>
      </c>
      <c r="J6780" t="s">
        <v>17</v>
      </c>
      <c r="K6780" t="str">
        <f>"4710268256199"</f>
        <v>4710268256199</v>
      </c>
      <c r="L6780" t="str">
        <f>"98508200"</f>
        <v>98508200</v>
      </c>
      <c r="M6780" t="s">
        <v>21</v>
      </c>
      <c r="N6780" s="1">
        <v>44265.865972222222</v>
      </c>
      <c r="O6780" t="s">
        <v>19</v>
      </c>
    </row>
    <row r="6781" spans="1:15" x14ac:dyDescent="0.25">
      <c r="A6781" t="s">
        <v>4912</v>
      </c>
      <c r="B6781" t="s">
        <v>15</v>
      </c>
      <c r="C6781" t="s">
        <v>2838</v>
      </c>
      <c r="D6781" t="s">
        <v>17</v>
      </c>
      <c r="E6781" t="s">
        <v>18</v>
      </c>
      <c r="F6781" t="s">
        <v>19</v>
      </c>
      <c r="G6781" t="s">
        <v>20</v>
      </c>
      <c r="J6781" t="s">
        <v>17</v>
      </c>
      <c r="K6781" t="str">
        <f>"8712581757212"</f>
        <v>8712581757212</v>
      </c>
      <c r="L6781" t="str">
        <f>"10100099"</f>
        <v>10100099</v>
      </c>
      <c r="M6781" t="s">
        <v>21</v>
      </c>
      <c r="N6781" s="1">
        <v>43708.883333333331</v>
      </c>
      <c r="O6781" t="s">
        <v>19</v>
      </c>
    </row>
    <row r="6782" spans="1:15" x14ac:dyDescent="0.25">
      <c r="A6782" t="s">
        <v>4913</v>
      </c>
      <c r="B6782" t="s">
        <v>15</v>
      </c>
      <c r="C6782" t="s">
        <v>2838</v>
      </c>
      <c r="D6782" t="s">
        <v>17</v>
      </c>
      <c r="E6782" t="s">
        <v>18</v>
      </c>
      <c r="F6782" t="s">
        <v>19</v>
      </c>
      <c r="G6782" t="s">
        <v>20</v>
      </c>
      <c r="J6782" t="s">
        <v>17</v>
      </c>
      <c r="K6782" t="str">
        <f>"7802391900005"</f>
        <v>7802391900005</v>
      </c>
      <c r="L6782" t="str">
        <f>"25700500"</f>
        <v>25700500</v>
      </c>
      <c r="M6782" t="s">
        <v>21</v>
      </c>
      <c r="N6782" s="1">
        <v>42872.839583333334</v>
      </c>
      <c r="O6782" t="s">
        <v>19</v>
      </c>
    </row>
    <row r="6783" spans="1:15" x14ac:dyDescent="0.25">
      <c r="A6783" t="s">
        <v>4914</v>
      </c>
      <c r="B6783" t="s">
        <v>15</v>
      </c>
      <c r="C6783" t="s">
        <v>2838</v>
      </c>
      <c r="D6783" t="s">
        <v>17</v>
      </c>
      <c r="E6783" t="s">
        <v>18</v>
      </c>
      <c r="F6783" t="s">
        <v>19</v>
      </c>
      <c r="G6783" t="s">
        <v>20</v>
      </c>
      <c r="J6783" t="s">
        <v>17</v>
      </c>
      <c r="K6783" t="str">
        <f>"8713439228434"</f>
        <v>8713439228434</v>
      </c>
      <c r="L6783" t="str">
        <f>"92502034"</f>
        <v>92502034</v>
      </c>
      <c r="M6783" t="s">
        <v>21</v>
      </c>
      <c r="N6783" s="1">
        <v>42872.847222222219</v>
      </c>
      <c r="O6783" t="s">
        <v>19</v>
      </c>
    </row>
    <row r="6784" spans="1:15" x14ac:dyDescent="0.25">
      <c r="A6784" t="s">
        <v>4915</v>
      </c>
      <c r="B6784" t="s">
        <v>15</v>
      </c>
      <c r="C6784" t="s">
        <v>2838</v>
      </c>
      <c r="D6784" t="s">
        <v>17</v>
      </c>
      <c r="E6784" t="s">
        <v>18</v>
      </c>
      <c r="F6784" t="s">
        <v>19</v>
      </c>
      <c r="G6784" t="s">
        <v>20</v>
      </c>
      <c r="J6784" t="s">
        <v>17</v>
      </c>
      <c r="K6784" t="str">
        <f>"8713439220254"</f>
        <v>8713439220254</v>
      </c>
      <c r="L6784" t="str">
        <f>"92500254"</f>
        <v>92500254</v>
      </c>
      <c r="M6784" t="s">
        <v>21</v>
      </c>
      <c r="N6784" s="1">
        <v>44453.693055555559</v>
      </c>
      <c r="O6784" t="s">
        <v>19</v>
      </c>
    </row>
    <row r="6785" spans="1:15" x14ac:dyDescent="0.25">
      <c r="A6785" t="s">
        <v>4916</v>
      </c>
      <c r="B6785" t="s">
        <v>15</v>
      </c>
      <c r="C6785" t="s">
        <v>2838</v>
      </c>
      <c r="D6785" t="s">
        <v>17</v>
      </c>
      <c r="E6785" t="s">
        <v>18</v>
      </c>
      <c r="F6785" t="s">
        <v>19</v>
      </c>
      <c r="G6785" t="s">
        <v>20</v>
      </c>
      <c r="J6785" t="s">
        <v>17</v>
      </c>
      <c r="K6785" t="str">
        <f>"798460164119"</f>
        <v>798460164119</v>
      </c>
      <c r="L6785" t="str">
        <f>"92110310"</f>
        <v>92110310</v>
      </c>
      <c r="M6785" t="s">
        <v>21</v>
      </c>
      <c r="N6785" s="1">
        <v>42872.839583333334</v>
      </c>
      <c r="O6785" t="s">
        <v>19</v>
      </c>
    </row>
    <row r="6786" spans="1:15" x14ac:dyDescent="0.25">
      <c r="A6786" t="s">
        <v>4917</v>
      </c>
      <c r="B6786" t="s">
        <v>15</v>
      </c>
      <c r="C6786" t="s">
        <v>2838</v>
      </c>
      <c r="D6786" t="s">
        <v>17</v>
      </c>
      <c r="E6786" t="s">
        <v>18</v>
      </c>
      <c r="F6786" t="s">
        <v>19</v>
      </c>
      <c r="G6786" t="s">
        <v>20</v>
      </c>
      <c r="J6786" t="s">
        <v>17</v>
      </c>
      <c r="K6786" t="str">
        <f>"10000966"</f>
        <v>10000966</v>
      </c>
      <c r="L6786" t="str">
        <f>"10000966"</f>
        <v>10000966</v>
      </c>
      <c r="M6786" t="s">
        <v>21</v>
      </c>
      <c r="N6786" s="1">
        <v>42872.847222222219</v>
      </c>
      <c r="O6786" t="s">
        <v>19</v>
      </c>
    </row>
    <row r="6787" spans="1:15" x14ac:dyDescent="0.25">
      <c r="A6787" t="s">
        <v>4918</v>
      </c>
      <c r="B6787" t="s">
        <v>15</v>
      </c>
      <c r="C6787" t="s">
        <v>2838</v>
      </c>
      <c r="D6787" t="s">
        <v>17</v>
      </c>
      <c r="E6787" t="s">
        <v>18</v>
      </c>
      <c r="F6787" t="s">
        <v>19</v>
      </c>
      <c r="G6787" t="s">
        <v>20</v>
      </c>
      <c r="J6787" t="s">
        <v>17</v>
      </c>
      <c r="K6787" t="str">
        <f>"10000669"</f>
        <v>10000669</v>
      </c>
      <c r="L6787" t="str">
        <f>"10000669"</f>
        <v>10000669</v>
      </c>
      <c r="M6787" t="s">
        <v>21</v>
      </c>
      <c r="N6787" s="1">
        <v>42872.847222222219</v>
      </c>
      <c r="O6787" t="s">
        <v>19</v>
      </c>
    </row>
    <row r="6788" spans="1:15" x14ac:dyDescent="0.25">
      <c r="A6788" t="s">
        <v>4919</v>
      </c>
      <c r="B6788" t="s">
        <v>15</v>
      </c>
      <c r="C6788" t="s">
        <v>2838</v>
      </c>
      <c r="D6788" t="s">
        <v>17</v>
      </c>
      <c r="E6788" t="s">
        <v>18</v>
      </c>
      <c r="F6788" t="s">
        <v>19</v>
      </c>
      <c r="G6788" t="s">
        <v>20</v>
      </c>
      <c r="J6788" t="s">
        <v>17</v>
      </c>
      <c r="K6788" t="str">
        <f>"798302161511"</f>
        <v>798302161511</v>
      </c>
      <c r="L6788" t="str">
        <f>"92110300"</f>
        <v>92110300</v>
      </c>
      <c r="M6788" t="s">
        <v>21</v>
      </c>
      <c r="N6788" s="1">
        <v>43746.881249999999</v>
      </c>
      <c r="O6788" t="s">
        <v>19</v>
      </c>
    </row>
    <row r="6789" spans="1:15" x14ac:dyDescent="0.25">
      <c r="A6789" t="s">
        <v>4920</v>
      </c>
      <c r="B6789" t="s">
        <v>15</v>
      </c>
      <c r="C6789" t="s">
        <v>37</v>
      </c>
      <c r="D6789" t="s">
        <v>17</v>
      </c>
      <c r="E6789" t="s">
        <v>18</v>
      </c>
      <c r="F6789" t="s">
        <v>19</v>
      </c>
      <c r="G6789" t="s">
        <v>20</v>
      </c>
      <c r="J6789" t="s">
        <v>17</v>
      </c>
      <c r="K6789" t="str">
        <f>"183420003421"</f>
        <v>183420003421</v>
      </c>
      <c r="L6789" t="str">
        <f>"23MOT700BK"</f>
        <v>23MOT700BK</v>
      </c>
      <c r="M6789" t="s">
        <v>21</v>
      </c>
      <c r="N6789" s="1">
        <v>43805.742361111108</v>
      </c>
      <c r="O6789" t="s">
        <v>19</v>
      </c>
    </row>
    <row r="6790" spans="1:15" x14ac:dyDescent="0.25">
      <c r="A6790" t="s">
        <v>4921</v>
      </c>
      <c r="B6790" t="s">
        <v>15</v>
      </c>
      <c r="C6790" t="s">
        <v>37</v>
      </c>
      <c r="D6790" t="s">
        <v>17</v>
      </c>
      <c r="E6790" t="s">
        <v>18</v>
      </c>
      <c r="F6790" t="s">
        <v>19</v>
      </c>
      <c r="G6790" t="s">
        <v>20</v>
      </c>
      <c r="J6790" t="s">
        <v>17</v>
      </c>
      <c r="K6790" t="str">
        <f>"10001685"</f>
        <v>10001685</v>
      </c>
      <c r="L6790" t="str">
        <f>"10001685"</f>
        <v>10001685</v>
      </c>
      <c r="M6790" t="s">
        <v>21</v>
      </c>
      <c r="N6790" s="1">
        <v>43546.631944444445</v>
      </c>
      <c r="O6790" t="s">
        <v>19</v>
      </c>
    </row>
    <row r="6791" spans="1:15" x14ac:dyDescent="0.25">
      <c r="A6791" t="s">
        <v>4922</v>
      </c>
      <c r="B6791" t="s">
        <v>15</v>
      </c>
      <c r="C6791" t="s">
        <v>37</v>
      </c>
      <c r="D6791" t="s">
        <v>17</v>
      </c>
      <c r="E6791" t="s">
        <v>18</v>
      </c>
      <c r="F6791" t="s">
        <v>19</v>
      </c>
      <c r="G6791" t="s">
        <v>20</v>
      </c>
      <c r="J6791" t="s">
        <v>17</v>
      </c>
      <c r="K6791" t="str">
        <f>"7858816088995"</f>
        <v>7858816088995</v>
      </c>
      <c r="L6791" t="str">
        <f>"87528899"</f>
        <v>87528899</v>
      </c>
      <c r="M6791" t="s">
        <v>21</v>
      </c>
      <c r="N6791" s="1">
        <v>44400.849305555559</v>
      </c>
      <c r="O6791" t="s">
        <v>19</v>
      </c>
    </row>
    <row r="6792" spans="1:15" x14ac:dyDescent="0.25">
      <c r="A6792" t="s">
        <v>4923</v>
      </c>
      <c r="B6792" t="s">
        <v>15</v>
      </c>
      <c r="C6792" t="s">
        <v>37</v>
      </c>
      <c r="D6792" t="s">
        <v>17</v>
      </c>
      <c r="E6792" t="s">
        <v>18</v>
      </c>
      <c r="F6792" t="s">
        <v>19</v>
      </c>
      <c r="G6792" t="s">
        <v>20</v>
      </c>
      <c r="J6792" t="s">
        <v>17</v>
      </c>
      <c r="K6792" t="str">
        <f>"7858816076725"</f>
        <v>7858816076725</v>
      </c>
      <c r="L6792" t="str">
        <f>"87527672"</f>
        <v>87527672</v>
      </c>
      <c r="M6792" t="s">
        <v>21</v>
      </c>
      <c r="N6792" s="1">
        <v>44386.842361111114</v>
      </c>
      <c r="O6792" t="s">
        <v>19</v>
      </c>
    </row>
    <row r="6793" spans="1:15" x14ac:dyDescent="0.25">
      <c r="A6793" t="s">
        <v>4924</v>
      </c>
      <c r="B6793" t="s">
        <v>15</v>
      </c>
      <c r="C6793" t="s">
        <v>37</v>
      </c>
      <c r="D6793" t="s">
        <v>17</v>
      </c>
      <c r="E6793" t="s">
        <v>18</v>
      </c>
      <c r="F6793" t="s">
        <v>19</v>
      </c>
      <c r="G6793" t="s">
        <v>20</v>
      </c>
      <c r="J6793" t="s">
        <v>17</v>
      </c>
      <c r="K6793" t="str">
        <f>"766623351898"</f>
        <v>766623351898</v>
      </c>
      <c r="L6793" t="str">
        <f>"56521898"</f>
        <v>56521898</v>
      </c>
      <c r="M6793" t="s">
        <v>21</v>
      </c>
      <c r="N6793" s="1">
        <v>43985.851388888892</v>
      </c>
      <c r="O6793" t="s">
        <v>19</v>
      </c>
    </row>
    <row r="6794" spans="1:15" x14ac:dyDescent="0.25">
      <c r="A6794" t="s">
        <v>4925</v>
      </c>
      <c r="B6794" t="s">
        <v>15</v>
      </c>
      <c r="C6794" t="s">
        <v>37</v>
      </c>
      <c r="D6794" t="s">
        <v>17</v>
      </c>
      <c r="E6794" t="s">
        <v>18</v>
      </c>
      <c r="F6794" t="s">
        <v>19</v>
      </c>
      <c r="G6794" t="s">
        <v>20</v>
      </c>
      <c r="J6794" t="s">
        <v>17</v>
      </c>
      <c r="K6794" t="str">
        <f>"10003787"</f>
        <v>10003787</v>
      </c>
      <c r="L6794" t="str">
        <f>"10003787"</f>
        <v>10003787</v>
      </c>
      <c r="M6794" t="s">
        <v>21</v>
      </c>
      <c r="N6794" s="1">
        <v>43720.916666666664</v>
      </c>
      <c r="O6794" t="s">
        <v>19</v>
      </c>
    </row>
    <row r="6795" spans="1:15" x14ac:dyDescent="0.25">
      <c r="A6795" t="s">
        <v>4926</v>
      </c>
      <c r="B6795" t="s">
        <v>15</v>
      </c>
      <c r="C6795" t="s">
        <v>16</v>
      </c>
      <c r="D6795" t="s">
        <v>17</v>
      </c>
      <c r="E6795" t="s">
        <v>18</v>
      </c>
      <c r="F6795" t="s">
        <v>19</v>
      </c>
      <c r="G6795" t="s">
        <v>20</v>
      </c>
      <c r="J6795" t="s">
        <v>17</v>
      </c>
      <c r="K6795" t="str">
        <f>"76751486"</f>
        <v>76751486</v>
      </c>
      <c r="L6795" t="str">
        <f>"76751486"</f>
        <v>76751486</v>
      </c>
      <c r="M6795" t="s">
        <v>75</v>
      </c>
      <c r="N6795" s="1">
        <v>42872.847222222219</v>
      </c>
      <c r="O6795" t="s">
        <v>19</v>
      </c>
    </row>
    <row r="6796" spans="1:15" x14ac:dyDescent="0.25">
      <c r="A6796" t="s">
        <v>4927</v>
      </c>
      <c r="B6796" t="s">
        <v>15</v>
      </c>
      <c r="C6796" t="s">
        <v>164</v>
      </c>
      <c r="D6796" t="s">
        <v>17</v>
      </c>
      <c r="E6796" t="s">
        <v>18</v>
      </c>
      <c r="F6796" t="s">
        <v>19</v>
      </c>
      <c r="G6796" t="s">
        <v>20</v>
      </c>
      <c r="J6796" t="s">
        <v>17</v>
      </c>
      <c r="K6796" t="str">
        <f>"7804659300466"</f>
        <v>7804659300466</v>
      </c>
      <c r="L6796" t="str">
        <f>"47880466"</f>
        <v>47880466</v>
      </c>
      <c r="M6796" t="s">
        <v>21</v>
      </c>
      <c r="N6796" s="1">
        <v>44285.736805555556</v>
      </c>
      <c r="O6796" t="s">
        <v>19</v>
      </c>
    </row>
    <row r="6797" spans="1:15" x14ac:dyDescent="0.25">
      <c r="A6797" t="s">
        <v>4928</v>
      </c>
      <c r="B6797" t="s">
        <v>15</v>
      </c>
      <c r="C6797" t="s">
        <v>164</v>
      </c>
      <c r="D6797" t="s">
        <v>17</v>
      </c>
      <c r="E6797" t="s">
        <v>18</v>
      </c>
      <c r="F6797" t="s">
        <v>19</v>
      </c>
      <c r="G6797" t="s">
        <v>20</v>
      </c>
      <c r="J6797" t="s">
        <v>17</v>
      </c>
      <c r="K6797" t="str">
        <f>"8692730512452"</f>
        <v>8692730512452</v>
      </c>
      <c r="L6797" t="str">
        <f>"478812452"</f>
        <v>478812452</v>
      </c>
      <c r="M6797" t="s">
        <v>21</v>
      </c>
      <c r="N6797" s="1">
        <v>42872.839583333334</v>
      </c>
      <c r="O6797" t="s">
        <v>19</v>
      </c>
    </row>
    <row r="6798" spans="1:15" x14ac:dyDescent="0.25">
      <c r="A6798" t="s">
        <v>4929</v>
      </c>
      <c r="B6798" t="s">
        <v>15</v>
      </c>
      <c r="C6798" t="s">
        <v>164</v>
      </c>
      <c r="D6798" t="s">
        <v>17</v>
      </c>
      <c r="E6798" t="s">
        <v>18</v>
      </c>
      <c r="F6798" t="s">
        <v>19</v>
      </c>
      <c r="G6798" t="s">
        <v>20</v>
      </c>
      <c r="J6798" t="s">
        <v>18</v>
      </c>
      <c r="K6798" t="str">
        <f>"7806810007337"</f>
        <v>7806810007337</v>
      </c>
      <c r="L6798" t="str">
        <f>"47887399"</f>
        <v>47887399</v>
      </c>
      <c r="M6798" t="s">
        <v>21</v>
      </c>
      <c r="N6798" s="1">
        <v>44042.652777777781</v>
      </c>
      <c r="O6798" t="s">
        <v>19</v>
      </c>
    </row>
    <row r="6799" spans="1:15" x14ac:dyDescent="0.25">
      <c r="A6799" t="s">
        <v>4930</v>
      </c>
      <c r="B6799" t="s">
        <v>15</v>
      </c>
      <c r="C6799" t="s">
        <v>164</v>
      </c>
      <c r="D6799" t="s">
        <v>17</v>
      </c>
      <c r="E6799" t="s">
        <v>18</v>
      </c>
      <c r="F6799" t="s">
        <v>19</v>
      </c>
      <c r="G6799" t="s">
        <v>20</v>
      </c>
      <c r="H6799" t="s">
        <v>8</v>
      </c>
      <c r="I6799" t="s">
        <v>8</v>
      </c>
      <c r="J6799" t="s">
        <v>18</v>
      </c>
      <c r="K6799" t="str">
        <f>"7806810007399"</f>
        <v>7806810007399</v>
      </c>
      <c r="L6799" t="str">
        <f>"47880073"</f>
        <v>47880073</v>
      </c>
      <c r="M6799" t="s">
        <v>21</v>
      </c>
      <c r="N6799" s="1">
        <v>43497.836805555555</v>
      </c>
      <c r="O6799" t="s">
        <v>19</v>
      </c>
    </row>
    <row r="6800" spans="1:15" x14ac:dyDescent="0.25">
      <c r="A6800" t="s">
        <v>4931</v>
      </c>
      <c r="B6800" t="s">
        <v>15</v>
      </c>
      <c r="C6800" t="s">
        <v>164</v>
      </c>
      <c r="D6800" t="s">
        <v>17</v>
      </c>
      <c r="E6800" t="s">
        <v>18</v>
      </c>
      <c r="F6800" t="s">
        <v>19</v>
      </c>
      <c r="G6800" t="s">
        <v>20</v>
      </c>
      <c r="J6800" t="s">
        <v>17</v>
      </c>
      <c r="K6800" t="str">
        <f>"7806500401414"</f>
        <v>7806500401414</v>
      </c>
      <c r="L6800" t="str">
        <f>"47886488"</f>
        <v>47886488</v>
      </c>
      <c r="M6800" t="s">
        <v>21</v>
      </c>
      <c r="N6800" s="1">
        <v>44285.731249999997</v>
      </c>
      <c r="O6800" t="s">
        <v>19</v>
      </c>
    </row>
    <row r="6801" spans="1:15" x14ac:dyDescent="0.25">
      <c r="A6801" t="s">
        <v>4932</v>
      </c>
      <c r="B6801" t="s">
        <v>15</v>
      </c>
      <c r="C6801" t="s">
        <v>164</v>
      </c>
      <c r="D6801" t="s">
        <v>17</v>
      </c>
      <c r="E6801" t="s">
        <v>18</v>
      </c>
      <c r="F6801" t="s">
        <v>19</v>
      </c>
      <c r="G6801" t="s">
        <v>20</v>
      </c>
      <c r="J6801" t="s">
        <v>17</v>
      </c>
      <c r="K6801" t="str">
        <f>"7804520023098"</f>
        <v>7804520023098</v>
      </c>
      <c r="L6801" t="str">
        <f>"47883098"</f>
        <v>47883098</v>
      </c>
      <c r="M6801" t="s">
        <v>21</v>
      </c>
      <c r="N6801" s="1">
        <v>42872.839583333334</v>
      </c>
      <c r="O6801" t="s">
        <v>19</v>
      </c>
    </row>
    <row r="6802" spans="1:15" x14ac:dyDescent="0.25">
      <c r="A6802" t="s">
        <v>4933</v>
      </c>
      <c r="B6802" t="s">
        <v>15</v>
      </c>
      <c r="C6802" t="s">
        <v>37</v>
      </c>
      <c r="D6802" t="s">
        <v>17</v>
      </c>
      <c r="E6802" t="s">
        <v>18</v>
      </c>
      <c r="F6802" t="s">
        <v>19</v>
      </c>
      <c r="G6802" t="s">
        <v>20</v>
      </c>
      <c r="J6802" t="s">
        <v>17</v>
      </c>
      <c r="K6802" t="str">
        <f>"049538045190"</f>
        <v>049538045190</v>
      </c>
      <c r="L6802" t="str">
        <f>"10003322"</f>
        <v>10003322</v>
      </c>
      <c r="M6802" t="s">
        <v>84</v>
      </c>
      <c r="N6802" s="1">
        <v>43446.95416666667</v>
      </c>
      <c r="O6802" t="s">
        <v>19</v>
      </c>
    </row>
    <row r="6803" spans="1:15" x14ac:dyDescent="0.25">
      <c r="A6803" t="s">
        <v>4934</v>
      </c>
      <c r="B6803" t="s">
        <v>15</v>
      </c>
      <c r="C6803" t="s">
        <v>35</v>
      </c>
      <c r="D6803" t="s">
        <v>17</v>
      </c>
      <c r="E6803" t="s">
        <v>18</v>
      </c>
      <c r="F6803" t="s">
        <v>19</v>
      </c>
      <c r="G6803" t="s">
        <v>20</v>
      </c>
      <c r="J6803" t="s">
        <v>17</v>
      </c>
      <c r="K6803" t="str">
        <f>"7858816007293"</f>
        <v>7858816007293</v>
      </c>
      <c r="L6803" t="str">
        <f>"87020729"</f>
        <v>87020729</v>
      </c>
      <c r="M6803" t="s">
        <v>21</v>
      </c>
      <c r="N6803" s="1">
        <v>44404.681250000001</v>
      </c>
      <c r="O6803" t="s">
        <v>19</v>
      </c>
    </row>
    <row r="6804" spans="1:15" x14ac:dyDescent="0.25">
      <c r="A6804" t="s">
        <v>4935</v>
      </c>
      <c r="B6804" t="s">
        <v>15</v>
      </c>
      <c r="C6804" t="s">
        <v>35</v>
      </c>
      <c r="D6804" t="s">
        <v>17</v>
      </c>
      <c r="E6804" t="s">
        <v>18</v>
      </c>
      <c r="F6804" t="s">
        <v>19</v>
      </c>
      <c r="G6804" t="s">
        <v>20</v>
      </c>
      <c r="J6804" t="s">
        <v>17</v>
      </c>
      <c r="K6804" t="str">
        <f>"10002393"</f>
        <v>10002393</v>
      </c>
      <c r="L6804" t="str">
        <f>"10002393"</f>
        <v>10002393</v>
      </c>
      <c r="M6804" t="s">
        <v>84</v>
      </c>
      <c r="N6804" s="1">
        <v>43396.72152777778</v>
      </c>
      <c r="O6804" t="s">
        <v>19</v>
      </c>
    </row>
    <row r="6805" spans="1:15" x14ac:dyDescent="0.25">
      <c r="A6805" t="s">
        <v>4936</v>
      </c>
      <c r="B6805" t="s">
        <v>15</v>
      </c>
      <c r="C6805" t="s">
        <v>35</v>
      </c>
      <c r="D6805" t="s">
        <v>17</v>
      </c>
      <c r="E6805" t="s">
        <v>18</v>
      </c>
      <c r="F6805" t="s">
        <v>19</v>
      </c>
      <c r="G6805" t="s">
        <v>20</v>
      </c>
      <c r="J6805" t="s">
        <v>17</v>
      </c>
      <c r="K6805" t="str">
        <f>"10002628"</f>
        <v>10002628</v>
      </c>
      <c r="L6805" t="str">
        <f>"10002628"</f>
        <v>10002628</v>
      </c>
      <c r="M6805" t="s">
        <v>84</v>
      </c>
      <c r="N6805" s="1">
        <v>43396.720833333333</v>
      </c>
      <c r="O6805" t="s">
        <v>19</v>
      </c>
    </row>
    <row r="6806" spans="1:15" x14ac:dyDescent="0.25">
      <c r="A6806" t="s">
        <v>4937</v>
      </c>
      <c r="B6806" t="s">
        <v>15</v>
      </c>
      <c r="C6806" t="s">
        <v>1619</v>
      </c>
      <c r="D6806" t="s">
        <v>17</v>
      </c>
      <c r="E6806" t="s">
        <v>18</v>
      </c>
      <c r="F6806" t="s">
        <v>19</v>
      </c>
      <c r="G6806" t="s">
        <v>20</v>
      </c>
      <c r="J6806" t="s">
        <v>17</v>
      </c>
      <c r="K6806" t="str">
        <f>"7858816060397"</f>
        <v>7858816060397</v>
      </c>
      <c r="L6806" t="str">
        <f>"87126039"</f>
        <v>87126039</v>
      </c>
      <c r="M6806" t="s">
        <v>21</v>
      </c>
      <c r="N6806" s="1">
        <v>44211.859027777777</v>
      </c>
      <c r="O6806" t="s">
        <v>19</v>
      </c>
    </row>
    <row r="6807" spans="1:15" x14ac:dyDescent="0.25">
      <c r="A6807" t="s">
        <v>4938</v>
      </c>
      <c r="B6807" t="s">
        <v>15</v>
      </c>
      <c r="C6807" t="s">
        <v>37</v>
      </c>
      <c r="D6807" t="s">
        <v>17</v>
      </c>
      <c r="E6807" t="s">
        <v>18</v>
      </c>
      <c r="F6807" t="s">
        <v>19</v>
      </c>
      <c r="G6807" t="s">
        <v>20</v>
      </c>
      <c r="J6807" t="s">
        <v>17</v>
      </c>
      <c r="K6807" t="str">
        <f>"5012345678900"</f>
        <v>5012345678900</v>
      </c>
      <c r="L6807" t="str">
        <f>"10100660"</f>
        <v>10100660</v>
      </c>
      <c r="M6807" t="s">
        <v>75</v>
      </c>
      <c r="N6807" s="1">
        <v>42872.839583333334</v>
      </c>
      <c r="O6807" t="s">
        <v>19</v>
      </c>
    </row>
    <row r="6808" spans="1:15" x14ac:dyDescent="0.25">
      <c r="A6808" t="s">
        <v>4939</v>
      </c>
      <c r="B6808" t="s">
        <v>15</v>
      </c>
      <c r="C6808" t="s">
        <v>343</v>
      </c>
      <c r="D6808" t="s">
        <v>17</v>
      </c>
      <c r="E6808" t="s">
        <v>18</v>
      </c>
      <c r="F6808" t="s">
        <v>19</v>
      </c>
      <c r="G6808" t="s">
        <v>20</v>
      </c>
      <c r="J6808" t="s">
        <v>17</v>
      </c>
      <c r="K6808" t="str">
        <f>"66000520"</f>
        <v>66000520</v>
      </c>
      <c r="L6808" t="str">
        <f>"66000520"</f>
        <v>66000520</v>
      </c>
      <c r="M6808" t="s">
        <v>75</v>
      </c>
      <c r="N6808" s="1">
        <v>42872.839583333334</v>
      </c>
      <c r="O6808" t="s">
        <v>19</v>
      </c>
    </row>
    <row r="6809" spans="1:15" x14ac:dyDescent="0.25">
      <c r="A6809" t="s">
        <v>4940</v>
      </c>
      <c r="B6809" t="s">
        <v>15</v>
      </c>
      <c r="C6809" t="s">
        <v>343</v>
      </c>
      <c r="D6809" t="s">
        <v>17</v>
      </c>
      <c r="E6809" t="s">
        <v>18</v>
      </c>
      <c r="F6809" t="s">
        <v>19</v>
      </c>
      <c r="G6809" t="s">
        <v>20</v>
      </c>
      <c r="J6809" t="s">
        <v>17</v>
      </c>
      <c r="K6809" t="str">
        <f>"8669885005221"</f>
        <v>8669885005221</v>
      </c>
      <c r="L6809" t="str">
        <f>"66000522"</f>
        <v>66000522</v>
      </c>
      <c r="M6809" t="s">
        <v>75</v>
      </c>
      <c r="N6809" s="1">
        <v>42872.839583333334</v>
      </c>
      <c r="O6809" t="s">
        <v>19</v>
      </c>
    </row>
    <row r="6810" spans="1:15" x14ac:dyDescent="0.25">
      <c r="A6810" t="s">
        <v>4941</v>
      </c>
      <c r="B6810" t="s">
        <v>15</v>
      </c>
      <c r="C6810" t="s">
        <v>343</v>
      </c>
      <c r="D6810" t="s">
        <v>17</v>
      </c>
      <c r="E6810" t="s">
        <v>18</v>
      </c>
      <c r="F6810" t="s">
        <v>19</v>
      </c>
      <c r="G6810" t="s">
        <v>20</v>
      </c>
      <c r="J6810" t="s">
        <v>17</v>
      </c>
      <c r="K6810" t="str">
        <f>"98210600"</f>
        <v>98210600</v>
      </c>
      <c r="L6810" t="str">
        <f>"98210600"</f>
        <v>98210600</v>
      </c>
      <c r="M6810" t="s">
        <v>21</v>
      </c>
      <c r="N6810" s="1">
        <v>43313.884027777778</v>
      </c>
      <c r="O6810" t="s">
        <v>19</v>
      </c>
    </row>
    <row r="6811" spans="1:15" x14ac:dyDescent="0.25">
      <c r="A6811" t="s">
        <v>4942</v>
      </c>
      <c r="B6811" t="s">
        <v>15</v>
      </c>
      <c r="C6811" t="s">
        <v>965</v>
      </c>
      <c r="D6811" t="s">
        <v>17</v>
      </c>
      <c r="E6811" t="s">
        <v>18</v>
      </c>
      <c r="F6811" t="s">
        <v>19</v>
      </c>
      <c r="G6811" t="s">
        <v>20</v>
      </c>
      <c r="J6811" t="s">
        <v>17</v>
      </c>
      <c r="K6811" t="str">
        <f>"7804612211211"</f>
        <v>7804612211211</v>
      </c>
      <c r="L6811" t="str">
        <f>"79211211"</f>
        <v>79211211</v>
      </c>
      <c r="M6811" t="s">
        <v>21</v>
      </c>
      <c r="N6811" s="1">
        <v>43784.55</v>
      </c>
      <c r="O6811" t="s">
        <v>19</v>
      </c>
    </row>
    <row r="6812" spans="1:15" x14ac:dyDescent="0.25">
      <c r="A6812" t="s">
        <v>4943</v>
      </c>
      <c r="B6812" t="s">
        <v>15</v>
      </c>
      <c r="C6812" t="s">
        <v>343</v>
      </c>
      <c r="D6812" t="s">
        <v>17</v>
      </c>
      <c r="E6812" t="s">
        <v>18</v>
      </c>
      <c r="F6812" t="s">
        <v>19</v>
      </c>
      <c r="G6812" t="s">
        <v>20</v>
      </c>
      <c r="J6812" t="s">
        <v>17</v>
      </c>
      <c r="K6812" t="str">
        <f>"10001094"</f>
        <v>10001094</v>
      </c>
      <c r="L6812" t="str">
        <f>"10001094"</f>
        <v>10001094</v>
      </c>
      <c r="M6812" t="s">
        <v>75</v>
      </c>
      <c r="N6812" s="1">
        <v>42872.839583333334</v>
      </c>
      <c r="O6812" t="s">
        <v>19</v>
      </c>
    </row>
    <row r="6813" spans="1:15" x14ac:dyDescent="0.25">
      <c r="A6813" t="s">
        <v>4944</v>
      </c>
      <c r="B6813" t="s">
        <v>15</v>
      </c>
      <c r="C6813" t="s">
        <v>171</v>
      </c>
      <c r="D6813" t="s">
        <v>17</v>
      </c>
      <c r="E6813" t="s">
        <v>18</v>
      </c>
      <c r="F6813" t="s">
        <v>19</v>
      </c>
      <c r="G6813" t="s">
        <v>20</v>
      </c>
      <c r="J6813" t="s">
        <v>17</v>
      </c>
      <c r="K6813" t="str">
        <f>"7858816049095"</f>
        <v>7858816049095</v>
      </c>
      <c r="L6813" t="str">
        <f>"87524909"</f>
        <v>87524909</v>
      </c>
      <c r="M6813" t="s">
        <v>21</v>
      </c>
      <c r="N6813" s="1">
        <v>43889.90347222222</v>
      </c>
      <c r="O6813" t="s">
        <v>19</v>
      </c>
    </row>
    <row r="6814" spans="1:15" x14ac:dyDescent="0.25">
      <c r="A6814" t="s">
        <v>4945</v>
      </c>
      <c r="B6814" t="s">
        <v>15</v>
      </c>
      <c r="C6814" t="s">
        <v>965</v>
      </c>
      <c r="D6814" t="s">
        <v>17</v>
      </c>
      <c r="E6814" t="s">
        <v>18</v>
      </c>
      <c r="F6814" t="s">
        <v>19</v>
      </c>
      <c r="G6814" t="s">
        <v>20</v>
      </c>
      <c r="J6814" t="s">
        <v>17</v>
      </c>
      <c r="K6814" t="str">
        <f>"7858816058295"</f>
        <v>7858816058295</v>
      </c>
      <c r="L6814" t="str">
        <f>"87525829"</f>
        <v>87525829</v>
      </c>
      <c r="M6814" t="s">
        <v>21</v>
      </c>
      <c r="N6814" s="1">
        <v>44357.719444444447</v>
      </c>
      <c r="O6814" t="s">
        <v>19</v>
      </c>
    </row>
    <row r="6815" spans="1:15" x14ac:dyDescent="0.25">
      <c r="A6815" t="s">
        <v>4946</v>
      </c>
      <c r="B6815" t="s">
        <v>15</v>
      </c>
      <c r="C6815" t="s">
        <v>965</v>
      </c>
      <c r="D6815" t="s">
        <v>17</v>
      </c>
      <c r="E6815" t="s">
        <v>18</v>
      </c>
      <c r="F6815" t="s">
        <v>19</v>
      </c>
      <c r="G6815" t="s">
        <v>20</v>
      </c>
      <c r="J6815" t="s">
        <v>17</v>
      </c>
      <c r="K6815" t="str">
        <f>"7858816058400"</f>
        <v>7858816058400</v>
      </c>
      <c r="L6815" t="str">
        <f>"87215840"</f>
        <v>87215840</v>
      </c>
      <c r="M6815" t="s">
        <v>21</v>
      </c>
      <c r="N6815" s="1">
        <v>43853.67291666667</v>
      </c>
      <c r="O6815" t="s">
        <v>19</v>
      </c>
    </row>
    <row r="6816" spans="1:15" x14ac:dyDescent="0.25">
      <c r="A6816" t="s">
        <v>4947</v>
      </c>
      <c r="B6816" t="s">
        <v>15</v>
      </c>
      <c r="C6816" t="s">
        <v>965</v>
      </c>
      <c r="D6816" t="s">
        <v>17</v>
      </c>
      <c r="E6816" t="s">
        <v>18</v>
      </c>
      <c r="F6816" t="s">
        <v>19</v>
      </c>
      <c r="G6816" t="s">
        <v>20</v>
      </c>
      <c r="J6816" t="s">
        <v>17</v>
      </c>
      <c r="K6816" t="str">
        <f>"7858816063749"</f>
        <v>7858816063749</v>
      </c>
      <c r="L6816" t="str">
        <f>"87216374"</f>
        <v>87216374</v>
      </c>
      <c r="M6816" t="s">
        <v>21</v>
      </c>
      <c r="N6816" s="1">
        <v>44357.709027777775</v>
      </c>
      <c r="O6816" t="s">
        <v>19</v>
      </c>
    </row>
    <row r="6817" spans="1:15" x14ac:dyDescent="0.25">
      <c r="A6817" t="s">
        <v>4948</v>
      </c>
      <c r="B6817" t="s">
        <v>15</v>
      </c>
      <c r="C6817" t="s">
        <v>965</v>
      </c>
      <c r="D6817" t="s">
        <v>17</v>
      </c>
      <c r="E6817" t="s">
        <v>18</v>
      </c>
      <c r="F6817" t="s">
        <v>19</v>
      </c>
      <c r="G6817" t="s">
        <v>20</v>
      </c>
      <c r="J6817" t="s">
        <v>17</v>
      </c>
      <c r="K6817" t="str">
        <f>"7858816072932"</f>
        <v>7858816072932</v>
      </c>
      <c r="L6817" t="str">
        <f>"87217293"</f>
        <v>87217293</v>
      </c>
      <c r="M6817" t="s">
        <v>21</v>
      </c>
      <c r="N6817" s="1">
        <v>43853.673611111109</v>
      </c>
      <c r="O6817" t="s">
        <v>19</v>
      </c>
    </row>
    <row r="6818" spans="1:15" x14ac:dyDescent="0.25">
      <c r="A6818" t="s">
        <v>4949</v>
      </c>
      <c r="B6818" t="s">
        <v>15</v>
      </c>
      <c r="C6818" t="s">
        <v>37</v>
      </c>
      <c r="D6818" t="s">
        <v>17</v>
      </c>
      <c r="E6818" t="s">
        <v>18</v>
      </c>
      <c r="F6818" t="s">
        <v>19</v>
      </c>
      <c r="G6818" t="s">
        <v>20</v>
      </c>
      <c r="J6818" t="s">
        <v>17</v>
      </c>
      <c r="K6818" t="str">
        <f>"10005476"</f>
        <v>10005476</v>
      </c>
      <c r="L6818" t="str">
        <f>"10005476"</f>
        <v>10005476</v>
      </c>
      <c r="M6818" t="s">
        <v>75</v>
      </c>
      <c r="N6818" s="1">
        <v>42872.839583333334</v>
      </c>
      <c r="O6818" t="s">
        <v>19</v>
      </c>
    </row>
    <row r="6819" spans="1:15" x14ac:dyDescent="0.25">
      <c r="A6819" t="s">
        <v>4950</v>
      </c>
      <c r="B6819" t="s">
        <v>15</v>
      </c>
      <c r="C6819" t="s">
        <v>965</v>
      </c>
      <c r="D6819" t="s">
        <v>17</v>
      </c>
      <c r="E6819" t="s">
        <v>18</v>
      </c>
      <c r="F6819" t="s">
        <v>19</v>
      </c>
      <c r="G6819" t="s">
        <v>20</v>
      </c>
      <c r="J6819" t="s">
        <v>17</v>
      </c>
      <c r="K6819" t="str">
        <f>"7858816031984"</f>
        <v>7858816031984</v>
      </c>
      <c r="L6819" t="str">
        <f>"87213198"</f>
        <v>87213198</v>
      </c>
      <c r="M6819" t="s">
        <v>21</v>
      </c>
      <c r="N6819" s="1">
        <v>42908.709722222222</v>
      </c>
      <c r="O6819" t="s">
        <v>19</v>
      </c>
    </row>
    <row r="6820" spans="1:15" x14ac:dyDescent="0.25">
      <c r="A6820" t="s">
        <v>4951</v>
      </c>
      <c r="B6820" t="s">
        <v>15</v>
      </c>
      <c r="C6820" t="s">
        <v>965</v>
      </c>
      <c r="D6820" t="s">
        <v>17</v>
      </c>
      <c r="E6820" t="s">
        <v>18</v>
      </c>
      <c r="F6820" t="s">
        <v>19</v>
      </c>
      <c r="G6820" t="s">
        <v>20</v>
      </c>
      <c r="J6820" t="s">
        <v>17</v>
      </c>
      <c r="K6820" t="str">
        <f>"10118139"</f>
        <v>10118139</v>
      </c>
      <c r="L6820" t="str">
        <f>"10118139"</f>
        <v>10118139</v>
      </c>
      <c r="M6820" t="s">
        <v>21</v>
      </c>
      <c r="N6820" s="1">
        <v>42872.839583333334</v>
      </c>
      <c r="O6820" t="s">
        <v>19</v>
      </c>
    </row>
    <row r="6821" spans="1:15" x14ac:dyDescent="0.25">
      <c r="A6821" t="s">
        <v>4952</v>
      </c>
      <c r="B6821" t="s">
        <v>15</v>
      </c>
      <c r="C6821" t="s">
        <v>965</v>
      </c>
      <c r="D6821" t="s">
        <v>17</v>
      </c>
      <c r="E6821" t="s">
        <v>18</v>
      </c>
      <c r="F6821" t="s">
        <v>19</v>
      </c>
      <c r="G6821" t="s">
        <v>20</v>
      </c>
      <c r="J6821" t="s">
        <v>17</v>
      </c>
      <c r="K6821" t="str">
        <f>"10118205"</f>
        <v>10118205</v>
      </c>
      <c r="L6821" t="str">
        <f>"10118205"</f>
        <v>10118205</v>
      </c>
      <c r="M6821" t="s">
        <v>21</v>
      </c>
      <c r="N6821" s="1">
        <v>43045.651388888888</v>
      </c>
      <c r="O6821" t="s">
        <v>19</v>
      </c>
    </row>
    <row r="6822" spans="1:15" x14ac:dyDescent="0.25">
      <c r="A6822" t="s">
        <v>4953</v>
      </c>
      <c r="B6822" t="s">
        <v>15</v>
      </c>
      <c r="C6822" t="s">
        <v>965</v>
      </c>
      <c r="D6822" t="s">
        <v>17</v>
      </c>
      <c r="E6822" t="s">
        <v>18</v>
      </c>
      <c r="F6822" t="s">
        <v>19</v>
      </c>
      <c r="G6822" t="s">
        <v>20</v>
      </c>
      <c r="J6822" t="s">
        <v>17</v>
      </c>
      <c r="K6822" t="str">
        <f>"10000037"</f>
        <v>10000037</v>
      </c>
      <c r="L6822" t="str">
        <f>"10000037"</f>
        <v>10000037</v>
      </c>
      <c r="M6822" t="s">
        <v>21</v>
      </c>
      <c r="N6822" s="1">
        <v>43546.606944444444</v>
      </c>
      <c r="O6822" t="s">
        <v>19</v>
      </c>
    </row>
    <row r="6823" spans="1:15" x14ac:dyDescent="0.25">
      <c r="A6823" t="s">
        <v>4954</v>
      </c>
      <c r="B6823" t="s">
        <v>15</v>
      </c>
      <c r="C6823" t="s">
        <v>965</v>
      </c>
      <c r="D6823" t="s">
        <v>17</v>
      </c>
      <c r="E6823" t="s">
        <v>18</v>
      </c>
      <c r="F6823" t="s">
        <v>19</v>
      </c>
      <c r="G6823" t="s">
        <v>20</v>
      </c>
      <c r="J6823" t="s">
        <v>17</v>
      </c>
      <c r="K6823" t="str">
        <f>"10524217"</f>
        <v>10524217</v>
      </c>
      <c r="L6823" t="str">
        <f>"10524217"</f>
        <v>10524217</v>
      </c>
      <c r="M6823" t="s">
        <v>75</v>
      </c>
      <c r="N6823" s="1">
        <v>43034.663888888892</v>
      </c>
      <c r="O6823" t="s">
        <v>19</v>
      </c>
    </row>
    <row r="6824" spans="1:15" x14ac:dyDescent="0.25">
      <c r="A6824" t="s">
        <v>4955</v>
      </c>
      <c r="B6824" t="s">
        <v>15</v>
      </c>
      <c r="C6824" t="s">
        <v>343</v>
      </c>
      <c r="D6824" t="s">
        <v>17</v>
      </c>
      <c r="E6824" t="s">
        <v>18</v>
      </c>
      <c r="F6824" t="s">
        <v>19</v>
      </c>
      <c r="G6824" t="s">
        <v>20</v>
      </c>
      <c r="J6824" t="s">
        <v>17</v>
      </c>
      <c r="K6824" t="str">
        <f>"025215488672"</f>
        <v>025215488672</v>
      </c>
      <c r="L6824" t="str">
        <f>"98210021"</f>
        <v>98210021</v>
      </c>
      <c r="M6824" t="s">
        <v>84</v>
      </c>
      <c r="N6824" s="1">
        <v>43313.886805555558</v>
      </c>
      <c r="O6824" t="s">
        <v>19</v>
      </c>
    </row>
    <row r="6825" spans="1:15" x14ac:dyDescent="0.25">
      <c r="A6825" t="s">
        <v>4956</v>
      </c>
      <c r="B6825" t="s">
        <v>15</v>
      </c>
      <c r="C6825" t="s">
        <v>965</v>
      </c>
      <c r="D6825" t="s">
        <v>17</v>
      </c>
      <c r="E6825" t="s">
        <v>18</v>
      </c>
      <c r="F6825" t="s">
        <v>19</v>
      </c>
      <c r="G6825" t="s">
        <v>20</v>
      </c>
      <c r="J6825" t="s">
        <v>17</v>
      </c>
      <c r="K6825" t="str">
        <f>"6901234530063"</f>
        <v>6901234530063</v>
      </c>
      <c r="L6825" t="str">
        <f>"98210001"</f>
        <v>98210001</v>
      </c>
      <c r="M6825" t="s">
        <v>84</v>
      </c>
      <c r="N6825" s="1">
        <v>43369.722222222219</v>
      </c>
      <c r="O6825" t="s">
        <v>19</v>
      </c>
    </row>
    <row r="6826" spans="1:15" x14ac:dyDescent="0.25">
      <c r="A6826" t="s">
        <v>4957</v>
      </c>
      <c r="B6826" t="s">
        <v>15</v>
      </c>
      <c r="C6826" t="s">
        <v>343</v>
      </c>
      <c r="D6826" t="s">
        <v>17</v>
      </c>
      <c r="E6826" t="s">
        <v>18</v>
      </c>
      <c r="F6826" t="s">
        <v>19</v>
      </c>
      <c r="G6826" t="s">
        <v>20</v>
      </c>
      <c r="J6826" t="s">
        <v>17</v>
      </c>
      <c r="K6826" t="str">
        <f>"7297932796009"</f>
        <v>7297932796009</v>
      </c>
      <c r="L6826" t="str">
        <f>"79TFMBT600"</f>
        <v>79TFMBT600</v>
      </c>
      <c r="M6826" t="s">
        <v>21</v>
      </c>
      <c r="N6826" s="1">
        <v>43805.734027777777</v>
      </c>
      <c r="O6826" t="s">
        <v>19</v>
      </c>
    </row>
    <row r="6827" spans="1:15" x14ac:dyDescent="0.25">
      <c r="A6827" t="s">
        <v>4958</v>
      </c>
      <c r="B6827" t="s">
        <v>15</v>
      </c>
      <c r="C6827" t="s">
        <v>35</v>
      </c>
      <c r="D6827" t="s">
        <v>17</v>
      </c>
      <c r="E6827" t="s">
        <v>18</v>
      </c>
      <c r="F6827" t="s">
        <v>19</v>
      </c>
      <c r="G6827" t="s">
        <v>20</v>
      </c>
      <c r="J6827" t="s">
        <v>17</v>
      </c>
      <c r="K6827" t="str">
        <f>"1597305463962"</f>
        <v>1597305463962</v>
      </c>
      <c r="L6827" t="str">
        <f>"40020011"</f>
        <v>40020011</v>
      </c>
      <c r="M6827" t="s">
        <v>21</v>
      </c>
      <c r="N6827" s="1">
        <v>44225.866666666669</v>
      </c>
      <c r="O6827" t="s">
        <v>19</v>
      </c>
    </row>
    <row r="6828" spans="1:15" x14ac:dyDescent="0.25">
      <c r="A6828" t="s">
        <v>4959</v>
      </c>
      <c r="B6828" t="s">
        <v>15</v>
      </c>
      <c r="C6828" t="s">
        <v>37</v>
      </c>
      <c r="D6828" t="s">
        <v>17</v>
      </c>
      <c r="E6828" t="s">
        <v>18</v>
      </c>
      <c r="F6828" t="s">
        <v>19</v>
      </c>
      <c r="G6828" t="s">
        <v>20</v>
      </c>
      <c r="J6828" t="s">
        <v>17</v>
      </c>
      <c r="K6828" t="str">
        <f>"10117710"</f>
        <v>10117710</v>
      </c>
      <c r="L6828" t="str">
        <f>"10117710"</f>
        <v>10117710</v>
      </c>
      <c r="M6828" t="s">
        <v>21</v>
      </c>
      <c r="N6828" s="1">
        <v>44254.809027777781</v>
      </c>
      <c r="O6828" t="s">
        <v>19</v>
      </c>
    </row>
    <row r="6829" spans="1:15" x14ac:dyDescent="0.25">
      <c r="A6829" t="s">
        <v>4960</v>
      </c>
      <c r="B6829" t="s">
        <v>15</v>
      </c>
      <c r="C6829" t="s">
        <v>2481</v>
      </c>
      <c r="D6829" t="s">
        <v>17</v>
      </c>
      <c r="E6829" t="s">
        <v>18</v>
      </c>
      <c r="F6829" t="s">
        <v>19</v>
      </c>
      <c r="G6829" t="s">
        <v>20</v>
      </c>
      <c r="J6829" t="s">
        <v>17</v>
      </c>
      <c r="K6829" t="str">
        <f>"40383110"</f>
        <v>40383110</v>
      </c>
      <c r="L6829" t="str">
        <f>"40383110"</f>
        <v>40383110</v>
      </c>
      <c r="M6829" t="s">
        <v>21</v>
      </c>
      <c r="N6829" s="1">
        <v>44349.796527777777</v>
      </c>
      <c r="O6829" t="s">
        <v>19</v>
      </c>
    </row>
    <row r="6830" spans="1:15" x14ac:dyDescent="0.25">
      <c r="A6830" t="s">
        <v>4961</v>
      </c>
      <c r="B6830" t="s">
        <v>15</v>
      </c>
      <c r="C6830" t="s">
        <v>2481</v>
      </c>
      <c r="D6830" t="s">
        <v>17</v>
      </c>
      <c r="E6830" t="s">
        <v>18</v>
      </c>
      <c r="F6830" t="s">
        <v>19</v>
      </c>
      <c r="G6830" t="s">
        <v>20</v>
      </c>
      <c r="J6830" t="s">
        <v>17</v>
      </c>
      <c r="K6830" t="str">
        <f>"7858816075865"</f>
        <v>7858816075865</v>
      </c>
      <c r="L6830" t="str">
        <f>"87387586"</f>
        <v>87387586</v>
      </c>
      <c r="M6830" t="s">
        <v>21</v>
      </c>
      <c r="N6830" s="1">
        <v>44211.899305555555</v>
      </c>
      <c r="O6830" t="s">
        <v>19</v>
      </c>
    </row>
    <row r="6831" spans="1:15" x14ac:dyDescent="0.25">
      <c r="A6831" t="s">
        <v>4962</v>
      </c>
      <c r="B6831" t="s">
        <v>15</v>
      </c>
      <c r="C6831" t="s">
        <v>37</v>
      </c>
      <c r="D6831" t="s">
        <v>17</v>
      </c>
      <c r="E6831" t="s">
        <v>18</v>
      </c>
      <c r="F6831" t="s">
        <v>19</v>
      </c>
      <c r="G6831" t="s">
        <v>20</v>
      </c>
      <c r="J6831" t="s">
        <v>17</v>
      </c>
      <c r="K6831" t="str">
        <f>"10000042"</f>
        <v>10000042</v>
      </c>
      <c r="L6831" t="str">
        <f>"10000042"</f>
        <v>10000042</v>
      </c>
      <c r="M6831" t="s">
        <v>21</v>
      </c>
      <c r="N6831" s="1">
        <v>43686.952777777777</v>
      </c>
      <c r="O6831" t="s">
        <v>19</v>
      </c>
    </row>
    <row r="6832" spans="1:15" x14ac:dyDescent="0.25">
      <c r="A6832" t="s">
        <v>4963</v>
      </c>
      <c r="B6832" t="s">
        <v>15</v>
      </c>
      <c r="C6832" t="s">
        <v>2481</v>
      </c>
      <c r="D6832" t="s">
        <v>17</v>
      </c>
      <c r="E6832" t="s">
        <v>18</v>
      </c>
      <c r="F6832" t="s">
        <v>19</v>
      </c>
      <c r="G6832" t="s">
        <v>20</v>
      </c>
      <c r="J6832" t="s">
        <v>17</v>
      </c>
      <c r="K6832" t="str">
        <f>"4038330A"</f>
        <v>4038330A</v>
      </c>
      <c r="L6832" t="str">
        <f>"4038330A"</f>
        <v>4038330A</v>
      </c>
      <c r="M6832" t="s">
        <v>21</v>
      </c>
      <c r="N6832" s="1">
        <v>44349.797222222223</v>
      </c>
      <c r="O6832" t="s">
        <v>19</v>
      </c>
    </row>
    <row r="6833" spans="1:15" x14ac:dyDescent="0.25">
      <c r="A6833" t="s">
        <v>4964</v>
      </c>
      <c r="B6833" t="s">
        <v>15</v>
      </c>
      <c r="C6833" t="s">
        <v>37</v>
      </c>
      <c r="D6833" t="s">
        <v>17</v>
      </c>
      <c r="E6833" t="s">
        <v>18</v>
      </c>
      <c r="F6833" t="s">
        <v>19</v>
      </c>
      <c r="G6833" t="s">
        <v>20</v>
      </c>
      <c r="J6833" t="s">
        <v>17</v>
      </c>
      <c r="K6833" t="str">
        <f>"10014815"</f>
        <v>10014815</v>
      </c>
      <c r="L6833" t="str">
        <f>"10014815"</f>
        <v>10014815</v>
      </c>
      <c r="M6833" t="s">
        <v>21</v>
      </c>
      <c r="N6833" s="1">
        <v>44371.811111111114</v>
      </c>
      <c r="O6833" t="s">
        <v>19</v>
      </c>
    </row>
    <row r="6834" spans="1:15" x14ac:dyDescent="0.25">
      <c r="A6834" t="s">
        <v>4965</v>
      </c>
      <c r="B6834" t="s">
        <v>15</v>
      </c>
      <c r="C6834" t="s">
        <v>37</v>
      </c>
      <c r="D6834" t="s">
        <v>17</v>
      </c>
      <c r="E6834" t="s">
        <v>18</v>
      </c>
      <c r="F6834" t="s">
        <v>19</v>
      </c>
      <c r="G6834" t="s">
        <v>20</v>
      </c>
      <c r="J6834" t="s">
        <v>17</v>
      </c>
      <c r="K6834" t="str">
        <f>"10117886"</f>
        <v>10117886</v>
      </c>
      <c r="L6834" t="str">
        <f>"10117886"</f>
        <v>10117886</v>
      </c>
      <c r="M6834" t="s">
        <v>21</v>
      </c>
      <c r="N6834" s="1">
        <v>44371.805555555555</v>
      </c>
      <c r="O6834" t="s">
        <v>19</v>
      </c>
    </row>
    <row r="6835" spans="1:15" x14ac:dyDescent="0.25">
      <c r="A6835" t="s">
        <v>4966</v>
      </c>
      <c r="B6835" t="s">
        <v>15</v>
      </c>
      <c r="C6835" t="s">
        <v>37</v>
      </c>
      <c r="D6835" t="s">
        <v>17</v>
      </c>
      <c r="E6835" t="s">
        <v>18</v>
      </c>
      <c r="F6835" t="s">
        <v>19</v>
      </c>
      <c r="G6835" t="s">
        <v>20</v>
      </c>
      <c r="J6835" t="s">
        <v>17</v>
      </c>
      <c r="K6835" t="str">
        <f>"10001346"</f>
        <v>10001346</v>
      </c>
      <c r="L6835" t="str">
        <f>"10001346"</f>
        <v>10001346</v>
      </c>
      <c r="M6835" t="s">
        <v>84</v>
      </c>
      <c r="N6835" s="1">
        <v>43307.866666666669</v>
      </c>
      <c r="O6835" t="s">
        <v>19</v>
      </c>
    </row>
    <row r="6836" spans="1:15" x14ac:dyDescent="0.25">
      <c r="A6836" t="s">
        <v>4967</v>
      </c>
      <c r="B6836" t="s">
        <v>15</v>
      </c>
      <c r="C6836" t="s">
        <v>37</v>
      </c>
      <c r="D6836" t="s">
        <v>17</v>
      </c>
      <c r="E6836" t="s">
        <v>18</v>
      </c>
      <c r="F6836" t="s">
        <v>19</v>
      </c>
      <c r="G6836" t="s">
        <v>20</v>
      </c>
      <c r="J6836" t="s">
        <v>17</v>
      </c>
      <c r="K6836" t="str">
        <f>"10000629"</f>
        <v>10000629</v>
      </c>
      <c r="L6836" t="str">
        <f>"10000629"</f>
        <v>10000629</v>
      </c>
      <c r="M6836" t="s">
        <v>21</v>
      </c>
      <c r="N6836" s="1">
        <v>43708.873611111114</v>
      </c>
      <c r="O6836" t="s">
        <v>19</v>
      </c>
    </row>
    <row r="6837" spans="1:15" x14ac:dyDescent="0.25">
      <c r="A6837" t="s">
        <v>4968</v>
      </c>
      <c r="B6837" t="s">
        <v>15</v>
      </c>
      <c r="C6837" t="s">
        <v>37</v>
      </c>
      <c r="D6837" t="s">
        <v>17</v>
      </c>
      <c r="E6837" t="s">
        <v>18</v>
      </c>
      <c r="F6837" t="s">
        <v>19</v>
      </c>
      <c r="G6837" t="s">
        <v>20</v>
      </c>
      <c r="J6837" t="s">
        <v>17</v>
      </c>
      <c r="K6837" t="str">
        <f>"7858816062971"</f>
        <v>7858816062971</v>
      </c>
      <c r="L6837" t="str">
        <f>"87526297"</f>
        <v>87526297</v>
      </c>
      <c r="M6837" t="s">
        <v>21</v>
      </c>
      <c r="N6837" s="1">
        <v>43854.731944444444</v>
      </c>
      <c r="O6837" t="s">
        <v>19</v>
      </c>
    </row>
    <row r="6838" spans="1:15" x14ac:dyDescent="0.25">
      <c r="A6838" t="s">
        <v>4969</v>
      </c>
      <c r="B6838" t="s">
        <v>15</v>
      </c>
      <c r="C6838" t="s">
        <v>2481</v>
      </c>
      <c r="D6838" t="s">
        <v>17</v>
      </c>
      <c r="E6838" t="s">
        <v>18</v>
      </c>
      <c r="F6838" t="s">
        <v>19</v>
      </c>
      <c r="G6838" t="s">
        <v>20</v>
      </c>
      <c r="J6838" t="s">
        <v>17</v>
      </c>
      <c r="K6838" t="str">
        <f>"7858816062957"</f>
        <v>7858816062957</v>
      </c>
      <c r="L6838" t="str">
        <f>"87386295"</f>
        <v>87386295</v>
      </c>
      <c r="M6838" t="s">
        <v>21</v>
      </c>
      <c r="N6838" s="1">
        <v>43804.617361111108</v>
      </c>
      <c r="O6838" t="s">
        <v>19</v>
      </c>
    </row>
    <row r="6839" spans="1:15" x14ac:dyDescent="0.25">
      <c r="A6839" t="s">
        <v>4970</v>
      </c>
      <c r="B6839" t="s">
        <v>15</v>
      </c>
      <c r="C6839" t="s">
        <v>2481</v>
      </c>
      <c r="D6839" t="s">
        <v>17</v>
      </c>
      <c r="E6839" t="s">
        <v>18</v>
      </c>
      <c r="F6839" t="s">
        <v>19</v>
      </c>
      <c r="G6839" t="s">
        <v>20</v>
      </c>
      <c r="J6839" t="s">
        <v>17</v>
      </c>
      <c r="K6839" t="str">
        <f>"6933126206220"</f>
        <v>6933126206220</v>
      </c>
      <c r="L6839" t="str">
        <f>"10116236"</f>
        <v>10116236</v>
      </c>
      <c r="M6839" t="s">
        <v>21</v>
      </c>
      <c r="N6839" s="1">
        <v>42872.847222222219</v>
      </c>
      <c r="O6839" t="s">
        <v>19</v>
      </c>
    </row>
    <row r="6840" spans="1:15" x14ac:dyDescent="0.25">
      <c r="A6840" t="s">
        <v>4971</v>
      </c>
      <c r="B6840" t="s">
        <v>15</v>
      </c>
      <c r="C6840" t="s">
        <v>2481</v>
      </c>
      <c r="D6840" t="s">
        <v>17</v>
      </c>
      <c r="E6840" t="s">
        <v>18</v>
      </c>
      <c r="F6840" t="s">
        <v>19</v>
      </c>
      <c r="G6840" t="s">
        <v>20</v>
      </c>
      <c r="J6840" t="s">
        <v>17</v>
      </c>
      <c r="K6840" t="str">
        <f>"69380831"</f>
        <v>69380831</v>
      </c>
      <c r="L6840" t="str">
        <f>"69380831"</f>
        <v>69380831</v>
      </c>
      <c r="M6840" t="s">
        <v>84</v>
      </c>
      <c r="N6840" s="1">
        <v>43328.672222222223</v>
      </c>
      <c r="O6840" t="s">
        <v>19</v>
      </c>
    </row>
    <row r="6841" spans="1:15" x14ac:dyDescent="0.25">
      <c r="A6841" t="s">
        <v>4972</v>
      </c>
      <c r="B6841" t="s">
        <v>15</v>
      </c>
      <c r="C6841" t="s">
        <v>2481</v>
      </c>
      <c r="D6841" t="s">
        <v>17</v>
      </c>
      <c r="E6841" t="s">
        <v>18</v>
      </c>
      <c r="F6841" t="s">
        <v>19</v>
      </c>
      <c r="G6841" t="s">
        <v>20</v>
      </c>
      <c r="J6841" t="s">
        <v>17</v>
      </c>
      <c r="K6841" t="str">
        <f>"69380382"</f>
        <v>69380382</v>
      </c>
      <c r="L6841" t="str">
        <f>"69380382"</f>
        <v>69380382</v>
      </c>
      <c r="M6841" t="s">
        <v>84</v>
      </c>
      <c r="N6841" s="1">
        <v>43328.673611111109</v>
      </c>
      <c r="O6841" t="s">
        <v>19</v>
      </c>
    </row>
    <row r="6842" spans="1:15" x14ac:dyDescent="0.25">
      <c r="A6842" t="s">
        <v>4973</v>
      </c>
      <c r="B6842" t="s">
        <v>15</v>
      </c>
      <c r="C6842" t="s">
        <v>37</v>
      </c>
      <c r="D6842" t="s">
        <v>17</v>
      </c>
      <c r="E6842" t="s">
        <v>18</v>
      </c>
      <c r="F6842" t="s">
        <v>19</v>
      </c>
      <c r="G6842" t="s">
        <v>20</v>
      </c>
      <c r="J6842" t="s">
        <v>17</v>
      </c>
      <c r="K6842" t="str">
        <f>"10002312"</f>
        <v>10002312</v>
      </c>
      <c r="L6842" t="str">
        <f>"10002312"</f>
        <v>10002312</v>
      </c>
      <c r="M6842" t="s">
        <v>21</v>
      </c>
      <c r="N6842" s="1">
        <v>43858.615972222222</v>
      </c>
      <c r="O6842" t="s">
        <v>19</v>
      </c>
    </row>
    <row r="6843" spans="1:15" x14ac:dyDescent="0.25">
      <c r="A6843" t="s">
        <v>4974</v>
      </c>
      <c r="B6843" t="s">
        <v>15</v>
      </c>
      <c r="C6843" t="s">
        <v>2481</v>
      </c>
      <c r="D6843" t="s">
        <v>17</v>
      </c>
      <c r="E6843" t="s">
        <v>18</v>
      </c>
      <c r="F6843" t="s">
        <v>19</v>
      </c>
      <c r="G6843" t="s">
        <v>20</v>
      </c>
      <c r="J6843" t="s">
        <v>17</v>
      </c>
      <c r="K6843" t="str">
        <f>"10002417"</f>
        <v>10002417</v>
      </c>
      <c r="L6843" t="str">
        <f>"10002417"</f>
        <v>10002417</v>
      </c>
      <c r="M6843" t="s">
        <v>84</v>
      </c>
      <c r="N6843" s="1">
        <v>43463.836111111108</v>
      </c>
      <c r="O6843" t="s">
        <v>19</v>
      </c>
    </row>
    <row r="6844" spans="1:15" x14ac:dyDescent="0.25">
      <c r="A6844" t="s">
        <v>4975</v>
      </c>
      <c r="B6844" t="s">
        <v>15</v>
      </c>
      <c r="C6844" t="s">
        <v>37</v>
      </c>
      <c r="D6844" t="s">
        <v>17</v>
      </c>
      <c r="E6844" t="s">
        <v>18</v>
      </c>
      <c r="F6844" t="s">
        <v>19</v>
      </c>
      <c r="G6844" t="s">
        <v>20</v>
      </c>
      <c r="J6844" t="s">
        <v>17</v>
      </c>
      <c r="K6844" t="str">
        <f>"1578583566411"</f>
        <v>1578583566411</v>
      </c>
      <c r="L6844" t="str">
        <f>"100000815"</f>
        <v>100000815</v>
      </c>
      <c r="M6844" t="s">
        <v>21</v>
      </c>
      <c r="N6844" s="1">
        <v>43839.643055555556</v>
      </c>
      <c r="O6844" t="s">
        <v>19</v>
      </c>
    </row>
    <row r="6845" spans="1:15" x14ac:dyDescent="0.25">
      <c r="A6845" t="s">
        <v>4976</v>
      </c>
      <c r="B6845" t="s">
        <v>15</v>
      </c>
      <c r="C6845" t="s">
        <v>2481</v>
      </c>
      <c r="D6845" t="s">
        <v>17</v>
      </c>
      <c r="E6845" t="s">
        <v>18</v>
      </c>
      <c r="F6845" t="s">
        <v>19</v>
      </c>
      <c r="G6845" t="s">
        <v>20</v>
      </c>
      <c r="J6845" t="s">
        <v>17</v>
      </c>
      <c r="K6845" t="str">
        <f>"7895623005494"</f>
        <v>7895623005494</v>
      </c>
      <c r="L6845" t="str">
        <f>"87380549"</f>
        <v>87380549</v>
      </c>
      <c r="M6845" t="s">
        <v>75</v>
      </c>
      <c r="N6845" s="1">
        <v>43244.685416666667</v>
      </c>
      <c r="O6845" t="s">
        <v>19</v>
      </c>
    </row>
    <row r="6846" spans="1:15" x14ac:dyDescent="0.25">
      <c r="A6846" t="s">
        <v>4977</v>
      </c>
      <c r="B6846" t="s">
        <v>15</v>
      </c>
      <c r="C6846" t="s">
        <v>37</v>
      </c>
      <c r="D6846" t="s">
        <v>17</v>
      </c>
      <c r="E6846" t="s">
        <v>18</v>
      </c>
      <c r="F6846" t="s">
        <v>19</v>
      </c>
      <c r="G6846" t="s">
        <v>20</v>
      </c>
      <c r="J6846" t="s">
        <v>17</v>
      </c>
      <c r="K6846" t="str">
        <f>"7858816076299"</f>
        <v>7858816076299</v>
      </c>
      <c r="L6846" t="str">
        <f>"87527629"</f>
        <v>87527629</v>
      </c>
      <c r="M6846" t="s">
        <v>21</v>
      </c>
      <c r="N6846" s="1">
        <v>43216.854166666664</v>
      </c>
      <c r="O6846" t="s">
        <v>19</v>
      </c>
    </row>
    <row r="6847" spans="1:15" x14ac:dyDescent="0.25">
      <c r="A6847" t="s">
        <v>4978</v>
      </c>
      <c r="B6847" t="s">
        <v>15</v>
      </c>
      <c r="C6847" t="s">
        <v>2481</v>
      </c>
      <c r="D6847" t="s">
        <v>17</v>
      </c>
      <c r="E6847" t="s">
        <v>18</v>
      </c>
      <c r="F6847" t="s">
        <v>19</v>
      </c>
      <c r="G6847" t="s">
        <v>20</v>
      </c>
      <c r="J6847" t="s">
        <v>17</v>
      </c>
      <c r="K6847" t="str">
        <f>"7858816022685"</f>
        <v>7858816022685</v>
      </c>
      <c r="L6847" t="str">
        <f>"87385574"</f>
        <v>87385574</v>
      </c>
      <c r="M6847" t="s">
        <v>21</v>
      </c>
      <c r="N6847" s="1">
        <v>43839.824999999997</v>
      </c>
      <c r="O6847" t="s">
        <v>19</v>
      </c>
    </row>
    <row r="6848" spans="1:15" x14ac:dyDescent="0.25">
      <c r="A6848" t="s">
        <v>4979</v>
      </c>
      <c r="B6848" t="s">
        <v>15</v>
      </c>
      <c r="C6848" t="s">
        <v>37</v>
      </c>
      <c r="D6848" t="s">
        <v>17</v>
      </c>
      <c r="E6848" t="s">
        <v>18</v>
      </c>
      <c r="F6848" t="s">
        <v>19</v>
      </c>
      <c r="G6848" t="s">
        <v>20</v>
      </c>
      <c r="J6848" t="s">
        <v>17</v>
      </c>
      <c r="K6848" t="str">
        <f>"7858816022692"</f>
        <v>7858816022692</v>
      </c>
      <c r="L6848" t="str">
        <f>"87522269"</f>
        <v>87522269</v>
      </c>
      <c r="M6848" t="s">
        <v>84</v>
      </c>
      <c r="N6848" s="1">
        <v>43446.882638888892</v>
      </c>
      <c r="O6848" t="s">
        <v>19</v>
      </c>
    </row>
    <row r="6849" spans="1:15" x14ac:dyDescent="0.25">
      <c r="A6849" t="s">
        <v>4980</v>
      </c>
      <c r="B6849" t="s">
        <v>15</v>
      </c>
      <c r="C6849" t="s">
        <v>905</v>
      </c>
      <c r="D6849" t="s">
        <v>17</v>
      </c>
      <c r="E6849" t="s">
        <v>18</v>
      </c>
      <c r="F6849" t="s">
        <v>19</v>
      </c>
      <c r="G6849" t="s">
        <v>20</v>
      </c>
      <c r="J6849" t="s">
        <v>17</v>
      </c>
      <c r="K6849" t="str">
        <f>"87730012"</f>
        <v>87730012</v>
      </c>
      <c r="L6849" t="str">
        <f>"87730012"</f>
        <v>87730012</v>
      </c>
      <c r="M6849" t="s">
        <v>75</v>
      </c>
      <c r="N6849" s="1">
        <v>42872.847222222219</v>
      </c>
      <c r="O6849" t="s">
        <v>19</v>
      </c>
    </row>
    <row r="6850" spans="1:15" x14ac:dyDescent="0.25">
      <c r="A6850" t="s">
        <v>4981</v>
      </c>
      <c r="B6850" t="s">
        <v>15</v>
      </c>
      <c r="C6850" t="s">
        <v>2481</v>
      </c>
      <c r="D6850" t="s">
        <v>17</v>
      </c>
      <c r="E6850" t="s">
        <v>18</v>
      </c>
      <c r="F6850" t="s">
        <v>19</v>
      </c>
      <c r="G6850" t="s">
        <v>20</v>
      </c>
      <c r="J6850" t="s">
        <v>17</v>
      </c>
      <c r="K6850" t="str">
        <f>"7895623005548"</f>
        <v>7895623005548</v>
      </c>
      <c r="L6850" t="str">
        <f>"87380554"</f>
        <v>87380554</v>
      </c>
      <c r="M6850" t="s">
        <v>84</v>
      </c>
      <c r="N6850" s="1">
        <v>43454.629861111112</v>
      </c>
      <c r="O6850" t="s">
        <v>19</v>
      </c>
    </row>
    <row r="6851" spans="1:15" x14ac:dyDescent="0.25">
      <c r="A6851" t="s">
        <v>4982</v>
      </c>
      <c r="B6851" t="s">
        <v>15</v>
      </c>
      <c r="C6851" t="s">
        <v>2481</v>
      </c>
      <c r="D6851" t="s">
        <v>17</v>
      </c>
      <c r="E6851" t="s">
        <v>18</v>
      </c>
      <c r="F6851" t="s">
        <v>19</v>
      </c>
      <c r="G6851" t="s">
        <v>20</v>
      </c>
      <c r="J6851" t="s">
        <v>17</v>
      </c>
      <c r="K6851" t="str">
        <f>"7858816051104"</f>
        <v>7858816051104</v>
      </c>
      <c r="L6851" t="str">
        <f>"87385110"</f>
        <v>87385110</v>
      </c>
      <c r="M6851" t="s">
        <v>84</v>
      </c>
      <c r="N6851" s="1">
        <v>43446.881944444445</v>
      </c>
      <c r="O6851" t="s">
        <v>19</v>
      </c>
    </row>
    <row r="6852" spans="1:15" x14ac:dyDescent="0.25">
      <c r="A6852" t="s">
        <v>4983</v>
      </c>
      <c r="B6852" t="s">
        <v>15</v>
      </c>
      <c r="C6852" t="s">
        <v>2481</v>
      </c>
      <c r="D6852" t="s">
        <v>17</v>
      </c>
      <c r="E6852" t="s">
        <v>18</v>
      </c>
      <c r="F6852" t="s">
        <v>19</v>
      </c>
      <c r="G6852" t="s">
        <v>20</v>
      </c>
      <c r="J6852" t="s">
        <v>17</v>
      </c>
      <c r="K6852" t="str">
        <f>"7858816065057"</f>
        <v>7858816065057</v>
      </c>
      <c r="L6852" t="str">
        <f>"87386505"</f>
        <v>87386505</v>
      </c>
      <c r="M6852" t="s">
        <v>21</v>
      </c>
      <c r="N6852" s="1">
        <v>43889.904861111114</v>
      </c>
      <c r="O6852" t="s">
        <v>19</v>
      </c>
    </row>
    <row r="6853" spans="1:15" x14ac:dyDescent="0.25">
      <c r="A6853" t="s">
        <v>4984</v>
      </c>
      <c r="B6853" t="s">
        <v>15</v>
      </c>
      <c r="C6853" t="s">
        <v>2481</v>
      </c>
      <c r="D6853" t="s">
        <v>17</v>
      </c>
      <c r="E6853" t="s">
        <v>18</v>
      </c>
      <c r="F6853" t="s">
        <v>19</v>
      </c>
      <c r="G6853" t="s">
        <v>20</v>
      </c>
      <c r="J6853" t="s">
        <v>17</v>
      </c>
      <c r="K6853" t="str">
        <f>"7858816077166"</f>
        <v>7858816077166</v>
      </c>
      <c r="L6853" t="str">
        <f>"87387716"</f>
        <v>87387716</v>
      </c>
      <c r="M6853" t="s">
        <v>21</v>
      </c>
      <c r="N6853" s="1">
        <v>43463.688888888886</v>
      </c>
      <c r="O6853" t="s">
        <v>19</v>
      </c>
    </row>
    <row r="6854" spans="1:15" x14ac:dyDescent="0.25">
      <c r="A6854" t="s">
        <v>4985</v>
      </c>
      <c r="B6854" t="s">
        <v>15</v>
      </c>
      <c r="C6854" t="s">
        <v>2481</v>
      </c>
      <c r="D6854" t="s">
        <v>17</v>
      </c>
      <c r="E6854" t="s">
        <v>18</v>
      </c>
      <c r="F6854" t="s">
        <v>19</v>
      </c>
      <c r="G6854" t="s">
        <v>20</v>
      </c>
      <c r="J6854" t="s">
        <v>17</v>
      </c>
      <c r="K6854" t="str">
        <f>"69382574"</f>
        <v>69382574</v>
      </c>
      <c r="L6854" t="str">
        <f>"69382574"</f>
        <v>69382574</v>
      </c>
      <c r="M6854" t="s">
        <v>84</v>
      </c>
      <c r="N6854" s="1">
        <v>43328.67291666667</v>
      </c>
      <c r="O6854" t="s">
        <v>19</v>
      </c>
    </row>
    <row r="6855" spans="1:15" x14ac:dyDescent="0.25">
      <c r="A6855" t="s">
        <v>4986</v>
      </c>
      <c r="B6855" t="s">
        <v>15</v>
      </c>
      <c r="C6855" t="s">
        <v>2481</v>
      </c>
      <c r="D6855" t="s">
        <v>17</v>
      </c>
      <c r="E6855" t="s">
        <v>18</v>
      </c>
      <c r="F6855" t="s">
        <v>19</v>
      </c>
      <c r="G6855" t="s">
        <v>20</v>
      </c>
      <c r="J6855" t="s">
        <v>17</v>
      </c>
      <c r="K6855" t="str">
        <f>"7858816030963"</f>
        <v>7858816030963</v>
      </c>
      <c r="L6855" t="str">
        <f>"87383096"</f>
        <v>87383096</v>
      </c>
      <c r="M6855" t="s">
        <v>84</v>
      </c>
      <c r="N6855" s="1">
        <v>43216.741666666669</v>
      </c>
      <c r="O6855" t="s">
        <v>19</v>
      </c>
    </row>
    <row r="6856" spans="1:15" x14ac:dyDescent="0.25">
      <c r="A6856" t="s">
        <v>4987</v>
      </c>
      <c r="B6856" t="s">
        <v>15</v>
      </c>
      <c r="C6856" t="s">
        <v>2481</v>
      </c>
      <c r="D6856" t="s">
        <v>17</v>
      </c>
      <c r="E6856" t="s">
        <v>18</v>
      </c>
      <c r="F6856" t="s">
        <v>19</v>
      </c>
      <c r="G6856" t="s">
        <v>20</v>
      </c>
      <c r="J6856" t="s">
        <v>18</v>
      </c>
      <c r="K6856" t="str">
        <f>"7858816078996"</f>
        <v>7858816078996</v>
      </c>
      <c r="L6856" t="str">
        <f>"87387988"</f>
        <v>87387988</v>
      </c>
      <c r="M6856" t="s">
        <v>21</v>
      </c>
      <c r="N6856" s="1">
        <v>44211.759722222225</v>
      </c>
      <c r="O6856" t="s">
        <v>19</v>
      </c>
    </row>
    <row r="6857" spans="1:15" x14ac:dyDescent="0.25">
      <c r="A6857" t="s">
        <v>4988</v>
      </c>
      <c r="B6857" t="s">
        <v>15</v>
      </c>
      <c r="C6857" t="s">
        <v>2481</v>
      </c>
      <c r="D6857" t="s">
        <v>17</v>
      </c>
      <c r="E6857" t="s">
        <v>18</v>
      </c>
      <c r="F6857" t="s">
        <v>19</v>
      </c>
      <c r="G6857" t="s">
        <v>20</v>
      </c>
      <c r="J6857" t="s">
        <v>17</v>
      </c>
      <c r="K6857" t="str">
        <f>"6933126206228"</f>
        <v>6933126206228</v>
      </c>
      <c r="L6857" t="str">
        <f>"40386228"</f>
        <v>40386228</v>
      </c>
      <c r="M6857" t="s">
        <v>21</v>
      </c>
      <c r="N6857" s="1">
        <v>44349.795138888891</v>
      </c>
      <c r="O6857" t="s">
        <v>19</v>
      </c>
    </row>
    <row r="6858" spans="1:15" x14ac:dyDescent="0.25">
      <c r="A6858" t="s">
        <v>4989</v>
      </c>
      <c r="B6858" t="s">
        <v>15</v>
      </c>
      <c r="C6858" t="s">
        <v>2481</v>
      </c>
      <c r="D6858" t="s">
        <v>17</v>
      </c>
      <c r="E6858" t="s">
        <v>18</v>
      </c>
      <c r="F6858" t="s">
        <v>19</v>
      </c>
      <c r="G6858" t="s">
        <v>20</v>
      </c>
      <c r="J6858" t="s">
        <v>17</v>
      </c>
      <c r="K6858" t="str">
        <f>"6686996178240"</f>
        <v>6686996178240</v>
      </c>
      <c r="L6858" t="str">
        <f>"66386824"</f>
        <v>66386824</v>
      </c>
      <c r="M6858" t="s">
        <v>84</v>
      </c>
      <c r="N6858" s="1">
        <v>43257.664583333331</v>
      </c>
      <c r="O6858" t="s">
        <v>19</v>
      </c>
    </row>
    <row r="6859" spans="1:15" x14ac:dyDescent="0.25">
      <c r="A6859" t="s">
        <v>4989</v>
      </c>
      <c r="B6859" t="s">
        <v>15</v>
      </c>
      <c r="C6859" t="s">
        <v>2481</v>
      </c>
      <c r="D6859" t="s">
        <v>17</v>
      </c>
      <c r="E6859" t="s">
        <v>18</v>
      </c>
      <c r="F6859" t="s">
        <v>19</v>
      </c>
      <c r="G6859" t="s">
        <v>20</v>
      </c>
      <c r="H6859" t="s">
        <v>4990</v>
      </c>
      <c r="J6859" t="s">
        <v>17</v>
      </c>
      <c r="K6859" t="str">
        <f>"7858816021138"</f>
        <v>7858816021138</v>
      </c>
      <c r="L6859" t="str">
        <f>"87382113"</f>
        <v>87382113</v>
      </c>
      <c r="M6859" t="s">
        <v>75</v>
      </c>
      <c r="N6859" s="1">
        <v>43216.740972222222</v>
      </c>
      <c r="O6859" t="s">
        <v>19</v>
      </c>
    </row>
    <row r="6860" spans="1:15" x14ac:dyDescent="0.25">
      <c r="A6860" t="s">
        <v>4991</v>
      </c>
      <c r="B6860" t="s">
        <v>15</v>
      </c>
      <c r="C6860" t="s">
        <v>2481</v>
      </c>
      <c r="D6860" t="s">
        <v>17</v>
      </c>
      <c r="E6860" t="s">
        <v>18</v>
      </c>
      <c r="F6860" t="s">
        <v>19</v>
      </c>
      <c r="G6860" t="s">
        <v>20</v>
      </c>
      <c r="J6860" t="s">
        <v>17</v>
      </c>
      <c r="K6860" t="str">
        <f>"9311998645021"</f>
        <v>9311998645021</v>
      </c>
      <c r="L6860" t="str">
        <f>"40381028"</f>
        <v>40381028</v>
      </c>
      <c r="M6860" t="s">
        <v>21</v>
      </c>
      <c r="N6860" s="1">
        <v>44349.793749999997</v>
      </c>
      <c r="O6860" t="s">
        <v>19</v>
      </c>
    </row>
    <row r="6861" spans="1:15" x14ac:dyDescent="0.25">
      <c r="A6861" t="s">
        <v>4992</v>
      </c>
      <c r="B6861" t="s">
        <v>15</v>
      </c>
      <c r="C6861" t="s">
        <v>2481</v>
      </c>
      <c r="D6861" t="s">
        <v>17</v>
      </c>
      <c r="E6861" t="s">
        <v>18</v>
      </c>
      <c r="F6861" t="s">
        <v>19</v>
      </c>
      <c r="G6861" t="s">
        <v>20</v>
      </c>
      <c r="J6861" t="s">
        <v>17</v>
      </c>
      <c r="K6861" t="str">
        <f>"7858816064135"</f>
        <v>7858816064135</v>
      </c>
      <c r="L6861" t="str">
        <f>"87386413"</f>
        <v>87386413</v>
      </c>
      <c r="M6861" t="s">
        <v>21</v>
      </c>
      <c r="N6861" s="1">
        <v>43804.618750000001</v>
      </c>
      <c r="O6861" t="s">
        <v>19</v>
      </c>
    </row>
    <row r="6862" spans="1:15" x14ac:dyDescent="0.25">
      <c r="A6862" t="s">
        <v>4993</v>
      </c>
      <c r="B6862" t="s">
        <v>15</v>
      </c>
      <c r="C6862" t="s">
        <v>2481</v>
      </c>
      <c r="D6862" t="s">
        <v>17</v>
      </c>
      <c r="E6862" t="s">
        <v>18</v>
      </c>
      <c r="F6862" t="s">
        <v>19</v>
      </c>
      <c r="G6862" t="s">
        <v>20</v>
      </c>
      <c r="J6862" t="s">
        <v>17</v>
      </c>
      <c r="K6862" t="str">
        <f>"7858816075582"</f>
        <v>7858816075582</v>
      </c>
      <c r="L6862" t="str">
        <f>"87387558"</f>
        <v>87387558</v>
      </c>
      <c r="M6862" t="s">
        <v>21</v>
      </c>
      <c r="N6862" s="1">
        <v>42872.839583333334</v>
      </c>
      <c r="O6862" t="s">
        <v>19</v>
      </c>
    </row>
    <row r="6863" spans="1:15" x14ac:dyDescent="0.25">
      <c r="A6863" t="s">
        <v>4994</v>
      </c>
      <c r="B6863" t="s">
        <v>15</v>
      </c>
      <c r="C6863" t="s">
        <v>37</v>
      </c>
      <c r="D6863" t="s">
        <v>17</v>
      </c>
      <c r="E6863" t="s">
        <v>18</v>
      </c>
      <c r="F6863" t="s">
        <v>19</v>
      </c>
      <c r="G6863" t="s">
        <v>20</v>
      </c>
      <c r="J6863" t="s">
        <v>17</v>
      </c>
      <c r="K6863" t="str">
        <f>"7820099880368"</f>
        <v>7820099880368</v>
      </c>
      <c r="L6863" t="str">
        <f>"10002890"</f>
        <v>10002890</v>
      </c>
      <c r="M6863" t="s">
        <v>21</v>
      </c>
      <c r="N6863" s="1">
        <v>43666.879166666666</v>
      </c>
      <c r="O6863" t="s">
        <v>19</v>
      </c>
    </row>
    <row r="6864" spans="1:15" x14ac:dyDescent="0.25">
      <c r="A6864" t="s">
        <v>4995</v>
      </c>
      <c r="B6864" t="s">
        <v>15</v>
      </c>
      <c r="C6864" t="s">
        <v>37</v>
      </c>
      <c r="D6864" t="s">
        <v>17</v>
      </c>
      <c r="E6864" t="s">
        <v>18</v>
      </c>
      <c r="F6864" t="s">
        <v>19</v>
      </c>
      <c r="G6864" t="s">
        <v>20</v>
      </c>
      <c r="J6864" t="s">
        <v>18</v>
      </c>
      <c r="K6864" t="str">
        <f>"7858816072352"</f>
        <v>7858816072352</v>
      </c>
      <c r="L6864" t="str">
        <f>"87527235"</f>
        <v>87527235</v>
      </c>
      <c r="M6864" t="s">
        <v>21</v>
      </c>
      <c r="N6864" s="1">
        <v>44211.765972222223</v>
      </c>
      <c r="O6864" t="s">
        <v>19</v>
      </c>
    </row>
    <row r="6865" spans="1:15" x14ac:dyDescent="0.25">
      <c r="A6865" t="s">
        <v>4996</v>
      </c>
      <c r="B6865" t="s">
        <v>15</v>
      </c>
      <c r="C6865" t="s">
        <v>37</v>
      </c>
      <c r="D6865" t="s">
        <v>17</v>
      </c>
      <c r="E6865" t="s">
        <v>18</v>
      </c>
      <c r="F6865" t="s">
        <v>19</v>
      </c>
      <c r="G6865" t="s">
        <v>20</v>
      </c>
      <c r="J6865" t="s">
        <v>17</v>
      </c>
      <c r="K6865" t="str">
        <f>"7858816072369"</f>
        <v>7858816072369</v>
      </c>
      <c r="L6865" t="str">
        <f>"87527236"</f>
        <v>87527236</v>
      </c>
      <c r="M6865" t="s">
        <v>21</v>
      </c>
      <c r="N6865" s="1">
        <v>44371.650694444441</v>
      </c>
      <c r="O6865" t="s">
        <v>19</v>
      </c>
    </row>
    <row r="6866" spans="1:15" x14ac:dyDescent="0.25">
      <c r="A6866" t="s">
        <v>4997</v>
      </c>
      <c r="B6866" t="s">
        <v>15</v>
      </c>
      <c r="C6866" t="s">
        <v>37</v>
      </c>
      <c r="D6866" t="s">
        <v>17</v>
      </c>
      <c r="E6866" t="s">
        <v>18</v>
      </c>
      <c r="F6866" t="s">
        <v>19</v>
      </c>
      <c r="G6866" t="s">
        <v>20</v>
      </c>
      <c r="J6866" t="s">
        <v>17</v>
      </c>
      <c r="K6866" t="str">
        <f>"1792700066668"</f>
        <v>1792700066668</v>
      </c>
      <c r="L6866" t="str">
        <f>"40526668"</f>
        <v>40526668</v>
      </c>
      <c r="M6866" t="s">
        <v>21</v>
      </c>
      <c r="N6866" s="1">
        <v>44434.867361111108</v>
      </c>
      <c r="O6866" t="s">
        <v>19</v>
      </c>
    </row>
    <row r="6867" spans="1:15" x14ac:dyDescent="0.25">
      <c r="A6867" t="s">
        <v>4998</v>
      </c>
      <c r="B6867" t="s">
        <v>15</v>
      </c>
      <c r="C6867" t="s">
        <v>37</v>
      </c>
      <c r="D6867" t="s">
        <v>17</v>
      </c>
      <c r="E6867" t="s">
        <v>18</v>
      </c>
      <c r="F6867" t="s">
        <v>19</v>
      </c>
      <c r="G6867" t="s">
        <v>20</v>
      </c>
      <c r="J6867" t="s">
        <v>17</v>
      </c>
      <c r="K6867" t="str">
        <f>"1981061335807"</f>
        <v>1981061335807</v>
      </c>
      <c r="L6867" t="str">
        <f>"40520096"</f>
        <v>40520096</v>
      </c>
      <c r="M6867" t="s">
        <v>21</v>
      </c>
      <c r="N6867" s="1">
        <v>44434.877083333333</v>
      </c>
      <c r="O6867" t="s">
        <v>19</v>
      </c>
    </row>
    <row r="6868" spans="1:15" x14ac:dyDescent="0.25">
      <c r="A6868" t="s">
        <v>4999</v>
      </c>
      <c r="B6868" t="s">
        <v>15</v>
      </c>
      <c r="C6868" t="s">
        <v>27</v>
      </c>
      <c r="D6868" t="s">
        <v>17</v>
      </c>
      <c r="E6868" t="s">
        <v>18</v>
      </c>
      <c r="F6868" t="s">
        <v>33</v>
      </c>
      <c r="G6868" t="s">
        <v>20</v>
      </c>
      <c r="J6868" t="s">
        <v>17</v>
      </c>
      <c r="K6868" t="str">
        <f>"1546457075"</f>
        <v>1546457075</v>
      </c>
      <c r="L6868" t="str">
        <f>"1546457075"</f>
        <v>1546457075</v>
      </c>
      <c r="M6868" t="s">
        <v>21</v>
      </c>
      <c r="N6868" s="1">
        <v>42872.849305555559</v>
      </c>
      <c r="O6868" t="s">
        <v>33</v>
      </c>
    </row>
    <row r="6869" spans="1:15" x14ac:dyDescent="0.25">
      <c r="A6869" t="s">
        <v>5000</v>
      </c>
      <c r="B6869" t="s">
        <v>15</v>
      </c>
      <c r="C6869" t="s">
        <v>2582</v>
      </c>
      <c r="D6869" t="s">
        <v>17</v>
      </c>
      <c r="E6869" t="s">
        <v>18</v>
      </c>
      <c r="F6869" t="s">
        <v>19</v>
      </c>
      <c r="G6869" t="s">
        <v>20</v>
      </c>
      <c r="J6869" t="s">
        <v>17</v>
      </c>
      <c r="K6869" t="str">
        <f>"413107254"</f>
        <v>413107254</v>
      </c>
      <c r="L6869" t="str">
        <f>"413107254"</f>
        <v>413107254</v>
      </c>
      <c r="M6869" t="s">
        <v>75</v>
      </c>
      <c r="N6869" s="1">
        <v>43007.839583333334</v>
      </c>
      <c r="O6869" t="s">
        <v>19</v>
      </c>
    </row>
    <row r="6870" spans="1:15" x14ac:dyDescent="0.25">
      <c r="A6870" t="s">
        <v>5001</v>
      </c>
      <c r="B6870" t="s">
        <v>15</v>
      </c>
      <c r="C6870" t="s">
        <v>2582</v>
      </c>
      <c r="D6870" t="s">
        <v>17</v>
      </c>
      <c r="E6870" t="s">
        <v>18</v>
      </c>
      <c r="F6870" t="s">
        <v>19</v>
      </c>
      <c r="G6870" t="s">
        <v>20</v>
      </c>
      <c r="J6870" t="s">
        <v>17</v>
      </c>
      <c r="K6870" t="str">
        <f>"413107253"</f>
        <v>413107253</v>
      </c>
      <c r="L6870" t="str">
        <f>"413107253"</f>
        <v>413107253</v>
      </c>
      <c r="M6870" t="s">
        <v>75</v>
      </c>
      <c r="N6870" s="1">
        <v>43007.838888888888</v>
      </c>
      <c r="O6870" t="s">
        <v>19</v>
      </c>
    </row>
    <row r="6871" spans="1:15" x14ac:dyDescent="0.25">
      <c r="A6871" t="s">
        <v>5002</v>
      </c>
      <c r="B6871" t="s">
        <v>15</v>
      </c>
      <c r="C6871" t="s">
        <v>2582</v>
      </c>
      <c r="D6871" t="s">
        <v>17</v>
      </c>
      <c r="E6871" t="s">
        <v>18</v>
      </c>
      <c r="F6871" t="s">
        <v>19</v>
      </c>
      <c r="G6871" t="s">
        <v>20</v>
      </c>
      <c r="H6871" t="s">
        <v>5003</v>
      </c>
      <c r="J6871" t="s">
        <v>17</v>
      </c>
      <c r="K6871" t="str">
        <f>"1908070122341"</f>
        <v>1908070122341</v>
      </c>
      <c r="L6871" t="str">
        <f>"1908070122341"</f>
        <v>1908070122341</v>
      </c>
      <c r="M6871" t="s">
        <v>21</v>
      </c>
      <c r="N6871" s="1">
        <v>42894.856944444444</v>
      </c>
      <c r="O6871" t="s">
        <v>19</v>
      </c>
    </row>
    <row r="6872" spans="1:15" x14ac:dyDescent="0.25">
      <c r="A6872" t="s">
        <v>5004</v>
      </c>
      <c r="B6872" t="s">
        <v>15</v>
      </c>
      <c r="C6872" t="s">
        <v>2582</v>
      </c>
      <c r="D6872" t="s">
        <v>17</v>
      </c>
      <c r="E6872" t="s">
        <v>18</v>
      </c>
      <c r="F6872" t="s">
        <v>19</v>
      </c>
      <c r="G6872" t="s">
        <v>20</v>
      </c>
      <c r="J6872" t="s">
        <v>17</v>
      </c>
      <c r="K6872" t="str">
        <f>"10340714"</f>
        <v>10340714</v>
      </c>
      <c r="L6872" t="str">
        <f>"10340714"</f>
        <v>10340714</v>
      </c>
      <c r="M6872" t="s">
        <v>75</v>
      </c>
      <c r="N6872" s="1">
        <v>43018.648611111108</v>
      </c>
      <c r="O6872" t="s">
        <v>19</v>
      </c>
    </row>
    <row r="6873" spans="1:15" x14ac:dyDescent="0.25">
      <c r="A6873" t="s">
        <v>5005</v>
      </c>
      <c r="B6873" t="s">
        <v>15</v>
      </c>
      <c r="C6873" t="s">
        <v>2582</v>
      </c>
      <c r="D6873" t="s">
        <v>17</v>
      </c>
      <c r="E6873" t="s">
        <v>18</v>
      </c>
      <c r="F6873" t="s">
        <v>19</v>
      </c>
      <c r="G6873" t="s">
        <v>20</v>
      </c>
      <c r="J6873" t="s">
        <v>17</v>
      </c>
      <c r="K6873" t="str">
        <f>"103414116"</f>
        <v>103414116</v>
      </c>
      <c r="L6873" t="str">
        <f>"103414116"</f>
        <v>103414116</v>
      </c>
      <c r="M6873" t="s">
        <v>75</v>
      </c>
      <c r="N6873" s="1">
        <v>43018.647222222222</v>
      </c>
      <c r="O6873" t="s">
        <v>19</v>
      </c>
    </row>
    <row r="6874" spans="1:15" x14ac:dyDescent="0.25">
      <c r="A6874" t="s">
        <v>5006</v>
      </c>
      <c r="B6874" t="s">
        <v>15</v>
      </c>
      <c r="C6874" t="s">
        <v>37</v>
      </c>
      <c r="D6874" t="s">
        <v>17</v>
      </c>
      <c r="E6874" t="s">
        <v>18</v>
      </c>
      <c r="F6874" t="s">
        <v>19</v>
      </c>
      <c r="G6874" t="s">
        <v>20</v>
      </c>
      <c r="J6874" t="s">
        <v>17</v>
      </c>
      <c r="K6874" t="str">
        <f>"8669885024055"</f>
        <v>8669885024055</v>
      </c>
      <c r="L6874" t="str">
        <f>"66522405"</f>
        <v>66522405</v>
      </c>
      <c r="M6874" t="s">
        <v>75</v>
      </c>
      <c r="N6874" s="1">
        <v>43096.873611111114</v>
      </c>
      <c r="O6874" t="s">
        <v>19</v>
      </c>
    </row>
    <row r="6875" spans="1:15" x14ac:dyDescent="0.25">
      <c r="A6875" t="s">
        <v>5007</v>
      </c>
      <c r="B6875" t="s">
        <v>15</v>
      </c>
      <c r="C6875" t="s">
        <v>37</v>
      </c>
      <c r="D6875" t="s">
        <v>17</v>
      </c>
      <c r="E6875" t="s">
        <v>18</v>
      </c>
      <c r="F6875" t="s">
        <v>19</v>
      </c>
      <c r="G6875" t="s">
        <v>20</v>
      </c>
      <c r="J6875" t="s">
        <v>17</v>
      </c>
      <c r="K6875" t="str">
        <f>"10522938"</f>
        <v>10522938</v>
      </c>
      <c r="L6875" t="str">
        <f>"10522938"</f>
        <v>10522938</v>
      </c>
      <c r="M6875" t="s">
        <v>75</v>
      </c>
      <c r="N6875" s="1">
        <v>43084.853472222225</v>
      </c>
      <c r="O6875" t="s">
        <v>19</v>
      </c>
    </row>
    <row r="6876" spans="1:15" x14ac:dyDescent="0.25">
      <c r="A6876" t="s">
        <v>5008</v>
      </c>
      <c r="B6876" t="s">
        <v>15</v>
      </c>
      <c r="C6876" t="s">
        <v>37</v>
      </c>
      <c r="D6876" t="s">
        <v>17</v>
      </c>
      <c r="E6876" t="s">
        <v>18</v>
      </c>
      <c r="F6876" t="s">
        <v>19</v>
      </c>
      <c r="G6876" t="s">
        <v>20</v>
      </c>
      <c r="J6876" t="s">
        <v>18</v>
      </c>
      <c r="K6876" t="str">
        <f>"7796941038235"</f>
        <v>7796941038235</v>
      </c>
      <c r="L6876" t="str">
        <f>"42520022"</f>
        <v>42520022</v>
      </c>
      <c r="M6876" t="s">
        <v>84</v>
      </c>
      <c r="N6876" s="1">
        <v>43404.811111111114</v>
      </c>
      <c r="O6876" t="s">
        <v>19</v>
      </c>
    </row>
    <row r="6877" spans="1:15" x14ac:dyDescent="0.25">
      <c r="A6877" t="s">
        <v>5009</v>
      </c>
      <c r="B6877" t="s">
        <v>15</v>
      </c>
      <c r="C6877" t="s">
        <v>37</v>
      </c>
      <c r="D6877" t="s">
        <v>17</v>
      </c>
      <c r="E6877" t="s">
        <v>18</v>
      </c>
      <c r="F6877" t="s">
        <v>19</v>
      </c>
      <c r="G6877" t="s">
        <v>20</v>
      </c>
      <c r="J6877" t="s">
        <v>18</v>
      </c>
      <c r="K6877" t="str">
        <f>"7796941038242"</f>
        <v>7796941038242</v>
      </c>
      <c r="L6877" t="str">
        <f>"42522200"</f>
        <v>42522200</v>
      </c>
      <c r="M6877" t="s">
        <v>84</v>
      </c>
      <c r="N6877" s="1">
        <v>43497.834722222222</v>
      </c>
      <c r="O6877" t="s">
        <v>19</v>
      </c>
    </row>
    <row r="6878" spans="1:15" x14ac:dyDescent="0.25">
      <c r="A6878" t="s">
        <v>5010</v>
      </c>
      <c r="B6878" t="s">
        <v>15</v>
      </c>
      <c r="C6878" t="s">
        <v>64</v>
      </c>
      <c r="D6878" t="s">
        <v>17</v>
      </c>
      <c r="E6878" t="s">
        <v>18</v>
      </c>
      <c r="F6878" t="s">
        <v>19</v>
      </c>
      <c r="G6878" t="s">
        <v>20</v>
      </c>
      <c r="J6878" t="s">
        <v>17</v>
      </c>
      <c r="K6878" t="str">
        <f>"7809601110582"</f>
        <v>7809601110582</v>
      </c>
      <c r="L6878" t="str">
        <f>"92930025"</f>
        <v>92930025</v>
      </c>
      <c r="M6878" t="s">
        <v>21</v>
      </c>
      <c r="N6878" s="1">
        <v>44453.620833333334</v>
      </c>
      <c r="O6878" t="s">
        <v>19</v>
      </c>
    </row>
    <row r="6879" spans="1:15" x14ac:dyDescent="0.25">
      <c r="A6879" t="s">
        <v>5011</v>
      </c>
      <c r="B6879" t="s">
        <v>15</v>
      </c>
      <c r="C6879" t="s">
        <v>64</v>
      </c>
      <c r="D6879" t="s">
        <v>17</v>
      </c>
      <c r="E6879" t="s">
        <v>18</v>
      </c>
      <c r="F6879" t="s">
        <v>19</v>
      </c>
      <c r="G6879" t="s">
        <v>20</v>
      </c>
      <c r="J6879" t="s">
        <v>17</v>
      </c>
      <c r="K6879" t="str">
        <f>"6940578520883"</f>
        <v>6940578520883</v>
      </c>
      <c r="L6879" t="str">
        <f>"40920883"</f>
        <v>40920883</v>
      </c>
      <c r="M6879" t="s">
        <v>21</v>
      </c>
      <c r="N6879" s="1">
        <v>44306.872916666667</v>
      </c>
      <c r="O6879" t="s">
        <v>19</v>
      </c>
    </row>
    <row r="6880" spans="1:15" x14ac:dyDescent="0.25">
      <c r="A6880" t="s">
        <v>5012</v>
      </c>
      <c r="B6880" t="s">
        <v>15</v>
      </c>
      <c r="C6880" t="s">
        <v>64</v>
      </c>
      <c r="D6880" t="s">
        <v>17</v>
      </c>
      <c r="E6880" t="s">
        <v>18</v>
      </c>
      <c r="F6880" t="s">
        <v>19</v>
      </c>
      <c r="G6880" t="s">
        <v>20</v>
      </c>
      <c r="J6880" t="s">
        <v>17</v>
      </c>
      <c r="K6880" t="str">
        <f>"6900181766402"</f>
        <v>6900181766402</v>
      </c>
      <c r="L6880" t="str">
        <f>"40920018"</f>
        <v>40920018</v>
      </c>
      <c r="M6880" t="s">
        <v>21</v>
      </c>
      <c r="N6880" s="1">
        <v>44306.874305555553</v>
      </c>
      <c r="O6880" t="s">
        <v>19</v>
      </c>
    </row>
    <row r="6881" spans="1:15" x14ac:dyDescent="0.25">
      <c r="A6881" t="s">
        <v>5013</v>
      </c>
      <c r="B6881" t="s">
        <v>15</v>
      </c>
      <c r="C6881" t="s">
        <v>171</v>
      </c>
      <c r="D6881" t="s">
        <v>17</v>
      </c>
      <c r="E6881" t="s">
        <v>18</v>
      </c>
      <c r="F6881" t="s">
        <v>19</v>
      </c>
      <c r="G6881" t="s">
        <v>20</v>
      </c>
      <c r="J6881" t="s">
        <v>17</v>
      </c>
      <c r="K6881" t="str">
        <f>"740275000427"</f>
        <v>740275000427</v>
      </c>
      <c r="L6881" t="str">
        <f>"10522457"</f>
        <v>10522457</v>
      </c>
      <c r="M6881" t="s">
        <v>75</v>
      </c>
      <c r="N6881" s="1">
        <v>43084.840277777781</v>
      </c>
      <c r="O6881" t="s">
        <v>19</v>
      </c>
    </row>
    <row r="6882" spans="1:15" x14ac:dyDescent="0.25">
      <c r="A6882" t="s">
        <v>5014</v>
      </c>
      <c r="B6882" t="s">
        <v>15</v>
      </c>
      <c r="C6882" t="s">
        <v>37</v>
      </c>
      <c r="D6882" t="s">
        <v>17</v>
      </c>
      <c r="E6882" t="s">
        <v>18</v>
      </c>
      <c r="F6882" t="s">
        <v>19</v>
      </c>
      <c r="G6882" t="s">
        <v>20</v>
      </c>
      <c r="J6882" t="s">
        <v>17</v>
      </c>
      <c r="K6882" t="str">
        <f>"10002687"</f>
        <v>10002687</v>
      </c>
      <c r="L6882" t="str">
        <f>"10002687"</f>
        <v>10002687</v>
      </c>
      <c r="M6882" t="s">
        <v>21</v>
      </c>
      <c r="N6882" s="1">
        <v>43708.884027777778</v>
      </c>
      <c r="O6882" t="s">
        <v>19</v>
      </c>
    </row>
    <row r="6883" spans="1:15" x14ac:dyDescent="0.25">
      <c r="A6883" t="s">
        <v>5015</v>
      </c>
      <c r="B6883" t="s">
        <v>15</v>
      </c>
      <c r="C6883" t="s">
        <v>37</v>
      </c>
      <c r="D6883" t="s">
        <v>17</v>
      </c>
      <c r="E6883" t="s">
        <v>18</v>
      </c>
      <c r="F6883" t="s">
        <v>19</v>
      </c>
      <c r="G6883" t="s">
        <v>20</v>
      </c>
      <c r="J6883" t="s">
        <v>17</v>
      </c>
      <c r="K6883" t="str">
        <f>"7298229001202"</f>
        <v>7298229001202</v>
      </c>
      <c r="L6883" t="str">
        <f>"29UTX00120"</f>
        <v>29UTX00120</v>
      </c>
      <c r="M6883" t="s">
        <v>21</v>
      </c>
      <c r="N6883" s="1">
        <v>43805.884027777778</v>
      </c>
      <c r="O6883" t="s">
        <v>19</v>
      </c>
    </row>
    <row r="6884" spans="1:15" x14ac:dyDescent="0.25">
      <c r="A6884" t="s">
        <v>5016</v>
      </c>
      <c r="B6884" t="s">
        <v>15</v>
      </c>
      <c r="C6884" t="s">
        <v>37</v>
      </c>
      <c r="D6884" t="s">
        <v>17</v>
      </c>
      <c r="E6884" t="s">
        <v>18</v>
      </c>
      <c r="F6884" t="s">
        <v>19</v>
      </c>
      <c r="G6884" t="s">
        <v>20</v>
      </c>
      <c r="J6884" t="s">
        <v>17</v>
      </c>
      <c r="K6884" t="str">
        <f>"10006323"</f>
        <v>10006323</v>
      </c>
      <c r="L6884" t="str">
        <f>"10006323"</f>
        <v>10006323</v>
      </c>
      <c r="M6884" t="s">
        <v>84</v>
      </c>
      <c r="N6884" s="1">
        <v>43447.633333333331</v>
      </c>
      <c r="O6884" t="s">
        <v>19</v>
      </c>
    </row>
    <row r="6885" spans="1:15" x14ac:dyDescent="0.25">
      <c r="A6885" t="s">
        <v>5017</v>
      </c>
      <c r="B6885" t="s">
        <v>15</v>
      </c>
      <c r="C6885" t="s">
        <v>37</v>
      </c>
      <c r="D6885" t="s">
        <v>17</v>
      </c>
      <c r="E6885" t="s">
        <v>18</v>
      </c>
      <c r="F6885" t="s">
        <v>19</v>
      </c>
      <c r="G6885" t="s">
        <v>20</v>
      </c>
      <c r="J6885" t="s">
        <v>18</v>
      </c>
      <c r="K6885" t="str">
        <f>"40520021"</f>
        <v>40520021</v>
      </c>
      <c r="L6885" t="str">
        <f>"40520021"</f>
        <v>40520021</v>
      </c>
      <c r="M6885" t="s">
        <v>21</v>
      </c>
      <c r="N6885" s="1">
        <v>43266.890972222223</v>
      </c>
      <c r="O6885" t="s">
        <v>19</v>
      </c>
    </row>
    <row r="6886" spans="1:15" x14ac:dyDescent="0.25">
      <c r="A6886" t="s">
        <v>5018</v>
      </c>
      <c r="B6886" t="s">
        <v>15</v>
      </c>
      <c r="C6886" t="s">
        <v>2582</v>
      </c>
      <c r="D6886" t="s">
        <v>17</v>
      </c>
      <c r="E6886" t="s">
        <v>18</v>
      </c>
      <c r="F6886" t="s">
        <v>19</v>
      </c>
      <c r="G6886" t="s">
        <v>20</v>
      </c>
      <c r="H6886" t="s">
        <v>5003</v>
      </c>
      <c r="J6886" t="s">
        <v>17</v>
      </c>
      <c r="K6886" t="str">
        <f>"763107253"</f>
        <v>763107253</v>
      </c>
      <c r="L6886" t="str">
        <f>"763107253"</f>
        <v>763107253</v>
      </c>
      <c r="M6886" t="s">
        <v>84</v>
      </c>
      <c r="N6886" s="1">
        <v>43195.867361111108</v>
      </c>
      <c r="O6886" t="s">
        <v>19</v>
      </c>
    </row>
    <row r="6887" spans="1:15" x14ac:dyDescent="0.25">
      <c r="A6887" t="s">
        <v>5019</v>
      </c>
      <c r="B6887" t="s">
        <v>15</v>
      </c>
      <c r="C6887" t="s">
        <v>2582</v>
      </c>
      <c r="D6887" t="s">
        <v>17</v>
      </c>
      <c r="E6887" t="s">
        <v>18</v>
      </c>
      <c r="F6887" t="s">
        <v>19</v>
      </c>
      <c r="G6887" t="s">
        <v>20</v>
      </c>
      <c r="J6887" t="s">
        <v>17</v>
      </c>
      <c r="K6887" t="str">
        <f>"34311454"</f>
        <v>34311454</v>
      </c>
      <c r="L6887" t="str">
        <f>"34311454"</f>
        <v>34311454</v>
      </c>
      <c r="M6887" t="s">
        <v>75</v>
      </c>
      <c r="N6887" s="1">
        <v>42872.839583333334</v>
      </c>
      <c r="O6887" t="s">
        <v>19</v>
      </c>
    </row>
    <row r="6888" spans="1:15" x14ac:dyDescent="0.25">
      <c r="A6888" t="s">
        <v>5020</v>
      </c>
      <c r="B6888" t="s">
        <v>15</v>
      </c>
      <c r="C6888" t="s">
        <v>2582</v>
      </c>
      <c r="D6888" t="s">
        <v>17</v>
      </c>
      <c r="E6888" t="s">
        <v>18</v>
      </c>
      <c r="F6888" t="s">
        <v>19</v>
      </c>
      <c r="G6888" t="s">
        <v>20</v>
      </c>
      <c r="J6888" t="s">
        <v>17</v>
      </c>
      <c r="K6888" t="str">
        <f>"763414138"</f>
        <v>763414138</v>
      </c>
      <c r="L6888" t="str">
        <f>"763414138"</f>
        <v>763414138</v>
      </c>
      <c r="M6888" t="s">
        <v>75</v>
      </c>
      <c r="N6888" s="1">
        <v>43162.674305555556</v>
      </c>
      <c r="O6888" t="s">
        <v>19</v>
      </c>
    </row>
    <row r="6889" spans="1:15" x14ac:dyDescent="0.25">
      <c r="A6889" t="s">
        <v>5021</v>
      </c>
      <c r="B6889" t="s">
        <v>15</v>
      </c>
      <c r="C6889" t="s">
        <v>2582</v>
      </c>
      <c r="D6889" t="s">
        <v>17</v>
      </c>
      <c r="E6889" t="s">
        <v>18</v>
      </c>
      <c r="F6889" t="s">
        <v>19</v>
      </c>
      <c r="G6889" t="s">
        <v>20</v>
      </c>
      <c r="J6889" t="s">
        <v>17</v>
      </c>
      <c r="K6889" t="str">
        <f>"17261454"</f>
        <v>17261454</v>
      </c>
      <c r="L6889" t="str">
        <f>"17261454"</f>
        <v>17261454</v>
      </c>
      <c r="M6889" t="s">
        <v>75</v>
      </c>
      <c r="N6889" s="1">
        <v>43096.732638888891</v>
      </c>
      <c r="O6889" t="s">
        <v>19</v>
      </c>
    </row>
    <row r="6890" spans="1:15" x14ac:dyDescent="0.25">
      <c r="A6890" t="s">
        <v>5022</v>
      </c>
      <c r="B6890" t="s">
        <v>15</v>
      </c>
      <c r="C6890" t="s">
        <v>2582</v>
      </c>
      <c r="D6890" t="s">
        <v>17</v>
      </c>
      <c r="E6890" t="s">
        <v>18</v>
      </c>
      <c r="F6890" t="s">
        <v>19</v>
      </c>
      <c r="G6890" t="s">
        <v>20</v>
      </c>
      <c r="J6890" t="s">
        <v>17</v>
      </c>
      <c r="K6890" t="str">
        <f>"763114191"</f>
        <v>763114191</v>
      </c>
      <c r="L6890" t="str">
        <f>"763114191"</f>
        <v>763114191</v>
      </c>
      <c r="M6890" t="s">
        <v>75</v>
      </c>
      <c r="N6890" s="1">
        <v>42896.806250000001</v>
      </c>
      <c r="O6890" t="s">
        <v>19</v>
      </c>
    </row>
    <row r="6891" spans="1:15" x14ac:dyDescent="0.25">
      <c r="A6891" t="s">
        <v>5023</v>
      </c>
      <c r="B6891" t="s">
        <v>15</v>
      </c>
      <c r="C6891" t="s">
        <v>2582</v>
      </c>
      <c r="D6891" t="s">
        <v>17</v>
      </c>
      <c r="E6891" t="s">
        <v>18</v>
      </c>
      <c r="F6891" t="s">
        <v>19</v>
      </c>
      <c r="G6891" t="s">
        <v>20</v>
      </c>
      <c r="J6891" t="s">
        <v>17</v>
      </c>
      <c r="K6891" t="str">
        <f>"172614200"</f>
        <v>172614200</v>
      </c>
      <c r="L6891" t="str">
        <f>"172614200"</f>
        <v>172614200</v>
      </c>
      <c r="M6891" t="s">
        <v>75</v>
      </c>
      <c r="N6891" s="1">
        <v>42895.961805555555</v>
      </c>
      <c r="O6891" t="s">
        <v>19</v>
      </c>
    </row>
    <row r="6892" spans="1:15" x14ac:dyDescent="0.25">
      <c r="A6892" t="s">
        <v>5024</v>
      </c>
      <c r="B6892" t="s">
        <v>15</v>
      </c>
      <c r="C6892" t="s">
        <v>2582</v>
      </c>
      <c r="D6892" t="s">
        <v>17</v>
      </c>
      <c r="E6892" t="s">
        <v>18</v>
      </c>
      <c r="F6892" t="s">
        <v>19</v>
      </c>
      <c r="G6892" t="s">
        <v>20</v>
      </c>
      <c r="J6892" t="s">
        <v>17</v>
      </c>
      <c r="K6892" t="str">
        <f>"172614201"</f>
        <v>172614201</v>
      </c>
      <c r="L6892" t="str">
        <f>"172614201"</f>
        <v>172614201</v>
      </c>
      <c r="M6892" t="s">
        <v>75</v>
      </c>
      <c r="N6892" s="1">
        <v>42895.962500000001</v>
      </c>
      <c r="O6892" t="s">
        <v>19</v>
      </c>
    </row>
    <row r="6893" spans="1:15" x14ac:dyDescent="0.25">
      <c r="A6893" t="s">
        <v>5025</v>
      </c>
      <c r="B6893" t="s">
        <v>15</v>
      </c>
      <c r="C6893" t="s">
        <v>2582</v>
      </c>
      <c r="D6893" t="s">
        <v>17</v>
      </c>
      <c r="E6893" t="s">
        <v>18</v>
      </c>
      <c r="F6893" t="s">
        <v>19</v>
      </c>
      <c r="G6893" t="s">
        <v>20</v>
      </c>
      <c r="J6893" t="s">
        <v>18</v>
      </c>
      <c r="K6893" t="str">
        <f>"344205307"</f>
        <v>344205307</v>
      </c>
      <c r="L6893" t="str">
        <f>"344205307"</f>
        <v>344205307</v>
      </c>
      <c r="M6893" t="s">
        <v>84</v>
      </c>
      <c r="N6893" s="1">
        <v>43502.885416666664</v>
      </c>
      <c r="O6893" t="s">
        <v>19</v>
      </c>
    </row>
    <row r="6894" spans="1:15" x14ac:dyDescent="0.25">
      <c r="A6894" t="s">
        <v>5026</v>
      </c>
      <c r="B6894" t="s">
        <v>15</v>
      </c>
      <c r="C6894" t="s">
        <v>2582</v>
      </c>
      <c r="D6894" t="s">
        <v>17</v>
      </c>
      <c r="E6894" t="s">
        <v>18</v>
      </c>
      <c r="F6894" t="s">
        <v>19</v>
      </c>
      <c r="G6894" t="s">
        <v>20</v>
      </c>
      <c r="J6894" t="s">
        <v>18</v>
      </c>
      <c r="K6894" t="str">
        <f>"1908070124147"</f>
        <v>1908070124147</v>
      </c>
      <c r="L6894" t="str">
        <f>"344205308"</f>
        <v>344205308</v>
      </c>
      <c r="M6894" t="s">
        <v>21</v>
      </c>
      <c r="N6894" s="1">
        <v>43502.885416666664</v>
      </c>
      <c r="O6894" t="s">
        <v>19</v>
      </c>
    </row>
    <row r="6895" spans="1:15" x14ac:dyDescent="0.25">
      <c r="A6895" t="s">
        <v>5027</v>
      </c>
      <c r="B6895" t="s">
        <v>15</v>
      </c>
      <c r="C6895" t="s">
        <v>2582</v>
      </c>
      <c r="D6895" t="s">
        <v>17</v>
      </c>
      <c r="E6895" t="s">
        <v>18</v>
      </c>
      <c r="F6895" t="s">
        <v>19</v>
      </c>
      <c r="G6895" t="s">
        <v>20</v>
      </c>
      <c r="H6895" t="s">
        <v>5028</v>
      </c>
      <c r="J6895" t="s">
        <v>17</v>
      </c>
      <c r="K6895" t="str">
        <f>"343105247"</f>
        <v>343105247</v>
      </c>
      <c r="L6895" t="str">
        <f>"343105247"</f>
        <v>343105247</v>
      </c>
      <c r="M6895" t="s">
        <v>84</v>
      </c>
      <c r="N6895" s="1">
        <v>42872.849305555559</v>
      </c>
      <c r="O6895" t="s">
        <v>19</v>
      </c>
    </row>
    <row r="6896" spans="1:15" x14ac:dyDescent="0.25">
      <c r="A6896" t="s">
        <v>5029</v>
      </c>
      <c r="B6896" t="s">
        <v>15</v>
      </c>
      <c r="C6896" t="s">
        <v>2582</v>
      </c>
      <c r="D6896" t="s">
        <v>17</v>
      </c>
      <c r="E6896" t="s">
        <v>18</v>
      </c>
      <c r="F6896" t="s">
        <v>19</v>
      </c>
      <c r="G6896" t="s">
        <v>20</v>
      </c>
      <c r="J6896" t="s">
        <v>17</v>
      </c>
      <c r="K6896" t="str">
        <f>"344205304"</f>
        <v>344205304</v>
      </c>
      <c r="L6896" t="str">
        <f>"344205304"</f>
        <v>344205304</v>
      </c>
      <c r="M6896" t="s">
        <v>84</v>
      </c>
      <c r="N6896" s="1">
        <v>43502.905555555553</v>
      </c>
      <c r="O6896" t="s">
        <v>19</v>
      </c>
    </row>
    <row r="6897" spans="1:15" x14ac:dyDescent="0.25">
      <c r="A6897" t="s">
        <v>5030</v>
      </c>
      <c r="B6897" t="s">
        <v>15</v>
      </c>
      <c r="C6897" t="s">
        <v>2582</v>
      </c>
      <c r="D6897" t="s">
        <v>17</v>
      </c>
      <c r="E6897" t="s">
        <v>18</v>
      </c>
      <c r="F6897" t="s">
        <v>19</v>
      </c>
      <c r="G6897" t="s">
        <v>20</v>
      </c>
      <c r="J6897" t="s">
        <v>17</v>
      </c>
      <c r="K6897" t="str">
        <f>"323431661"</f>
        <v>323431661</v>
      </c>
      <c r="L6897" t="str">
        <f>"323431661"</f>
        <v>323431661</v>
      </c>
      <c r="M6897" t="s">
        <v>84</v>
      </c>
      <c r="N6897" s="1">
        <v>43502.786111111112</v>
      </c>
      <c r="O6897" t="s">
        <v>19</v>
      </c>
    </row>
    <row r="6898" spans="1:15" x14ac:dyDescent="0.25">
      <c r="A6898" t="s">
        <v>5030</v>
      </c>
      <c r="B6898" t="s">
        <v>15</v>
      </c>
      <c r="C6898" t="s">
        <v>2582</v>
      </c>
      <c r="D6898" t="s">
        <v>17</v>
      </c>
      <c r="E6898" t="s">
        <v>18</v>
      </c>
      <c r="F6898" t="s">
        <v>19</v>
      </c>
      <c r="G6898" t="s">
        <v>20</v>
      </c>
      <c r="J6898" t="s">
        <v>17</v>
      </c>
      <c r="K6898" t="str">
        <f>"344231661"</f>
        <v>344231661</v>
      </c>
      <c r="L6898" t="str">
        <f>"344231661"</f>
        <v>344231661</v>
      </c>
      <c r="M6898" t="s">
        <v>84</v>
      </c>
      <c r="N6898" s="1">
        <v>43502.888194444444</v>
      </c>
      <c r="O6898" t="s">
        <v>19</v>
      </c>
    </row>
    <row r="6899" spans="1:15" x14ac:dyDescent="0.25">
      <c r="A6899" t="s">
        <v>5031</v>
      </c>
      <c r="B6899" t="s">
        <v>15</v>
      </c>
      <c r="C6899" t="s">
        <v>2582</v>
      </c>
      <c r="D6899" t="s">
        <v>17</v>
      </c>
      <c r="E6899" t="s">
        <v>18</v>
      </c>
      <c r="F6899" t="s">
        <v>19</v>
      </c>
      <c r="G6899" t="s">
        <v>20</v>
      </c>
      <c r="J6899" t="s">
        <v>17</v>
      </c>
      <c r="K6899" t="str">
        <f>"344214139"</f>
        <v>344214139</v>
      </c>
      <c r="L6899" t="str">
        <f>"344214139"</f>
        <v>344214139</v>
      </c>
      <c r="M6899" t="s">
        <v>84</v>
      </c>
      <c r="N6899" s="1">
        <v>43502.888194444444</v>
      </c>
      <c r="O6899" t="s">
        <v>19</v>
      </c>
    </row>
    <row r="6900" spans="1:15" x14ac:dyDescent="0.25">
      <c r="A6900" t="s">
        <v>5032</v>
      </c>
      <c r="B6900" t="s">
        <v>15</v>
      </c>
      <c r="C6900" t="s">
        <v>2582</v>
      </c>
      <c r="D6900" t="s">
        <v>17</v>
      </c>
      <c r="E6900" t="s">
        <v>18</v>
      </c>
      <c r="F6900" t="s">
        <v>19</v>
      </c>
      <c r="G6900" t="s">
        <v>20</v>
      </c>
      <c r="H6900" t="s">
        <v>5028</v>
      </c>
      <c r="J6900" t="s">
        <v>17</v>
      </c>
      <c r="K6900" t="str">
        <f>"34311445"</f>
        <v>34311445</v>
      </c>
      <c r="L6900" t="str">
        <f>"34311445"</f>
        <v>34311445</v>
      </c>
      <c r="M6900" t="s">
        <v>84</v>
      </c>
      <c r="N6900" s="1">
        <v>42872.839583333334</v>
      </c>
      <c r="O6900" t="s">
        <v>19</v>
      </c>
    </row>
    <row r="6901" spans="1:15" x14ac:dyDescent="0.25">
      <c r="A6901" t="s">
        <v>5033</v>
      </c>
      <c r="B6901" t="s">
        <v>15</v>
      </c>
      <c r="C6901" t="s">
        <v>2582</v>
      </c>
      <c r="D6901" t="s">
        <v>17</v>
      </c>
      <c r="E6901" t="s">
        <v>18</v>
      </c>
      <c r="F6901" t="s">
        <v>19</v>
      </c>
      <c r="G6901" t="s">
        <v>20</v>
      </c>
      <c r="H6901" t="s">
        <v>5028</v>
      </c>
      <c r="J6901" t="s">
        <v>17</v>
      </c>
      <c r="K6901" t="str">
        <f>"343114270"</f>
        <v>343114270</v>
      </c>
      <c r="L6901" t="str">
        <f>"343114270"</f>
        <v>343114270</v>
      </c>
      <c r="M6901" t="s">
        <v>84</v>
      </c>
      <c r="N6901" s="1">
        <v>42872.849305555559</v>
      </c>
      <c r="O6901" t="s">
        <v>19</v>
      </c>
    </row>
    <row r="6902" spans="1:15" x14ac:dyDescent="0.25">
      <c r="A6902" t="s">
        <v>5034</v>
      </c>
      <c r="B6902" t="s">
        <v>15</v>
      </c>
      <c r="C6902" t="s">
        <v>2582</v>
      </c>
      <c r="D6902" t="s">
        <v>17</v>
      </c>
      <c r="E6902" t="s">
        <v>18</v>
      </c>
      <c r="F6902" t="s">
        <v>19</v>
      </c>
      <c r="G6902" t="s">
        <v>20</v>
      </c>
      <c r="H6902" t="s">
        <v>5028</v>
      </c>
      <c r="J6902" t="s">
        <v>17</v>
      </c>
      <c r="K6902" t="str">
        <f>"343114126"</f>
        <v>343114126</v>
      </c>
      <c r="L6902" t="str">
        <f>"343114126"</f>
        <v>343114126</v>
      </c>
      <c r="M6902" t="s">
        <v>84</v>
      </c>
      <c r="N6902" s="1">
        <v>42872.849305555559</v>
      </c>
      <c r="O6902" t="s">
        <v>19</v>
      </c>
    </row>
    <row r="6903" spans="1:15" x14ac:dyDescent="0.25">
      <c r="A6903" t="s">
        <v>5035</v>
      </c>
      <c r="B6903" t="s">
        <v>15</v>
      </c>
      <c r="C6903" t="s">
        <v>2582</v>
      </c>
      <c r="D6903" t="s">
        <v>17</v>
      </c>
      <c r="E6903" t="s">
        <v>18</v>
      </c>
      <c r="F6903" t="s">
        <v>19</v>
      </c>
      <c r="G6903" t="s">
        <v>20</v>
      </c>
      <c r="J6903" t="s">
        <v>17</v>
      </c>
      <c r="K6903" t="str">
        <f>"323114256"</f>
        <v>323114256</v>
      </c>
      <c r="L6903" t="str">
        <f>"323114256"</f>
        <v>323114256</v>
      </c>
      <c r="M6903" t="s">
        <v>84</v>
      </c>
      <c r="N6903" s="1">
        <v>43502.786805555559</v>
      </c>
      <c r="O6903" t="s">
        <v>19</v>
      </c>
    </row>
    <row r="6904" spans="1:15" x14ac:dyDescent="0.25">
      <c r="A6904" t="s">
        <v>5036</v>
      </c>
      <c r="B6904" t="s">
        <v>15</v>
      </c>
      <c r="C6904" t="s">
        <v>2582</v>
      </c>
      <c r="D6904" t="s">
        <v>17</v>
      </c>
      <c r="E6904" t="s">
        <v>18</v>
      </c>
      <c r="F6904" t="s">
        <v>19</v>
      </c>
      <c r="G6904" t="s">
        <v>20</v>
      </c>
      <c r="J6904" t="s">
        <v>17</v>
      </c>
      <c r="K6904" t="str">
        <f>"34311447"</f>
        <v>34311447</v>
      </c>
      <c r="L6904" t="str">
        <f>"34311447"</f>
        <v>34311447</v>
      </c>
      <c r="M6904" t="s">
        <v>75</v>
      </c>
      <c r="N6904" s="1">
        <v>42872.839583333334</v>
      </c>
      <c r="O6904" t="s">
        <v>19</v>
      </c>
    </row>
    <row r="6905" spans="1:15" x14ac:dyDescent="0.25">
      <c r="A6905" t="s">
        <v>5037</v>
      </c>
      <c r="B6905" t="s">
        <v>15</v>
      </c>
      <c r="C6905" t="s">
        <v>2582</v>
      </c>
      <c r="D6905" t="s">
        <v>17</v>
      </c>
      <c r="E6905" t="s">
        <v>18</v>
      </c>
      <c r="F6905" t="s">
        <v>19</v>
      </c>
      <c r="G6905" t="s">
        <v>20</v>
      </c>
      <c r="J6905" t="s">
        <v>17</v>
      </c>
      <c r="K6905" t="str">
        <f>"343114127"</f>
        <v>343114127</v>
      </c>
      <c r="L6905" t="str">
        <f>"343114127"</f>
        <v>343114127</v>
      </c>
      <c r="M6905" t="s">
        <v>75</v>
      </c>
      <c r="N6905" s="1">
        <v>42872.849305555559</v>
      </c>
      <c r="O6905" t="s">
        <v>19</v>
      </c>
    </row>
    <row r="6906" spans="1:15" x14ac:dyDescent="0.25">
      <c r="A6906" t="s">
        <v>5038</v>
      </c>
      <c r="B6906" t="s">
        <v>15</v>
      </c>
      <c r="C6906" t="s">
        <v>2582</v>
      </c>
      <c r="D6906" t="s">
        <v>17</v>
      </c>
      <c r="E6906" t="s">
        <v>18</v>
      </c>
      <c r="F6906" t="s">
        <v>19</v>
      </c>
      <c r="G6906" t="s">
        <v>20</v>
      </c>
      <c r="J6906" t="s">
        <v>17</v>
      </c>
      <c r="K6906" t="str">
        <f>"323114261"</f>
        <v>323114261</v>
      </c>
      <c r="L6906" t="str">
        <f>"323114261"</f>
        <v>323114261</v>
      </c>
      <c r="M6906" t="s">
        <v>84</v>
      </c>
      <c r="N6906" s="1">
        <v>43502.786805555559</v>
      </c>
      <c r="O6906" t="s">
        <v>19</v>
      </c>
    </row>
    <row r="6907" spans="1:15" x14ac:dyDescent="0.25">
      <c r="A6907" t="s">
        <v>5039</v>
      </c>
      <c r="B6907" t="s">
        <v>15</v>
      </c>
      <c r="C6907" t="s">
        <v>2582</v>
      </c>
      <c r="D6907" t="s">
        <v>17</v>
      </c>
      <c r="E6907" t="s">
        <v>18</v>
      </c>
      <c r="F6907" t="s">
        <v>19</v>
      </c>
      <c r="G6907" t="s">
        <v>20</v>
      </c>
      <c r="J6907" t="s">
        <v>17</v>
      </c>
      <c r="K6907" t="str">
        <f>"344214260"</f>
        <v>344214260</v>
      </c>
      <c r="L6907" t="str">
        <f>"344214260"</f>
        <v>344214260</v>
      </c>
      <c r="M6907" t="s">
        <v>84</v>
      </c>
      <c r="N6907" s="1">
        <v>43502.887499999997</v>
      </c>
      <c r="O6907" t="s">
        <v>19</v>
      </c>
    </row>
    <row r="6908" spans="1:15" x14ac:dyDescent="0.25">
      <c r="A6908" t="s">
        <v>5040</v>
      </c>
      <c r="B6908" t="s">
        <v>15</v>
      </c>
      <c r="C6908" t="s">
        <v>2582</v>
      </c>
      <c r="D6908" t="s">
        <v>17</v>
      </c>
      <c r="E6908" t="s">
        <v>18</v>
      </c>
      <c r="F6908" t="s">
        <v>19</v>
      </c>
      <c r="G6908" t="s">
        <v>20</v>
      </c>
      <c r="H6908" t="s">
        <v>5028</v>
      </c>
      <c r="J6908" t="s">
        <v>17</v>
      </c>
      <c r="K6908" t="str">
        <f>"172614175"</f>
        <v>172614175</v>
      </c>
      <c r="L6908" t="str">
        <f>"172614175"</f>
        <v>172614175</v>
      </c>
      <c r="M6908" t="s">
        <v>84</v>
      </c>
      <c r="N6908" s="1">
        <v>43096.730555555558</v>
      </c>
      <c r="O6908" t="s">
        <v>19</v>
      </c>
    </row>
    <row r="6909" spans="1:15" x14ac:dyDescent="0.25">
      <c r="A6909" t="s">
        <v>5041</v>
      </c>
      <c r="B6909" t="s">
        <v>15</v>
      </c>
      <c r="C6909" t="s">
        <v>2582</v>
      </c>
      <c r="D6909" t="s">
        <v>17</v>
      </c>
      <c r="E6909" t="s">
        <v>18</v>
      </c>
      <c r="F6909" t="s">
        <v>19</v>
      </c>
      <c r="G6909" t="s">
        <v>20</v>
      </c>
      <c r="J6909" t="s">
        <v>17</v>
      </c>
      <c r="K6909" t="str">
        <f>"343114191"</f>
        <v>343114191</v>
      </c>
      <c r="L6909" t="str">
        <f>"343114191"</f>
        <v>343114191</v>
      </c>
      <c r="M6909" t="s">
        <v>75</v>
      </c>
      <c r="N6909" s="1">
        <v>42894.86041666667</v>
      </c>
      <c r="O6909" t="s">
        <v>19</v>
      </c>
    </row>
    <row r="6910" spans="1:15" x14ac:dyDescent="0.25">
      <c r="A6910" t="s">
        <v>5041</v>
      </c>
      <c r="B6910" t="s">
        <v>15</v>
      </c>
      <c r="C6910" t="s">
        <v>2582</v>
      </c>
      <c r="D6910" t="s">
        <v>17</v>
      </c>
      <c r="E6910" t="s">
        <v>18</v>
      </c>
      <c r="F6910" t="s">
        <v>19</v>
      </c>
      <c r="G6910" t="s">
        <v>20</v>
      </c>
      <c r="J6910" t="s">
        <v>17</v>
      </c>
      <c r="K6910" t="str">
        <f>"344214191"</f>
        <v>344214191</v>
      </c>
      <c r="L6910" t="str">
        <f>"344214191"</f>
        <v>344214191</v>
      </c>
      <c r="M6910" t="s">
        <v>84</v>
      </c>
      <c r="N6910" s="1">
        <v>43502.887499999997</v>
      </c>
      <c r="O6910" t="s">
        <v>19</v>
      </c>
    </row>
    <row r="6911" spans="1:15" x14ac:dyDescent="0.25">
      <c r="A6911" t="s">
        <v>5042</v>
      </c>
      <c r="B6911" t="s">
        <v>15</v>
      </c>
      <c r="C6911" t="s">
        <v>2582</v>
      </c>
      <c r="D6911" t="s">
        <v>17</v>
      </c>
      <c r="E6911" t="s">
        <v>18</v>
      </c>
      <c r="F6911" t="s">
        <v>19</v>
      </c>
      <c r="G6911" t="s">
        <v>20</v>
      </c>
      <c r="J6911" t="s">
        <v>17</v>
      </c>
      <c r="K6911" t="str">
        <f>"344214201"</f>
        <v>344214201</v>
      </c>
      <c r="L6911" t="str">
        <f>"344214201"</f>
        <v>344214201</v>
      </c>
      <c r="M6911" t="s">
        <v>84</v>
      </c>
      <c r="N6911" s="1">
        <v>43502.886805555558</v>
      </c>
      <c r="O6911" t="s">
        <v>19</v>
      </c>
    </row>
    <row r="6912" spans="1:15" x14ac:dyDescent="0.25">
      <c r="A6912" t="s">
        <v>5042</v>
      </c>
      <c r="B6912" t="s">
        <v>15</v>
      </c>
      <c r="C6912" t="s">
        <v>2582</v>
      </c>
      <c r="D6912" t="s">
        <v>17</v>
      </c>
      <c r="E6912" t="s">
        <v>18</v>
      </c>
      <c r="F6912" t="s">
        <v>19</v>
      </c>
      <c r="G6912" t="s">
        <v>20</v>
      </c>
      <c r="H6912" t="s">
        <v>5003</v>
      </c>
      <c r="J6912" t="s">
        <v>17</v>
      </c>
      <c r="K6912" t="str">
        <f>"763114201"</f>
        <v>763114201</v>
      </c>
      <c r="L6912" t="str">
        <f>"763114201"</f>
        <v>763114201</v>
      </c>
      <c r="M6912" t="s">
        <v>84</v>
      </c>
      <c r="N6912" s="1">
        <v>43286.732638888891</v>
      </c>
      <c r="O6912" t="s">
        <v>19</v>
      </c>
    </row>
    <row r="6913" spans="1:15" x14ac:dyDescent="0.25">
      <c r="A6913" t="s">
        <v>5042</v>
      </c>
      <c r="B6913" t="s">
        <v>15</v>
      </c>
      <c r="C6913" t="s">
        <v>2582</v>
      </c>
      <c r="D6913" t="s">
        <v>17</v>
      </c>
      <c r="E6913" t="s">
        <v>18</v>
      </c>
      <c r="F6913" t="s">
        <v>19</v>
      </c>
      <c r="G6913" t="s">
        <v>20</v>
      </c>
      <c r="H6913" t="s">
        <v>5028</v>
      </c>
      <c r="J6913" t="s">
        <v>17</v>
      </c>
      <c r="K6913" t="str">
        <f>"763414201"</f>
        <v>763414201</v>
      </c>
      <c r="L6913" t="str">
        <f>"763414201"</f>
        <v>763414201</v>
      </c>
      <c r="M6913" t="s">
        <v>84</v>
      </c>
      <c r="N6913" s="1">
        <v>43195.868750000001</v>
      </c>
      <c r="O6913" t="s">
        <v>19</v>
      </c>
    </row>
    <row r="6914" spans="1:15" x14ac:dyDescent="0.25">
      <c r="A6914" t="s">
        <v>5043</v>
      </c>
      <c r="B6914" t="s">
        <v>15</v>
      </c>
      <c r="C6914" t="s">
        <v>2582</v>
      </c>
      <c r="D6914" t="s">
        <v>17</v>
      </c>
      <c r="E6914" t="s">
        <v>18</v>
      </c>
      <c r="F6914" t="s">
        <v>19</v>
      </c>
      <c r="G6914" t="s">
        <v>20</v>
      </c>
      <c r="J6914" t="s">
        <v>18</v>
      </c>
      <c r="K6914" t="str">
        <f>"344214203"</f>
        <v>344214203</v>
      </c>
      <c r="L6914" t="str">
        <f>"344214203"</f>
        <v>344214203</v>
      </c>
      <c r="M6914" t="s">
        <v>84</v>
      </c>
      <c r="N6914" s="1">
        <v>43502.886111111111</v>
      </c>
      <c r="O6914" t="s">
        <v>19</v>
      </c>
    </row>
    <row r="6915" spans="1:15" x14ac:dyDescent="0.25">
      <c r="A6915" t="s">
        <v>5044</v>
      </c>
      <c r="B6915" t="s">
        <v>15</v>
      </c>
      <c r="C6915" t="s">
        <v>2582</v>
      </c>
      <c r="D6915" t="s">
        <v>17</v>
      </c>
      <c r="E6915" t="s">
        <v>18</v>
      </c>
      <c r="F6915" t="s">
        <v>19</v>
      </c>
      <c r="G6915" t="s">
        <v>20</v>
      </c>
      <c r="J6915" t="s">
        <v>17</v>
      </c>
      <c r="K6915" t="str">
        <f>"344214204"</f>
        <v>344214204</v>
      </c>
      <c r="L6915" t="str">
        <f>"344214204"</f>
        <v>344214204</v>
      </c>
      <c r="M6915" t="s">
        <v>84</v>
      </c>
      <c r="N6915" s="1">
        <v>43502.886805555558</v>
      </c>
      <c r="O6915" t="s">
        <v>19</v>
      </c>
    </row>
    <row r="6916" spans="1:15" x14ac:dyDescent="0.25">
      <c r="A6916" t="s">
        <v>5045</v>
      </c>
      <c r="B6916" t="s">
        <v>15</v>
      </c>
      <c r="C6916" t="s">
        <v>2582</v>
      </c>
      <c r="D6916" t="s">
        <v>17</v>
      </c>
      <c r="E6916" t="s">
        <v>18</v>
      </c>
      <c r="F6916" t="s">
        <v>19</v>
      </c>
      <c r="G6916" t="s">
        <v>20</v>
      </c>
      <c r="J6916" t="s">
        <v>17</v>
      </c>
      <c r="K6916" t="str">
        <f>"343405304"</f>
        <v>343405304</v>
      </c>
      <c r="L6916" t="str">
        <f>"343405304"</f>
        <v>343405304</v>
      </c>
      <c r="M6916" t="s">
        <v>75</v>
      </c>
      <c r="N6916" s="1">
        <v>43231.890972222223</v>
      </c>
      <c r="O6916" t="s">
        <v>19</v>
      </c>
    </row>
    <row r="6917" spans="1:15" x14ac:dyDescent="0.25">
      <c r="A6917" t="s">
        <v>5046</v>
      </c>
      <c r="B6917" t="s">
        <v>15</v>
      </c>
      <c r="C6917" t="s">
        <v>2582</v>
      </c>
      <c r="D6917" t="s">
        <v>17</v>
      </c>
      <c r="E6917" t="s">
        <v>18</v>
      </c>
      <c r="F6917" t="s">
        <v>19</v>
      </c>
      <c r="G6917" t="s">
        <v>20</v>
      </c>
      <c r="J6917" t="s">
        <v>17</v>
      </c>
      <c r="K6917" t="str">
        <f>"1908070123591"</f>
        <v>1908070123591</v>
      </c>
      <c r="L6917" t="str">
        <f>"34340716"</f>
        <v>34340716</v>
      </c>
      <c r="M6917" t="s">
        <v>75</v>
      </c>
      <c r="N6917" s="1">
        <v>42894.859027777777</v>
      </c>
      <c r="O6917" t="s">
        <v>19</v>
      </c>
    </row>
    <row r="6918" spans="1:15" x14ac:dyDescent="0.25">
      <c r="A6918" t="s">
        <v>5046</v>
      </c>
      <c r="B6918" t="s">
        <v>15</v>
      </c>
      <c r="C6918" t="s">
        <v>2582</v>
      </c>
      <c r="D6918" t="s">
        <v>17</v>
      </c>
      <c r="E6918" t="s">
        <v>18</v>
      </c>
      <c r="F6918" t="s">
        <v>19</v>
      </c>
      <c r="G6918" t="s">
        <v>20</v>
      </c>
      <c r="H6918" t="s">
        <v>5047</v>
      </c>
      <c r="J6918" t="s">
        <v>17</v>
      </c>
      <c r="K6918" t="str">
        <f>"86340716"</f>
        <v>86340716</v>
      </c>
      <c r="L6918" t="str">
        <f>"86340716"</f>
        <v>86340716</v>
      </c>
      <c r="M6918" t="s">
        <v>84</v>
      </c>
      <c r="N6918" s="1">
        <v>43262.927777777775</v>
      </c>
      <c r="O6918" t="s">
        <v>19</v>
      </c>
    </row>
    <row r="6919" spans="1:15" x14ac:dyDescent="0.25">
      <c r="A6919" t="s">
        <v>5048</v>
      </c>
      <c r="B6919" t="s">
        <v>15</v>
      </c>
      <c r="C6919" t="s">
        <v>2582</v>
      </c>
      <c r="D6919" t="s">
        <v>17</v>
      </c>
      <c r="E6919" t="s">
        <v>18</v>
      </c>
      <c r="F6919" t="s">
        <v>19</v>
      </c>
      <c r="G6919" t="s">
        <v>20</v>
      </c>
      <c r="H6919" t="s">
        <v>5047</v>
      </c>
      <c r="J6919" t="s">
        <v>17</v>
      </c>
      <c r="K6919" t="str">
        <f>"86340717"</f>
        <v>86340717</v>
      </c>
      <c r="L6919" t="str">
        <f>"86340717"</f>
        <v>86340717</v>
      </c>
      <c r="M6919" t="s">
        <v>84</v>
      </c>
      <c r="N6919" s="1">
        <v>43367.722916666666</v>
      </c>
      <c r="O6919" t="s">
        <v>19</v>
      </c>
    </row>
    <row r="6920" spans="1:15" x14ac:dyDescent="0.25">
      <c r="A6920" t="s">
        <v>5049</v>
      </c>
      <c r="B6920" t="s">
        <v>15</v>
      </c>
      <c r="C6920" t="s">
        <v>2582</v>
      </c>
      <c r="D6920" t="s">
        <v>17</v>
      </c>
      <c r="E6920" t="s">
        <v>18</v>
      </c>
      <c r="F6920" t="s">
        <v>19</v>
      </c>
      <c r="G6920" t="s">
        <v>20</v>
      </c>
      <c r="H6920" t="s">
        <v>5047</v>
      </c>
      <c r="J6920" t="s">
        <v>17</v>
      </c>
      <c r="K6920" t="str">
        <f>"863407253"</f>
        <v>863407253</v>
      </c>
      <c r="L6920" t="str">
        <f>"863407253"</f>
        <v>863407253</v>
      </c>
      <c r="M6920" t="s">
        <v>84</v>
      </c>
      <c r="N6920" s="1">
        <v>43262.927083333336</v>
      </c>
      <c r="O6920" t="s">
        <v>19</v>
      </c>
    </row>
    <row r="6921" spans="1:15" x14ac:dyDescent="0.25">
      <c r="A6921" t="s">
        <v>5050</v>
      </c>
      <c r="B6921" t="s">
        <v>15</v>
      </c>
      <c r="C6921" t="s">
        <v>2582</v>
      </c>
      <c r="D6921" t="s">
        <v>17</v>
      </c>
      <c r="E6921" t="s">
        <v>18</v>
      </c>
      <c r="F6921" t="s">
        <v>19</v>
      </c>
      <c r="G6921" t="s">
        <v>20</v>
      </c>
      <c r="H6921" t="s">
        <v>5047</v>
      </c>
      <c r="J6921" t="s">
        <v>17</v>
      </c>
      <c r="K6921" t="str">
        <f>"863407254"</f>
        <v>863407254</v>
      </c>
      <c r="L6921" t="str">
        <f>"863407254"</f>
        <v>863407254</v>
      </c>
      <c r="M6921" t="s">
        <v>84</v>
      </c>
      <c r="N6921" s="1">
        <v>43367.723611111112</v>
      </c>
      <c r="O6921" t="s">
        <v>19</v>
      </c>
    </row>
    <row r="6922" spans="1:15" x14ac:dyDescent="0.25">
      <c r="A6922" t="s">
        <v>5051</v>
      </c>
      <c r="B6922" t="s">
        <v>15</v>
      </c>
      <c r="C6922" t="s">
        <v>2582</v>
      </c>
      <c r="D6922" t="s">
        <v>17</v>
      </c>
      <c r="E6922" t="s">
        <v>18</v>
      </c>
      <c r="F6922" t="s">
        <v>19</v>
      </c>
      <c r="G6922" t="s">
        <v>20</v>
      </c>
      <c r="H6922" t="s">
        <v>5047</v>
      </c>
      <c r="J6922" t="s">
        <v>17</v>
      </c>
      <c r="K6922" t="str">
        <f>"863407255"</f>
        <v>863407255</v>
      </c>
      <c r="L6922" t="str">
        <f>"863407255"</f>
        <v>863407255</v>
      </c>
      <c r="M6922" t="s">
        <v>84</v>
      </c>
      <c r="N6922" s="1">
        <v>43280.711805555555</v>
      </c>
      <c r="O6922" t="s">
        <v>19</v>
      </c>
    </row>
    <row r="6923" spans="1:15" x14ac:dyDescent="0.25">
      <c r="A6923" t="s">
        <v>5052</v>
      </c>
      <c r="B6923" t="s">
        <v>15</v>
      </c>
      <c r="C6923" t="s">
        <v>2582</v>
      </c>
      <c r="D6923" t="s">
        <v>17</v>
      </c>
      <c r="E6923" t="s">
        <v>18</v>
      </c>
      <c r="F6923" t="s">
        <v>19</v>
      </c>
      <c r="G6923" t="s">
        <v>20</v>
      </c>
      <c r="H6923" t="s">
        <v>5047</v>
      </c>
      <c r="J6923" t="s">
        <v>17</v>
      </c>
      <c r="K6923" t="str">
        <f>"863407256"</f>
        <v>863407256</v>
      </c>
      <c r="L6923" t="str">
        <f>"863407256"</f>
        <v>863407256</v>
      </c>
      <c r="M6923" t="s">
        <v>84</v>
      </c>
      <c r="N6923" s="1">
        <v>43367.723611111112</v>
      </c>
      <c r="O6923" t="s">
        <v>19</v>
      </c>
    </row>
    <row r="6924" spans="1:15" x14ac:dyDescent="0.25">
      <c r="A6924" t="s">
        <v>5053</v>
      </c>
      <c r="B6924" t="s">
        <v>15</v>
      </c>
      <c r="C6924" t="s">
        <v>2582</v>
      </c>
      <c r="D6924" t="s">
        <v>17</v>
      </c>
      <c r="E6924" t="s">
        <v>18</v>
      </c>
      <c r="F6924" t="s">
        <v>19</v>
      </c>
      <c r="G6924" t="s">
        <v>20</v>
      </c>
      <c r="H6924" t="s">
        <v>5047</v>
      </c>
      <c r="J6924" t="s">
        <v>17</v>
      </c>
      <c r="K6924" t="str">
        <f>"863407257"</f>
        <v>863407257</v>
      </c>
      <c r="L6924" t="str">
        <f>"863407257"</f>
        <v>863407257</v>
      </c>
      <c r="M6924" t="s">
        <v>84</v>
      </c>
      <c r="N6924" s="1">
        <v>43280.711805555555</v>
      </c>
      <c r="O6924" t="s">
        <v>19</v>
      </c>
    </row>
    <row r="6925" spans="1:15" x14ac:dyDescent="0.25">
      <c r="A6925" t="s">
        <v>5054</v>
      </c>
      <c r="B6925" t="s">
        <v>15</v>
      </c>
      <c r="C6925" t="s">
        <v>2582</v>
      </c>
      <c r="D6925" t="s">
        <v>17</v>
      </c>
      <c r="E6925" t="s">
        <v>18</v>
      </c>
      <c r="F6925" t="s">
        <v>19</v>
      </c>
      <c r="G6925" t="s">
        <v>20</v>
      </c>
      <c r="J6925" t="s">
        <v>17</v>
      </c>
      <c r="K6925" t="str">
        <f>"343409221"</f>
        <v>343409221</v>
      </c>
      <c r="L6925" t="str">
        <f>"343409221"</f>
        <v>343409221</v>
      </c>
      <c r="M6925" t="s">
        <v>75</v>
      </c>
      <c r="N6925" s="1">
        <v>43006.873611111114</v>
      </c>
      <c r="O6925" t="s">
        <v>19</v>
      </c>
    </row>
    <row r="6926" spans="1:15" x14ac:dyDescent="0.25">
      <c r="A6926" t="s">
        <v>5055</v>
      </c>
      <c r="B6926" t="s">
        <v>15</v>
      </c>
      <c r="C6926" t="s">
        <v>2582</v>
      </c>
      <c r="D6926" t="s">
        <v>17</v>
      </c>
      <c r="E6926" t="s">
        <v>18</v>
      </c>
      <c r="F6926" t="s">
        <v>19</v>
      </c>
      <c r="G6926" t="s">
        <v>20</v>
      </c>
      <c r="H6926" t="s">
        <v>5047</v>
      </c>
      <c r="J6926" t="s">
        <v>17</v>
      </c>
      <c r="K6926" t="str">
        <f>"863414270"</f>
        <v>863414270</v>
      </c>
      <c r="L6926" t="str">
        <f>"863414270"</f>
        <v>863414270</v>
      </c>
      <c r="M6926" t="s">
        <v>84</v>
      </c>
      <c r="N6926" s="1">
        <v>43262.928472222222</v>
      </c>
      <c r="O6926" t="s">
        <v>19</v>
      </c>
    </row>
    <row r="6927" spans="1:15" x14ac:dyDescent="0.25">
      <c r="A6927" t="s">
        <v>5056</v>
      </c>
      <c r="B6927" t="s">
        <v>15</v>
      </c>
      <c r="C6927" t="s">
        <v>2582</v>
      </c>
      <c r="D6927" t="s">
        <v>17</v>
      </c>
      <c r="E6927" t="s">
        <v>18</v>
      </c>
      <c r="F6927" t="s">
        <v>19</v>
      </c>
      <c r="G6927" t="s">
        <v>20</v>
      </c>
      <c r="H6927" t="s">
        <v>5047</v>
      </c>
      <c r="J6927" t="s">
        <v>17</v>
      </c>
      <c r="K6927" t="str">
        <f>"863414128"</f>
        <v>863414128</v>
      </c>
      <c r="L6927" t="str">
        <f>"863414128"</f>
        <v>863414128</v>
      </c>
      <c r="M6927" t="s">
        <v>84</v>
      </c>
      <c r="N6927" s="1">
        <v>43262.927777777775</v>
      </c>
      <c r="O6927" t="s">
        <v>19</v>
      </c>
    </row>
    <row r="6928" spans="1:15" x14ac:dyDescent="0.25">
      <c r="A6928" t="s">
        <v>5057</v>
      </c>
      <c r="B6928" t="s">
        <v>15</v>
      </c>
      <c r="C6928" t="s">
        <v>2582</v>
      </c>
      <c r="D6928" t="s">
        <v>17</v>
      </c>
      <c r="E6928" t="s">
        <v>18</v>
      </c>
      <c r="F6928" t="s">
        <v>19</v>
      </c>
      <c r="G6928" t="s">
        <v>20</v>
      </c>
      <c r="H6928" t="s">
        <v>5047</v>
      </c>
      <c r="J6928" t="s">
        <v>17</v>
      </c>
      <c r="K6928" t="str">
        <f>"863414137"</f>
        <v>863414137</v>
      </c>
      <c r="L6928" t="str">
        <f>"863414137"</f>
        <v>863414137</v>
      </c>
      <c r="M6928" t="s">
        <v>84</v>
      </c>
      <c r="N6928" s="1">
        <v>43262.929166666669</v>
      </c>
      <c r="O6928" t="s">
        <v>19</v>
      </c>
    </row>
    <row r="6929" spans="1:15" x14ac:dyDescent="0.25">
      <c r="A6929" t="s">
        <v>5058</v>
      </c>
      <c r="B6929" t="s">
        <v>15</v>
      </c>
      <c r="C6929" t="s">
        <v>2582</v>
      </c>
      <c r="D6929" t="s">
        <v>17</v>
      </c>
      <c r="E6929" t="s">
        <v>18</v>
      </c>
      <c r="F6929" t="s">
        <v>19</v>
      </c>
      <c r="G6929" t="s">
        <v>20</v>
      </c>
      <c r="H6929" t="s">
        <v>5047</v>
      </c>
      <c r="J6929" t="s">
        <v>17</v>
      </c>
      <c r="K6929" t="str">
        <f>"863414266"</f>
        <v>863414266</v>
      </c>
      <c r="L6929" t="str">
        <f>"863414266"</f>
        <v>863414266</v>
      </c>
      <c r="M6929" t="s">
        <v>84</v>
      </c>
      <c r="N6929" s="1">
        <v>43262.926388888889</v>
      </c>
      <c r="O6929" t="s">
        <v>19</v>
      </c>
    </row>
    <row r="6930" spans="1:15" x14ac:dyDescent="0.25">
      <c r="A6930" t="s">
        <v>5058</v>
      </c>
      <c r="B6930" t="s">
        <v>15</v>
      </c>
      <c r="C6930" t="s">
        <v>2582</v>
      </c>
      <c r="D6930" t="s">
        <v>17</v>
      </c>
      <c r="E6930" t="s">
        <v>18</v>
      </c>
      <c r="F6930" t="s">
        <v>19</v>
      </c>
      <c r="G6930" t="s">
        <v>20</v>
      </c>
      <c r="H6930" t="s">
        <v>5028</v>
      </c>
      <c r="J6930" t="s">
        <v>17</v>
      </c>
      <c r="K6930" t="str">
        <f>"1908070123126"</f>
        <v>1908070123126</v>
      </c>
      <c r="L6930" t="str">
        <f>"343414266"</f>
        <v>343414266</v>
      </c>
      <c r="M6930" t="s">
        <v>84</v>
      </c>
      <c r="N6930" s="1">
        <v>43216.95</v>
      </c>
      <c r="O6930" t="s">
        <v>19</v>
      </c>
    </row>
    <row r="6931" spans="1:15" x14ac:dyDescent="0.25">
      <c r="A6931" t="s">
        <v>5059</v>
      </c>
      <c r="B6931" t="s">
        <v>15</v>
      </c>
      <c r="C6931" t="s">
        <v>2582</v>
      </c>
      <c r="D6931" t="s">
        <v>17</v>
      </c>
      <c r="E6931" t="s">
        <v>18</v>
      </c>
      <c r="F6931" t="s">
        <v>19</v>
      </c>
      <c r="G6931" t="s">
        <v>20</v>
      </c>
      <c r="H6931" t="s">
        <v>5047</v>
      </c>
      <c r="J6931" t="s">
        <v>17</v>
      </c>
      <c r="K6931" t="str">
        <f>"863414129"</f>
        <v>863414129</v>
      </c>
      <c r="L6931" t="str">
        <f>"863414129"</f>
        <v>863414129</v>
      </c>
      <c r="M6931" t="s">
        <v>84</v>
      </c>
      <c r="N6931" s="1">
        <v>43367.722222222219</v>
      </c>
      <c r="O6931" t="s">
        <v>19</v>
      </c>
    </row>
    <row r="6932" spans="1:15" x14ac:dyDescent="0.25">
      <c r="A6932" t="s">
        <v>5060</v>
      </c>
      <c r="B6932" t="s">
        <v>15</v>
      </c>
      <c r="C6932" t="s">
        <v>2582</v>
      </c>
      <c r="D6932" t="s">
        <v>17</v>
      </c>
      <c r="E6932" t="s">
        <v>18</v>
      </c>
      <c r="F6932" t="s">
        <v>19</v>
      </c>
      <c r="G6932" t="s">
        <v>20</v>
      </c>
      <c r="H6932" t="s">
        <v>5047</v>
      </c>
      <c r="J6932" t="s">
        <v>17</v>
      </c>
      <c r="K6932" t="str">
        <f>"863414127"</f>
        <v>863414127</v>
      </c>
      <c r="L6932" t="str">
        <f>"863414127"</f>
        <v>863414127</v>
      </c>
      <c r="M6932" t="s">
        <v>84</v>
      </c>
      <c r="N6932" s="1">
        <v>43262.929166666669</v>
      </c>
      <c r="O6932" t="s">
        <v>19</v>
      </c>
    </row>
    <row r="6933" spans="1:15" x14ac:dyDescent="0.25">
      <c r="A6933" t="s">
        <v>5061</v>
      </c>
      <c r="B6933" t="s">
        <v>15</v>
      </c>
      <c r="C6933" t="s">
        <v>2582</v>
      </c>
      <c r="D6933" t="s">
        <v>17</v>
      </c>
      <c r="E6933" t="s">
        <v>18</v>
      </c>
      <c r="F6933" t="s">
        <v>19</v>
      </c>
      <c r="G6933" t="s">
        <v>20</v>
      </c>
      <c r="H6933" t="s">
        <v>5028</v>
      </c>
      <c r="J6933" t="s">
        <v>17</v>
      </c>
      <c r="K6933" t="str">
        <f>"343314138"</f>
        <v>343314138</v>
      </c>
      <c r="L6933" t="str">
        <f>"343314138"</f>
        <v>343314138</v>
      </c>
      <c r="M6933" t="s">
        <v>84</v>
      </c>
      <c r="N6933" s="1">
        <v>43131.640972222223</v>
      </c>
      <c r="O6933" t="s">
        <v>19</v>
      </c>
    </row>
    <row r="6934" spans="1:15" x14ac:dyDescent="0.25">
      <c r="A6934" t="s">
        <v>5062</v>
      </c>
      <c r="B6934" t="s">
        <v>15</v>
      </c>
      <c r="C6934" t="s">
        <v>2582</v>
      </c>
      <c r="D6934" t="s">
        <v>17</v>
      </c>
      <c r="E6934" t="s">
        <v>18</v>
      </c>
      <c r="F6934" t="s">
        <v>19</v>
      </c>
      <c r="G6934" t="s">
        <v>20</v>
      </c>
      <c r="H6934" t="s">
        <v>5028</v>
      </c>
      <c r="J6934" t="s">
        <v>17</v>
      </c>
      <c r="K6934" t="str">
        <f>"34341454"</f>
        <v>34341454</v>
      </c>
      <c r="L6934" t="str">
        <f>"34341454"</f>
        <v>34341454</v>
      </c>
      <c r="M6934" t="s">
        <v>84</v>
      </c>
      <c r="N6934" s="1">
        <v>43006.857638888891</v>
      </c>
      <c r="O6934" t="s">
        <v>19</v>
      </c>
    </row>
    <row r="6935" spans="1:15" x14ac:dyDescent="0.25">
      <c r="A6935" t="s">
        <v>5063</v>
      </c>
      <c r="B6935" t="s">
        <v>15</v>
      </c>
      <c r="C6935" t="s">
        <v>2582</v>
      </c>
      <c r="D6935" t="s">
        <v>17</v>
      </c>
      <c r="E6935" t="s">
        <v>18</v>
      </c>
      <c r="F6935" t="s">
        <v>19</v>
      </c>
      <c r="G6935" t="s">
        <v>20</v>
      </c>
      <c r="J6935" t="s">
        <v>17</v>
      </c>
      <c r="K6935" t="str">
        <f>"343414191"</f>
        <v>343414191</v>
      </c>
      <c r="L6935" t="str">
        <f>"343414191"</f>
        <v>343414191</v>
      </c>
      <c r="M6935" t="s">
        <v>75</v>
      </c>
      <c r="N6935" s="1">
        <v>43131.647222222222</v>
      </c>
      <c r="O6935" t="s">
        <v>19</v>
      </c>
    </row>
    <row r="6936" spans="1:15" x14ac:dyDescent="0.25">
      <c r="A6936" t="s">
        <v>5064</v>
      </c>
      <c r="B6936" t="s">
        <v>15</v>
      </c>
      <c r="C6936" t="s">
        <v>2582</v>
      </c>
      <c r="D6936" t="s">
        <v>17</v>
      </c>
      <c r="E6936" t="s">
        <v>18</v>
      </c>
      <c r="F6936" t="s">
        <v>19</v>
      </c>
      <c r="G6936" t="s">
        <v>20</v>
      </c>
      <c r="J6936" t="s">
        <v>17</v>
      </c>
      <c r="K6936" t="str">
        <f>"323114260"</f>
        <v>323114260</v>
      </c>
      <c r="L6936" t="str">
        <f>"323114260"</f>
        <v>323114260</v>
      </c>
      <c r="M6936" t="s">
        <v>84</v>
      </c>
      <c r="N6936" s="1">
        <v>43502.789583333331</v>
      </c>
      <c r="O6936" t="s">
        <v>19</v>
      </c>
    </row>
    <row r="6937" spans="1:15" x14ac:dyDescent="0.25">
      <c r="A6937" t="s">
        <v>5065</v>
      </c>
      <c r="B6937" t="s">
        <v>15</v>
      </c>
      <c r="C6937" t="s">
        <v>2582</v>
      </c>
      <c r="D6937" t="s">
        <v>17</v>
      </c>
      <c r="E6937" t="s">
        <v>18</v>
      </c>
      <c r="F6937" t="s">
        <v>19</v>
      </c>
      <c r="G6937" t="s">
        <v>20</v>
      </c>
      <c r="J6937" t="s">
        <v>17</v>
      </c>
      <c r="K6937" t="str">
        <f>"613405321"</f>
        <v>613405321</v>
      </c>
      <c r="L6937" t="str">
        <f>"613405321"</f>
        <v>613405321</v>
      </c>
      <c r="M6937" t="s">
        <v>21</v>
      </c>
      <c r="N6937" s="1">
        <v>44253.677777777775</v>
      </c>
      <c r="O6937" t="s">
        <v>19</v>
      </c>
    </row>
    <row r="6938" spans="1:15" x14ac:dyDescent="0.25">
      <c r="A6938" t="s">
        <v>5065</v>
      </c>
      <c r="B6938" t="s">
        <v>15</v>
      </c>
      <c r="C6938" t="s">
        <v>2582</v>
      </c>
      <c r="D6938" t="s">
        <v>17</v>
      </c>
      <c r="E6938" t="s">
        <v>18</v>
      </c>
      <c r="F6938" t="s">
        <v>19</v>
      </c>
      <c r="G6938" t="s">
        <v>20</v>
      </c>
      <c r="H6938" t="s">
        <v>5003</v>
      </c>
      <c r="J6938" t="s">
        <v>17</v>
      </c>
      <c r="K6938" t="str">
        <f>"1908070123515"</f>
        <v>1908070123515</v>
      </c>
      <c r="L6938" t="str">
        <f>"342505321"</f>
        <v>342505321</v>
      </c>
      <c r="M6938" t="s">
        <v>84</v>
      </c>
      <c r="N6938" s="1">
        <v>43409.915972222225</v>
      </c>
      <c r="O6938" t="s">
        <v>19</v>
      </c>
    </row>
    <row r="6939" spans="1:15" x14ac:dyDescent="0.25">
      <c r="A6939" t="s">
        <v>5066</v>
      </c>
      <c r="B6939" t="s">
        <v>15</v>
      </c>
      <c r="C6939" t="s">
        <v>2582</v>
      </c>
      <c r="D6939" t="s">
        <v>17</v>
      </c>
      <c r="E6939" t="s">
        <v>18</v>
      </c>
      <c r="F6939" t="s">
        <v>19</v>
      </c>
      <c r="G6939" t="s">
        <v>20</v>
      </c>
      <c r="H6939" t="s">
        <v>5003</v>
      </c>
      <c r="J6939" t="s">
        <v>17</v>
      </c>
      <c r="K6939" t="str">
        <f>"1000001003986"</f>
        <v>1000001003986</v>
      </c>
      <c r="L6939" t="str">
        <f>"76250533"</f>
        <v>76250533</v>
      </c>
      <c r="M6939" t="s">
        <v>84</v>
      </c>
      <c r="N6939" s="1">
        <v>43410.633333333331</v>
      </c>
      <c r="O6939" t="s">
        <v>19</v>
      </c>
    </row>
    <row r="6940" spans="1:15" x14ac:dyDescent="0.25">
      <c r="A6940" t="s">
        <v>5067</v>
      </c>
      <c r="B6940" t="s">
        <v>15</v>
      </c>
      <c r="C6940" t="s">
        <v>2582</v>
      </c>
      <c r="D6940" t="s">
        <v>17</v>
      </c>
      <c r="E6940" t="s">
        <v>18</v>
      </c>
      <c r="F6940" t="s">
        <v>19</v>
      </c>
      <c r="G6940" t="s">
        <v>20</v>
      </c>
      <c r="J6940" t="s">
        <v>17</v>
      </c>
      <c r="K6940" t="str">
        <f>"1000001004488"</f>
        <v>1000001004488</v>
      </c>
      <c r="L6940" t="str">
        <f>"762505307"</f>
        <v>762505307</v>
      </c>
      <c r="M6940" t="s">
        <v>84</v>
      </c>
      <c r="N6940" s="1">
        <v>43476.958333333336</v>
      </c>
      <c r="O6940" t="s">
        <v>19</v>
      </c>
    </row>
    <row r="6941" spans="1:15" x14ac:dyDescent="0.25">
      <c r="A6941" t="s">
        <v>5067</v>
      </c>
      <c r="B6941" t="s">
        <v>15</v>
      </c>
      <c r="C6941" t="s">
        <v>2582</v>
      </c>
      <c r="D6941" t="s">
        <v>17</v>
      </c>
      <c r="E6941" t="s">
        <v>18</v>
      </c>
      <c r="F6941" t="s">
        <v>19</v>
      </c>
      <c r="G6941" t="s">
        <v>20</v>
      </c>
      <c r="J6941" t="s">
        <v>17</v>
      </c>
      <c r="K6941" t="str">
        <f>"1908070123492"</f>
        <v>1908070123492</v>
      </c>
      <c r="L6941" t="str">
        <f>"793405307"</f>
        <v>793405307</v>
      </c>
      <c r="M6941" t="s">
        <v>21</v>
      </c>
      <c r="N6941" s="1">
        <v>43819.798611111109</v>
      </c>
      <c r="O6941" t="s">
        <v>19</v>
      </c>
    </row>
    <row r="6942" spans="1:15" x14ac:dyDescent="0.25">
      <c r="A6942" t="s">
        <v>5067</v>
      </c>
      <c r="B6942" t="s">
        <v>15</v>
      </c>
      <c r="C6942" t="s">
        <v>2582</v>
      </c>
      <c r="D6942" t="s">
        <v>17</v>
      </c>
      <c r="E6942" t="s">
        <v>18</v>
      </c>
      <c r="F6942" t="s">
        <v>19</v>
      </c>
      <c r="G6942" t="s">
        <v>20</v>
      </c>
      <c r="H6942" t="s">
        <v>5003</v>
      </c>
      <c r="J6942" t="s">
        <v>17</v>
      </c>
      <c r="K6942" t="str">
        <f>"1908070127315"</f>
        <v>1908070127315</v>
      </c>
      <c r="L6942" t="str">
        <f>"342505307"</f>
        <v>342505307</v>
      </c>
      <c r="M6942" t="s">
        <v>21</v>
      </c>
      <c r="N6942" s="1">
        <v>43528.759027777778</v>
      </c>
      <c r="O6942" t="s">
        <v>19</v>
      </c>
    </row>
    <row r="6943" spans="1:15" x14ac:dyDescent="0.25">
      <c r="A6943" t="s">
        <v>5068</v>
      </c>
      <c r="B6943" t="s">
        <v>15</v>
      </c>
      <c r="C6943" t="s">
        <v>2582</v>
      </c>
      <c r="D6943" t="s">
        <v>17</v>
      </c>
      <c r="E6943" t="s">
        <v>18</v>
      </c>
      <c r="F6943" t="s">
        <v>19</v>
      </c>
      <c r="G6943" t="s">
        <v>20</v>
      </c>
      <c r="H6943" t="s">
        <v>5003</v>
      </c>
      <c r="J6943" t="s">
        <v>17</v>
      </c>
      <c r="K6943" t="str">
        <f>"1000001004587"</f>
        <v>1000001004587</v>
      </c>
      <c r="L6943" t="str">
        <f>"793405322"</f>
        <v>793405322</v>
      </c>
      <c r="M6943" t="s">
        <v>21</v>
      </c>
      <c r="N6943" s="1">
        <v>43743.669444444444</v>
      </c>
      <c r="O6943" t="s">
        <v>19</v>
      </c>
    </row>
    <row r="6944" spans="1:15" x14ac:dyDescent="0.25">
      <c r="A6944" t="s">
        <v>5069</v>
      </c>
      <c r="B6944" t="s">
        <v>15</v>
      </c>
      <c r="C6944" t="s">
        <v>2582</v>
      </c>
      <c r="D6944" t="s">
        <v>17</v>
      </c>
      <c r="E6944" t="s">
        <v>18</v>
      </c>
      <c r="F6944" t="s">
        <v>19</v>
      </c>
      <c r="G6944" t="s">
        <v>20</v>
      </c>
      <c r="J6944" t="s">
        <v>17</v>
      </c>
      <c r="K6944" t="str">
        <f>"343105304"</f>
        <v>343105304</v>
      </c>
      <c r="L6944" t="str">
        <f>"343105304"</f>
        <v>343105304</v>
      </c>
      <c r="M6944" t="s">
        <v>84</v>
      </c>
      <c r="N6944" s="1">
        <v>43306.711805555555</v>
      </c>
      <c r="O6944" t="s">
        <v>19</v>
      </c>
    </row>
    <row r="6945" spans="1:15" x14ac:dyDescent="0.25">
      <c r="A6945" t="s">
        <v>5069</v>
      </c>
      <c r="B6945" t="s">
        <v>15</v>
      </c>
      <c r="C6945" t="s">
        <v>2582</v>
      </c>
      <c r="D6945" t="s">
        <v>17</v>
      </c>
      <c r="E6945" t="s">
        <v>18</v>
      </c>
      <c r="F6945" t="s">
        <v>19</v>
      </c>
      <c r="G6945" t="s">
        <v>20</v>
      </c>
      <c r="J6945" t="s">
        <v>17</v>
      </c>
      <c r="K6945" t="str">
        <f>"613405295"</f>
        <v>613405295</v>
      </c>
      <c r="L6945" t="str">
        <f>"613405295"</f>
        <v>613405295</v>
      </c>
      <c r="M6945" t="s">
        <v>84</v>
      </c>
      <c r="N6945" s="1">
        <v>43320.716666666667</v>
      </c>
      <c r="O6945" t="s">
        <v>19</v>
      </c>
    </row>
    <row r="6946" spans="1:15" x14ac:dyDescent="0.25">
      <c r="A6946" t="s">
        <v>5069</v>
      </c>
      <c r="B6946" t="s">
        <v>15</v>
      </c>
      <c r="C6946" t="s">
        <v>2582</v>
      </c>
      <c r="D6946" t="s">
        <v>17</v>
      </c>
      <c r="E6946" t="s">
        <v>18</v>
      </c>
      <c r="F6946" t="s">
        <v>19</v>
      </c>
      <c r="G6946" t="s">
        <v>20</v>
      </c>
      <c r="J6946" t="s">
        <v>17</v>
      </c>
      <c r="K6946" t="str">
        <f>"613405304"</f>
        <v>613405304</v>
      </c>
      <c r="L6946" t="str">
        <f>"613405304"</f>
        <v>613405304</v>
      </c>
      <c r="M6946" t="s">
        <v>84</v>
      </c>
      <c r="N6946" s="1">
        <v>43320.716666666667</v>
      </c>
      <c r="O6946" t="s">
        <v>19</v>
      </c>
    </row>
    <row r="6947" spans="1:15" x14ac:dyDescent="0.25">
      <c r="A6947" t="s">
        <v>5070</v>
      </c>
      <c r="B6947" t="s">
        <v>15</v>
      </c>
      <c r="C6947" t="s">
        <v>2582</v>
      </c>
      <c r="D6947" t="s">
        <v>17</v>
      </c>
      <c r="E6947" t="s">
        <v>18</v>
      </c>
      <c r="F6947" t="s">
        <v>19</v>
      </c>
      <c r="G6947" t="s">
        <v>20</v>
      </c>
      <c r="H6947" t="s">
        <v>5003</v>
      </c>
      <c r="J6947" t="s">
        <v>17</v>
      </c>
      <c r="K6947" t="str">
        <f>"1908070127797"</f>
        <v>1908070127797</v>
      </c>
      <c r="L6947" t="str">
        <f>"343105321"</f>
        <v>343105321</v>
      </c>
      <c r="M6947" t="s">
        <v>21</v>
      </c>
      <c r="N6947" s="1">
        <v>43257.87222222222</v>
      </c>
      <c r="O6947" t="s">
        <v>19</v>
      </c>
    </row>
    <row r="6948" spans="1:15" x14ac:dyDescent="0.25">
      <c r="A6948" t="s">
        <v>5071</v>
      </c>
      <c r="B6948" t="s">
        <v>15</v>
      </c>
      <c r="C6948" t="s">
        <v>2582</v>
      </c>
      <c r="D6948" t="s">
        <v>17</v>
      </c>
      <c r="E6948" t="s">
        <v>18</v>
      </c>
      <c r="F6948" t="s">
        <v>19</v>
      </c>
      <c r="G6948" t="s">
        <v>20</v>
      </c>
      <c r="J6948" t="s">
        <v>17</v>
      </c>
      <c r="K6948" t="str">
        <f>"613405333"</f>
        <v>613405333</v>
      </c>
      <c r="L6948" t="str">
        <f>"613405333"</f>
        <v>613405333</v>
      </c>
      <c r="M6948" t="s">
        <v>21</v>
      </c>
      <c r="N6948" s="1">
        <v>44253.675000000003</v>
      </c>
      <c r="O6948" t="s">
        <v>19</v>
      </c>
    </row>
    <row r="6949" spans="1:15" x14ac:dyDescent="0.25">
      <c r="A6949" t="s">
        <v>5072</v>
      </c>
      <c r="B6949" t="s">
        <v>15</v>
      </c>
      <c r="C6949" t="s">
        <v>2582</v>
      </c>
      <c r="D6949" t="s">
        <v>17</v>
      </c>
      <c r="E6949" t="s">
        <v>18</v>
      </c>
      <c r="F6949" t="s">
        <v>19</v>
      </c>
      <c r="G6949" t="s">
        <v>20</v>
      </c>
      <c r="J6949" t="s">
        <v>17</v>
      </c>
      <c r="K6949" t="str">
        <f>"1000001003931"</f>
        <v>1000001003931</v>
      </c>
      <c r="L6949" t="str">
        <f>"763405300"</f>
        <v>763405300</v>
      </c>
      <c r="M6949" t="s">
        <v>84</v>
      </c>
      <c r="N6949" s="1">
        <v>43320.86041666667</v>
      </c>
      <c r="O6949" t="s">
        <v>19</v>
      </c>
    </row>
    <row r="6950" spans="1:15" x14ac:dyDescent="0.25">
      <c r="A6950" t="s">
        <v>5073</v>
      </c>
      <c r="B6950" t="s">
        <v>15</v>
      </c>
      <c r="C6950" t="s">
        <v>2582</v>
      </c>
      <c r="D6950" t="s">
        <v>17</v>
      </c>
      <c r="E6950" t="s">
        <v>18</v>
      </c>
      <c r="F6950" t="s">
        <v>19</v>
      </c>
      <c r="G6950" t="s">
        <v>20</v>
      </c>
      <c r="J6950" t="s">
        <v>17</v>
      </c>
      <c r="K6950" t="str">
        <f>"1908070123508"</f>
        <v>1908070123508</v>
      </c>
      <c r="L6950" t="str">
        <f>"343105303"</f>
        <v>343105303</v>
      </c>
      <c r="M6950" t="s">
        <v>84</v>
      </c>
      <c r="N6950" s="1">
        <v>43306.711111111108</v>
      </c>
      <c r="O6950" t="s">
        <v>19</v>
      </c>
    </row>
    <row r="6951" spans="1:15" x14ac:dyDescent="0.25">
      <c r="A6951" t="s">
        <v>5073</v>
      </c>
      <c r="B6951" t="s">
        <v>15</v>
      </c>
      <c r="C6951" t="s">
        <v>2582</v>
      </c>
      <c r="D6951" t="s">
        <v>17</v>
      </c>
      <c r="E6951" t="s">
        <v>18</v>
      </c>
      <c r="F6951" t="s">
        <v>19</v>
      </c>
      <c r="G6951" t="s">
        <v>20</v>
      </c>
      <c r="J6951" t="s">
        <v>17</v>
      </c>
      <c r="K6951" t="str">
        <f>"862505303"</f>
        <v>862505303</v>
      </c>
      <c r="L6951" t="str">
        <f>"862505303"</f>
        <v>862505303</v>
      </c>
      <c r="M6951" t="s">
        <v>84</v>
      </c>
      <c r="N6951" s="1">
        <v>43378.586111111108</v>
      </c>
      <c r="O6951" t="s">
        <v>19</v>
      </c>
    </row>
    <row r="6952" spans="1:15" x14ac:dyDescent="0.25">
      <c r="A6952" t="s">
        <v>5073</v>
      </c>
      <c r="B6952" t="s">
        <v>15</v>
      </c>
      <c r="C6952" t="s">
        <v>2582</v>
      </c>
      <c r="D6952" t="s">
        <v>17</v>
      </c>
      <c r="E6952" t="s">
        <v>18</v>
      </c>
      <c r="F6952" t="s">
        <v>19</v>
      </c>
      <c r="G6952" t="s">
        <v>20</v>
      </c>
      <c r="J6952" t="s">
        <v>17</v>
      </c>
      <c r="K6952" t="str">
        <f>"342505303"</f>
        <v>342505303</v>
      </c>
      <c r="L6952" t="str">
        <f>"342505303"</f>
        <v>342505303</v>
      </c>
      <c r="M6952" t="s">
        <v>84</v>
      </c>
      <c r="N6952" s="1">
        <v>43409.916666666664</v>
      </c>
      <c r="O6952" t="s">
        <v>19</v>
      </c>
    </row>
    <row r="6953" spans="1:15" x14ac:dyDescent="0.25">
      <c r="A6953" t="s">
        <v>5073</v>
      </c>
      <c r="B6953" t="s">
        <v>15</v>
      </c>
      <c r="C6953" t="s">
        <v>2582</v>
      </c>
      <c r="D6953" t="s">
        <v>17</v>
      </c>
      <c r="E6953" t="s">
        <v>18</v>
      </c>
      <c r="F6953" t="s">
        <v>19</v>
      </c>
      <c r="G6953" t="s">
        <v>20</v>
      </c>
      <c r="J6953" t="s">
        <v>17</v>
      </c>
      <c r="K6953" t="str">
        <f>"323105303"</f>
        <v>323105303</v>
      </c>
      <c r="L6953" t="str">
        <f>"323105303"</f>
        <v>323105303</v>
      </c>
      <c r="M6953" t="s">
        <v>84</v>
      </c>
      <c r="N6953" s="1">
        <v>43502.787499999999</v>
      </c>
      <c r="O6953" t="s">
        <v>19</v>
      </c>
    </row>
    <row r="6954" spans="1:15" x14ac:dyDescent="0.25">
      <c r="A6954" t="s">
        <v>5073</v>
      </c>
      <c r="B6954" t="s">
        <v>15</v>
      </c>
      <c r="C6954" t="s">
        <v>2582</v>
      </c>
      <c r="D6954" t="s">
        <v>17</v>
      </c>
      <c r="E6954" t="s">
        <v>18</v>
      </c>
      <c r="F6954" t="s">
        <v>19</v>
      </c>
      <c r="G6954" t="s">
        <v>20</v>
      </c>
      <c r="J6954" t="s">
        <v>17</v>
      </c>
      <c r="K6954" t="str">
        <f>"413405303"</f>
        <v>413405303</v>
      </c>
      <c r="L6954" t="str">
        <f>"413405303"</f>
        <v>413405303</v>
      </c>
      <c r="M6954" t="s">
        <v>21</v>
      </c>
      <c r="N6954" s="1">
        <v>44351.818055555559</v>
      </c>
      <c r="O6954" t="s">
        <v>19</v>
      </c>
    </row>
    <row r="6955" spans="1:15" x14ac:dyDescent="0.25">
      <c r="A6955" t="s">
        <v>5073</v>
      </c>
      <c r="B6955" t="s">
        <v>15</v>
      </c>
      <c r="C6955" t="s">
        <v>2582</v>
      </c>
      <c r="D6955" t="s">
        <v>17</v>
      </c>
      <c r="E6955" t="s">
        <v>18</v>
      </c>
      <c r="F6955" t="s">
        <v>19</v>
      </c>
      <c r="G6955" t="s">
        <v>20</v>
      </c>
      <c r="H6955" t="s">
        <v>5003</v>
      </c>
      <c r="J6955" t="s">
        <v>17</v>
      </c>
      <c r="K6955" t="str">
        <f>"763405303"</f>
        <v>763405303</v>
      </c>
      <c r="L6955" t="str">
        <f>"763405303"</f>
        <v>763405303</v>
      </c>
      <c r="M6955" t="s">
        <v>84</v>
      </c>
      <c r="N6955" s="1">
        <v>43308.682638888888</v>
      </c>
      <c r="O6955" t="s">
        <v>19</v>
      </c>
    </row>
    <row r="6956" spans="1:15" x14ac:dyDescent="0.25">
      <c r="A6956" t="s">
        <v>5073</v>
      </c>
      <c r="B6956" t="s">
        <v>15</v>
      </c>
      <c r="C6956" t="s">
        <v>2582</v>
      </c>
      <c r="D6956" t="s">
        <v>17</v>
      </c>
      <c r="E6956" t="s">
        <v>18</v>
      </c>
      <c r="F6956" t="s">
        <v>19</v>
      </c>
      <c r="G6956" t="s">
        <v>20</v>
      </c>
      <c r="H6956" t="s">
        <v>5003</v>
      </c>
      <c r="J6956" t="s">
        <v>17</v>
      </c>
      <c r="K6956" t="str">
        <f>"1000001003948"</f>
        <v>1000001003948</v>
      </c>
      <c r="L6956" t="str">
        <f>"763105303"</f>
        <v>763105303</v>
      </c>
      <c r="M6956" t="s">
        <v>84</v>
      </c>
      <c r="N6956" s="1">
        <v>43320.861111111109</v>
      </c>
      <c r="O6956" t="s">
        <v>19</v>
      </c>
    </row>
    <row r="6957" spans="1:15" x14ac:dyDescent="0.25">
      <c r="A6957" t="s">
        <v>5073</v>
      </c>
      <c r="B6957" t="s">
        <v>15</v>
      </c>
      <c r="C6957" t="s">
        <v>2582</v>
      </c>
      <c r="D6957" t="s">
        <v>17</v>
      </c>
      <c r="E6957" t="s">
        <v>18</v>
      </c>
      <c r="F6957" t="s">
        <v>19</v>
      </c>
      <c r="G6957" t="s">
        <v>20</v>
      </c>
      <c r="H6957" t="s">
        <v>5003</v>
      </c>
      <c r="J6957" t="s">
        <v>17</v>
      </c>
      <c r="K6957" t="str">
        <f>"1908070124857"</f>
        <v>1908070124857</v>
      </c>
      <c r="L6957" t="str">
        <f>"344205303"</f>
        <v>344205303</v>
      </c>
      <c r="M6957" t="s">
        <v>21</v>
      </c>
      <c r="N6957" s="1">
        <v>43502.888888888891</v>
      </c>
      <c r="O6957" t="s">
        <v>19</v>
      </c>
    </row>
    <row r="6958" spans="1:15" x14ac:dyDescent="0.25">
      <c r="A6958" t="s">
        <v>5074</v>
      </c>
      <c r="B6958" t="s">
        <v>15</v>
      </c>
      <c r="C6958" t="s">
        <v>2582</v>
      </c>
      <c r="D6958" t="s">
        <v>17</v>
      </c>
      <c r="E6958" t="s">
        <v>18</v>
      </c>
      <c r="F6958" t="s">
        <v>19</v>
      </c>
      <c r="G6958" t="s">
        <v>20</v>
      </c>
      <c r="H6958" t="s">
        <v>5003</v>
      </c>
      <c r="J6958" t="s">
        <v>17</v>
      </c>
      <c r="K6958" t="str">
        <f>"1908070124871"</f>
        <v>1908070124871</v>
      </c>
      <c r="L6958" t="str">
        <f>"343405314"</f>
        <v>343405314</v>
      </c>
      <c r="M6958" t="s">
        <v>84</v>
      </c>
      <c r="N6958" s="1">
        <v>43566.656944444447</v>
      </c>
      <c r="O6958" t="s">
        <v>19</v>
      </c>
    </row>
    <row r="6959" spans="1:15" x14ac:dyDescent="0.25">
      <c r="A6959" t="s">
        <v>5074</v>
      </c>
      <c r="B6959" t="s">
        <v>15</v>
      </c>
      <c r="C6959" t="s">
        <v>2582</v>
      </c>
      <c r="D6959" t="s">
        <v>17</v>
      </c>
      <c r="E6959" t="s">
        <v>18</v>
      </c>
      <c r="F6959" t="s">
        <v>19</v>
      </c>
      <c r="G6959" t="s">
        <v>20</v>
      </c>
      <c r="H6959" t="s">
        <v>5003</v>
      </c>
      <c r="J6959" t="s">
        <v>17</v>
      </c>
      <c r="K6959" t="str">
        <f>"1000001004907"</f>
        <v>1000001004907</v>
      </c>
      <c r="L6959" t="str">
        <f>"763105314"</f>
        <v>763105314</v>
      </c>
      <c r="M6959" t="s">
        <v>21</v>
      </c>
      <c r="N6959" s="1">
        <v>43588.65625</v>
      </c>
      <c r="O6959" t="s">
        <v>19</v>
      </c>
    </row>
    <row r="6960" spans="1:15" x14ac:dyDescent="0.25">
      <c r="A6960" t="s">
        <v>5075</v>
      </c>
      <c r="B6960" t="s">
        <v>15</v>
      </c>
      <c r="C6960" t="s">
        <v>2582</v>
      </c>
      <c r="D6960" t="s">
        <v>17</v>
      </c>
      <c r="E6960" t="s">
        <v>18</v>
      </c>
      <c r="F6960" t="s">
        <v>19</v>
      </c>
      <c r="G6960" t="s">
        <v>20</v>
      </c>
      <c r="J6960" t="s">
        <v>17</v>
      </c>
      <c r="K6960" t="str">
        <f>"1578155300213"</f>
        <v>1578155300213</v>
      </c>
      <c r="L6960" t="str">
        <f>"61310530"</f>
        <v>61310530</v>
      </c>
      <c r="M6960" t="s">
        <v>21</v>
      </c>
      <c r="N6960" s="1">
        <v>43834.686111111114</v>
      </c>
      <c r="O6960" t="s">
        <v>19</v>
      </c>
    </row>
    <row r="6961" spans="1:15" x14ac:dyDescent="0.25">
      <c r="A6961" t="s">
        <v>5075</v>
      </c>
      <c r="B6961" t="s">
        <v>15</v>
      </c>
      <c r="C6961" t="s">
        <v>2582</v>
      </c>
      <c r="D6961" t="s">
        <v>17</v>
      </c>
      <c r="E6961" t="s">
        <v>18</v>
      </c>
      <c r="F6961" t="s">
        <v>19</v>
      </c>
      <c r="G6961" t="s">
        <v>20</v>
      </c>
      <c r="H6961" t="s">
        <v>5003</v>
      </c>
      <c r="J6961" t="s">
        <v>17</v>
      </c>
      <c r="K6961" t="str">
        <f>"1000001002491"</f>
        <v>1000001002491</v>
      </c>
      <c r="L6961" t="str">
        <f>"763105316"</f>
        <v>763105316</v>
      </c>
      <c r="M6961" t="s">
        <v>21</v>
      </c>
      <c r="N6961" s="1">
        <v>43588.656944444447</v>
      </c>
      <c r="O6961" t="s">
        <v>19</v>
      </c>
    </row>
    <row r="6962" spans="1:15" x14ac:dyDescent="0.25">
      <c r="A6962" t="s">
        <v>5075</v>
      </c>
      <c r="B6962" t="s">
        <v>15</v>
      </c>
      <c r="C6962" t="s">
        <v>2582</v>
      </c>
      <c r="D6962" t="s">
        <v>17</v>
      </c>
      <c r="E6962" t="s">
        <v>18</v>
      </c>
      <c r="F6962" t="s">
        <v>19</v>
      </c>
      <c r="G6962" t="s">
        <v>20</v>
      </c>
      <c r="H6962" t="s">
        <v>5003</v>
      </c>
      <c r="J6962" t="s">
        <v>17</v>
      </c>
      <c r="K6962" t="str">
        <f>"1908070128206"</f>
        <v>1908070128206</v>
      </c>
      <c r="L6962" t="str">
        <f>"343405316"</f>
        <v>343405316</v>
      </c>
      <c r="M6962" t="s">
        <v>21</v>
      </c>
      <c r="N6962" s="1">
        <v>43686.881249999999</v>
      </c>
      <c r="O6962" t="s">
        <v>19</v>
      </c>
    </row>
    <row r="6963" spans="1:15" x14ac:dyDescent="0.25">
      <c r="A6963" t="s">
        <v>5075</v>
      </c>
      <c r="B6963" t="s">
        <v>15</v>
      </c>
      <c r="C6963" t="s">
        <v>2582</v>
      </c>
      <c r="D6963" t="s">
        <v>17</v>
      </c>
      <c r="E6963" t="s">
        <v>18</v>
      </c>
      <c r="F6963" t="s">
        <v>19</v>
      </c>
      <c r="G6963" t="s">
        <v>20</v>
      </c>
      <c r="H6963" t="s">
        <v>5003</v>
      </c>
      <c r="J6963" t="s">
        <v>17</v>
      </c>
      <c r="K6963" t="str">
        <f>"1000001004785"</f>
        <v>1000001004785</v>
      </c>
      <c r="L6963" t="str">
        <f>"793405316"</f>
        <v>793405316</v>
      </c>
      <c r="M6963" t="s">
        <v>21</v>
      </c>
      <c r="N6963" s="1">
        <v>43720.652777777781</v>
      </c>
      <c r="O6963" t="s">
        <v>19</v>
      </c>
    </row>
    <row r="6964" spans="1:15" x14ac:dyDescent="0.25">
      <c r="A6964" t="s">
        <v>5076</v>
      </c>
      <c r="B6964" t="s">
        <v>15</v>
      </c>
      <c r="C6964" t="s">
        <v>2582</v>
      </c>
      <c r="D6964" t="s">
        <v>17</v>
      </c>
      <c r="E6964" t="s">
        <v>18</v>
      </c>
      <c r="F6964" t="s">
        <v>19</v>
      </c>
      <c r="G6964" t="s">
        <v>20</v>
      </c>
      <c r="J6964" t="s">
        <v>17</v>
      </c>
      <c r="K6964" t="str">
        <f>"2020060902128"</f>
        <v>2020060902128</v>
      </c>
      <c r="L6964" t="str">
        <f>"183105328"</f>
        <v>183105328</v>
      </c>
      <c r="M6964" t="s">
        <v>21</v>
      </c>
      <c r="N6964" s="1">
        <v>43621.670138888891</v>
      </c>
      <c r="O6964" t="s">
        <v>19</v>
      </c>
    </row>
    <row r="6965" spans="1:15" x14ac:dyDescent="0.25">
      <c r="A6965" t="s">
        <v>5076</v>
      </c>
      <c r="B6965" t="s">
        <v>15</v>
      </c>
      <c r="C6965" t="s">
        <v>2582</v>
      </c>
      <c r="D6965" t="s">
        <v>17</v>
      </c>
      <c r="E6965" t="s">
        <v>18</v>
      </c>
      <c r="F6965" t="s">
        <v>19</v>
      </c>
      <c r="G6965" t="s">
        <v>20</v>
      </c>
      <c r="J6965" t="s">
        <v>17</v>
      </c>
      <c r="K6965" t="str">
        <f>"1578154925693"</f>
        <v>1578154925693</v>
      </c>
      <c r="L6965" t="str">
        <f>"61310523"</f>
        <v>61310523</v>
      </c>
      <c r="M6965" t="s">
        <v>21</v>
      </c>
      <c r="N6965" s="1">
        <v>43834.681944444441</v>
      </c>
      <c r="O6965" t="s">
        <v>19</v>
      </c>
    </row>
    <row r="6966" spans="1:15" x14ac:dyDescent="0.25">
      <c r="A6966" t="s">
        <v>5076</v>
      </c>
      <c r="B6966" t="s">
        <v>15</v>
      </c>
      <c r="C6966" t="s">
        <v>2582</v>
      </c>
      <c r="D6966" t="s">
        <v>17</v>
      </c>
      <c r="E6966" t="s">
        <v>18</v>
      </c>
      <c r="F6966" t="s">
        <v>19</v>
      </c>
      <c r="G6966" t="s">
        <v>20</v>
      </c>
      <c r="J6966" t="s">
        <v>17</v>
      </c>
      <c r="K6966" t="str">
        <f>"613405328"</f>
        <v>613405328</v>
      </c>
      <c r="L6966" t="str">
        <f>"613405328"</f>
        <v>613405328</v>
      </c>
      <c r="M6966" t="s">
        <v>21</v>
      </c>
      <c r="N6966" s="1">
        <v>44253.67291666667</v>
      </c>
      <c r="O6966" t="s">
        <v>19</v>
      </c>
    </row>
    <row r="6967" spans="1:15" x14ac:dyDescent="0.25">
      <c r="A6967" t="s">
        <v>5076</v>
      </c>
      <c r="B6967" t="s">
        <v>15</v>
      </c>
      <c r="C6967" t="s">
        <v>2582</v>
      </c>
      <c r="D6967" t="s">
        <v>17</v>
      </c>
      <c r="E6967" t="s">
        <v>18</v>
      </c>
      <c r="F6967" t="s">
        <v>19</v>
      </c>
      <c r="G6967" t="s">
        <v>20</v>
      </c>
      <c r="H6967" t="s">
        <v>5003</v>
      </c>
      <c r="J6967" t="s">
        <v>17</v>
      </c>
      <c r="K6967" t="str">
        <f>"1908070124239"</f>
        <v>1908070124239</v>
      </c>
      <c r="L6967" t="str">
        <f>"34310716"</f>
        <v>34310716</v>
      </c>
      <c r="M6967" t="s">
        <v>21</v>
      </c>
      <c r="N6967" s="1">
        <v>42872.839583333334</v>
      </c>
      <c r="O6967" t="s">
        <v>19</v>
      </c>
    </row>
    <row r="6968" spans="1:15" x14ac:dyDescent="0.25">
      <c r="A6968" t="s">
        <v>5077</v>
      </c>
      <c r="B6968" t="s">
        <v>15</v>
      </c>
      <c r="C6968" t="s">
        <v>2582</v>
      </c>
      <c r="D6968" t="s">
        <v>17</v>
      </c>
      <c r="E6968" t="s">
        <v>18</v>
      </c>
      <c r="F6968" t="s">
        <v>19</v>
      </c>
      <c r="G6968" t="s">
        <v>20</v>
      </c>
      <c r="H6968" t="s">
        <v>5003</v>
      </c>
      <c r="J6968" t="s">
        <v>17</v>
      </c>
      <c r="K6968" t="str">
        <f>"1908070129012"</f>
        <v>1908070129012</v>
      </c>
      <c r="L6968" t="str">
        <f>"343105326"</f>
        <v>343105326</v>
      </c>
      <c r="M6968" t="s">
        <v>21</v>
      </c>
      <c r="N6968" s="1">
        <v>42872.839583333334</v>
      </c>
      <c r="O6968" t="s">
        <v>19</v>
      </c>
    </row>
    <row r="6969" spans="1:15" x14ac:dyDescent="0.25">
      <c r="A6969" t="s">
        <v>5078</v>
      </c>
      <c r="B6969" t="s">
        <v>15</v>
      </c>
      <c r="C6969" t="s">
        <v>2582</v>
      </c>
      <c r="D6969" t="s">
        <v>17</v>
      </c>
      <c r="E6969" t="s">
        <v>18</v>
      </c>
      <c r="F6969" t="s">
        <v>19</v>
      </c>
      <c r="G6969" t="s">
        <v>20</v>
      </c>
      <c r="J6969" t="s">
        <v>17</v>
      </c>
      <c r="K6969" t="str">
        <f>"1908070126165"</f>
        <v>1908070126165</v>
      </c>
      <c r="L6969" t="str">
        <f>"342505313"</f>
        <v>342505313</v>
      </c>
      <c r="M6969" t="s">
        <v>21</v>
      </c>
      <c r="N6969" s="1">
        <v>43545.875694444447</v>
      </c>
      <c r="O6969" t="s">
        <v>19</v>
      </c>
    </row>
    <row r="6970" spans="1:15" x14ac:dyDescent="0.25">
      <c r="A6970" t="s">
        <v>5078</v>
      </c>
      <c r="B6970" t="s">
        <v>15</v>
      </c>
      <c r="C6970" t="s">
        <v>2582</v>
      </c>
      <c r="D6970" t="s">
        <v>17</v>
      </c>
      <c r="E6970" t="s">
        <v>18</v>
      </c>
      <c r="F6970" t="s">
        <v>19</v>
      </c>
      <c r="G6970" t="s">
        <v>20</v>
      </c>
      <c r="J6970" t="s">
        <v>17</v>
      </c>
      <c r="K6970" t="str">
        <f>"683405313"</f>
        <v>683405313</v>
      </c>
      <c r="L6970" t="str">
        <f>"793405313"</f>
        <v>793405313</v>
      </c>
      <c r="M6970" t="s">
        <v>21</v>
      </c>
      <c r="N6970" s="1">
        <v>43819.712500000001</v>
      </c>
      <c r="O6970" t="s">
        <v>19</v>
      </c>
    </row>
    <row r="6971" spans="1:15" x14ac:dyDescent="0.25">
      <c r="A6971" t="s">
        <v>5078</v>
      </c>
      <c r="B6971" t="s">
        <v>15</v>
      </c>
      <c r="C6971" t="s">
        <v>2582</v>
      </c>
      <c r="D6971" t="s">
        <v>17</v>
      </c>
      <c r="E6971" t="s">
        <v>18</v>
      </c>
      <c r="F6971" t="s">
        <v>19</v>
      </c>
      <c r="G6971" t="s">
        <v>20</v>
      </c>
      <c r="H6971" t="s">
        <v>5003</v>
      </c>
      <c r="J6971" t="s">
        <v>17</v>
      </c>
      <c r="K6971" t="str">
        <f>"1000001004655"</f>
        <v>1000001004655</v>
      </c>
      <c r="L6971" t="str">
        <f>"762505313"</f>
        <v>762505313</v>
      </c>
      <c r="M6971" t="s">
        <v>21</v>
      </c>
      <c r="N6971" s="1">
        <v>43545.656944444447</v>
      </c>
      <c r="O6971" t="s">
        <v>19</v>
      </c>
    </row>
    <row r="6972" spans="1:15" x14ac:dyDescent="0.25">
      <c r="A6972" t="s">
        <v>5079</v>
      </c>
      <c r="B6972" t="s">
        <v>15</v>
      </c>
      <c r="C6972" t="s">
        <v>2582</v>
      </c>
      <c r="D6972" t="s">
        <v>17</v>
      </c>
      <c r="E6972" t="s">
        <v>18</v>
      </c>
      <c r="F6972" t="s">
        <v>19</v>
      </c>
      <c r="G6972" t="s">
        <v>20</v>
      </c>
      <c r="J6972" t="s">
        <v>17</v>
      </c>
      <c r="K6972" t="str">
        <f>"2020030200209"</f>
        <v>2020030200209</v>
      </c>
      <c r="L6972" t="str">
        <f>"183105332"</f>
        <v>183105332</v>
      </c>
      <c r="M6972" t="s">
        <v>21</v>
      </c>
      <c r="N6972" s="1">
        <v>43621.673611111109</v>
      </c>
      <c r="O6972" t="s">
        <v>19</v>
      </c>
    </row>
    <row r="6973" spans="1:15" x14ac:dyDescent="0.25">
      <c r="A6973" t="s">
        <v>5079</v>
      </c>
      <c r="B6973" t="s">
        <v>15</v>
      </c>
      <c r="C6973" t="s">
        <v>2582</v>
      </c>
      <c r="D6973" t="s">
        <v>17</v>
      </c>
      <c r="E6973" t="s">
        <v>18</v>
      </c>
      <c r="F6973" t="s">
        <v>19</v>
      </c>
      <c r="G6973" t="s">
        <v>20</v>
      </c>
      <c r="J6973" t="s">
        <v>17</v>
      </c>
      <c r="K6973" t="str">
        <f>"1908070125328"</f>
        <v>1908070125328</v>
      </c>
      <c r="L6973" t="str">
        <f>"343405315"</f>
        <v>343405315</v>
      </c>
      <c r="M6973" t="s">
        <v>21</v>
      </c>
      <c r="N6973" s="1">
        <v>43825.923611111109</v>
      </c>
      <c r="O6973" t="s">
        <v>19</v>
      </c>
    </row>
    <row r="6974" spans="1:15" x14ac:dyDescent="0.25">
      <c r="A6974" t="s">
        <v>5079</v>
      </c>
      <c r="B6974" t="s">
        <v>15</v>
      </c>
      <c r="C6974" t="s">
        <v>2582</v>
      </c>
      <c r="D6974" t="s">
        <v>17</v>
      </c>
      <c r="E6974" t="s">
        <v>18</v>
      </c>
      <c r="F6974" t="s">
        <v>19</v>
      </c>
      <c r="G6974" t="s">
        <v>20</v>
      </c>
      <c r="J6974" t="s">
        <v>17</v>
      </c>
      <c r="K6974" t="str">
        <f>"1578155264465"</f>
        <v>1578155264465</v>
      </c>
      <c r="L6974" t="str">
        <f>"61310529"</f>
        <v>61310529</v>
      </c>
      <c r="M6974" t="s">
        <v>21</v>
      </c>
      <c r="N6974" s="1">
        <v>43834.685416666667</v>
      </c>
      <c r="O6974" t="s">
        <v>19</v>
      </c>
    </row>
    <row r="6975" spans="1:15" x14ac:dyDescent="0.25">
      <c r="A6975" t="s">
        <v>5079</v>
      </c>
      <c r="B6975" t="s">
        <v>15</v>
      </c>
      <c r="C6975" t="s">
        <v>2582</v>
      </c>
      <c r="D6975" t="s">
        <v>17</v>
      </c>
      <c r="E6975" t="s">
        <v>18</v>
      </c>
      <c r="F6975" t="s">
        <v>19</v>
      </c>
      <c r="G6975" t="s">
        <v>20</v>
      </c>
      <c r="H6975" t="s">
        <v>5003</v>
      </c>
      <c r="J6975" t="s">
        <v>17</v>
      </c>
      <c r="K6975" t="str">
        <f>"1000001004600"</f>
        <v>1000001004600</v>
      </c>
      <c r="L6975" t="str">
        <f>"763105315"</f>
        <v>763105315</v>
      </c>
      <c r="M6975" t="s">
        <v>21</v>
      </c>
      <c r="N6975" s="1">
        <v>43588.683333333334</v>
      </c>
      <c r="O6975" t="s">
        <v>19</v>
      </c>
    </row>
    <row r="6976" spans="1:15" x14ac:dyDescent="0.25">
      <c r="A6976" t="s">
        <v>5079</v>
      </c>
      <c r="B6976" t="s">
        <v>15</v>
      </c>
      <c r="C6976" t="s">
        <v>2582</v>
      </c>
      <c r="D6976" t="s">
        <v>17</v>
      </c>
      <c r="E6976" t="s">
        <v>18</v>
      </c>
      <c r="F6976" t="s">
        <v>19</v>
      </c>
      <c r="G6976" t="s">
        <v>20</v>
      </c>
      <c r="H6976" t="s">
        <v>5003</v>
      </c>
      <c r="J6976" t="s">
        <v>17</v>
      </c>
      <c r="K6976" t="str">
        <f>"1000001003894"</f>
        <v>1000001003894</v>
      </c>
      <c r="L6976" t="str">
        <f>"763405315"</f>
        <v>763405315</v>
      </c>
      <c r="M6976" t="s">
        <v>21</v>
      </c>
      <c r="N6976" s="1">
        <v>43819.671527777777</v>
      </c>
      <c r="O6976" t="s">
        <v>19</v>
      </c>
    </row>
    <row r="6977" spans="1:15" x14ac:dyDescent="0.25">
      <c r="A6977" t="s">
        <v>5079</v>
      </c>
      <c r="B6977" t="s">
        <v>15</v>
      </c>
      <c r="C6977" t="s">
        <v>2582</v>
      </c>
      <c r="D6977" t="s">
        <v>17</v>
      </c>
      <c r="E6977" t="s">
        <v>18</v>
      </c>
      <c r="F6977" t="s">
        <v>19</v>
      </c>
      <c r="G6977" t="s">
        <v>20</v>
      </c>
      <c r="H6977" t="s">
        <v>5003</v>
      </c>
      <c r="J6977" t="s">
        <v>17</v>
      </c>
      <c r="K6977" t="str">
        <f>"413105315"</f>
        <v>413105315</v>
      </c>
      <c r="L6977" t="str">
        <f>"413105315"</f>
        <v>413105315</v>
      </c>
      <c r="M6977" t="s">
        <v>21</v>
      </c>
      <c r="N6977" s="1">
        <v>43889.656944444447</v>
      </c>
      <c r="O6977" t="s">
        <v>19</v>
      </c>
    </row>
    <row r="6978" spans="1:15" x14ac:dyDescent="0.25">
      <c r="A6978" t="s">
        <v>5080</v>
      </c>
      <c r="B6978" t="s">
        <v>15</v>
      </c>
      <c r="C6978" t="s">
        <v>2582</v>
      </c>
      <c r="D6978" t="s">
        <v>17</v>
      </c>
      <c r="E6978" t="s">
        <v>18</v>
      </c>
      <c r="F6978" t="s">
        <v>19</v>
      </c>
      <c r="G6978" t="s">
        <v>20</v>
      </c>
      <c r="J6978" t="s">
        <v>17</v>
      </c>
      <c r="K6978" t="str">
        <f>"613405282"</f>
        <v>613405282</v>
      </c>
      <c r="L6978" t="str">
        <f>"793405317"</f>
        <v>793405317</v>
      </c>
      <c r="M6978" t="s">
        <v>21</v>
      </c>
      <c r="N6978" s="1">
        <v>43320.715277777781</v>
      </c>
      <c r="O6978" t="s">
        <v>19</v>
      </c>
    </row>
    <row r="6979" spans="1:15" x14ac:dyDescent="0.25">
      <c r="A6979" t="s">
        <v>5080</v>
      </c>
      <c r="B6979" t="s">
        <v>15</v>
      </c>
      <c r="C6979" t="s">
        <v>2582</v>
      </c>
      <c r="D6979" t="s">
        <v>17</v>
      </c>
      <c r="E6979" t="s">
        <v>18</v>
      </c>
      <c r="F6979" t="s">
        <v>19</v>
      </c>
      <c r="G6979" t="s">
        <v>20</v>
      </c>
      <c r="J6979" t="s">
        <v>17</v>
      </c>
      <c r="K6979" t="str">
        <f>"1000001003870"</f>
        <v>1000001003870</v>
      </c>
      <c r="L6979" t="str">
        <f>"763405282"</f>
        <v>763405282</v>
      </c>
      <c r="M6979" t="s">
        <v>84</v>
      </c>
      <c r="N6979" s="1">
        <v>43320.859722222223</v>
      </c>
      <c r="O6979" t="s">
        <v>19</v>
      </c>
    </row>
    <row r="6980" spans="1:15" x14ac:dyDescent="0.25">
      <c r="A6980" t="s">
        <v>5081</v>
      </c>
      <c r="B6980" t="s">
        <v>15</v>
      </c>
      <c r="C6980" t="s">
        <v>2582</v>
      </c>
      <c r="D6980" t="s">
        <v>17</v>
      </c>
      <c r="E6980" t="s">
        <v>18</v>
      </c>
      <c r="F6980" t="s">
        <v>19</v>
      </c>
      <c r="G6980" t="s">
        <v>20</v>
      </c>
      <c r="J6980" t="s">
        <v>17</v>
      </c>
      <c r="K6980" t="str">
        <f>"2020060902074"</f>
        <v>2020060902074</v>
      </c>
      <c r="L6980" t="str">
        <f>"183105329"</f>
        <v>183105329</v>
      </c>
      <c r="M6980" t="s">
        <v>21</v>
      </c>
      <c r="N6980" s="1">
        <v>43621.673611111109</v>
      </c>
      <c r="O6980" t="s">
        <v>19</v>
      </c>
    </row>
    <row r="6981" spans="1:15" x14ac:dyDescent="0.25">
      <c r="A6981" t="s">
        <v>5081</v>
      </c>
      <c r="B6981" t="s">
        <v>15</v>
      </c>
      <c r="C6981" t="s">
        <v>2582</v>
      </c>
      <c r="D6981" t="s">
        <v>17</v>
      </c>
      <c r="E6981" t="s">
        <v>18</v>
      </c>
      <c r="F6981" t="s">
        <v>19</v>
      </c>
      <c r="G6981" t="s">
        <v>20</v>
      </c>
      <c r="J6981" t="s">
        <v>17</v>
      </c>
      <c r="K6981" t="str">
        <f>"1908070125311"</f>
        <v>1908070125311</v>
      </c>
      <c r="L6981" t="str">
        <f>"342505317"</f>
        <v>342505317</v>
      </c>
      <c r="M6981" t="s">
        <v>21</v>
      </c>
      <c r="N6981" s="1">
        <v>43720.950694444444</v>
      </c>
      <c r="O6981" t="s">
        <v>19</v>
      </c>
    </row>
    <row r="6982" spans="1:15" x14ac:dyDescent="0.25">
      <c r="A6982" t="s">
        <v>5081</v>
      </c>
      <c r="B6982" t="s">
        <v>15</v>
      </c>
      <c r="C6982" t="s">
        <v>2582</v>
      </c>
      <c r="D6982" t="s">
        <v>17</v>
      </c>
      <c r="E6982" t="s">
        <v>18</v>
      </c>
      <c r="F6982" t="s">
        <v>19</v>
      </c>
      <c r="G6982" t="s">
        <v>20</v>
      </c>
      <c r="J6982" t="s">
        <v>17</v>
      </c>
      <c r="K6982" t="str">
        <f>"1578155130794"</f>
        <v>1578155130794</v>
      </c>
      <c r="L6982" t="str">
        <f>"61310526"</f>
        <v>61310526</v>
      </c>
      <c r="M6982" t="s">
        <v>21</v>
      </c>
      <c r="N6982" s="1">
        <v>43834.684027777781</v>
      </c>
      <c r="O6982" t="s">
        <v>19</v>
      </c>
    </row>
    <row r="6983" spans="1:15" x14ac:dyDescent="0.25">
      <c r="A6983" t="s">
        <v>5081</v>
      </c>
      <c r="B6983" t="s">
        <v>15</v>
      </c>
      <c r="C6983" t="s">
        <v>2582</v>
      </c>
      <c r="D6983" t="s">
        <v>17</v>
      </c>
      <c r="E6983" t="s">
        <v>18</v>
      </c>
      <c r="F6983" t="s">
        <v>19</v>
      </c>
      <c r="G6983" t="s">
        <v>20</v>
      </c>
      <c r="H6983" t="s">
        <v>5003</v>
      </c>
      <c r="J6983" t="s">
        <v>17</v>
      </c>
      <c r="K6983" t="str">
        <f>"1000001004617"</f>
        <v>1000001004617</v>
      </c>
      <c r="L6983" t="str">
        <f>"763105317"</f>
        <v>763105317</v>
      </c>
      <c r="M6983" t="s">
        <v>21</v>
      </c>
      <c r="N6983" s="1">
        <v>43588.654166666667</v>
      </c>
      <c r="O6983" t="s">
        <v>19</v>
      </c>
    </row>
    <row r="6984" spans="1:15" x14ac:dyDescent="0.25">
      <c r="A6984" t="s">
        <v>5081</v>
      </c>
      <c r="B6984" t="s">
        <v>15</v>
      </c>
      <c r="C6984" t="s">
        <v>2582</v>
      </c>
      <c r="D6984" t="s">
        <v>17</v>
      </c>
      <c r="E6984" t="s">
        <v>18</v>
      </c>
      <c r="F6984" t="s">
        <v>19</v>
      </c>
      <c r="G6984" t="s">
        <v>20</v>
      </c>
      <c r="H6984" t="s">
        <v>5003</v>
      </c>
      <c r="J6984" t="s">
        <v>17</v>
      </c>
      <c r="K6984" t="str">
        <f>"413105317"</f>
        <v>413105317</v>
      </c>
      <c r="L6984" t="str">
        <f>"413105317"</f>
        <v>413105317</v>
      </c>
      <c r="M6984" t="s">
        <v>21</v>
      </c>
      <c r="N6984" s="1">
        <v>43889.656944444447</v>
      </c>
      <c r="O6984" t="s">
        <v>19</v>
      </c>
    </row>
    <row r="6985" spans="1:15" x14ac:dyDescent="0.25">
      <c r="A6985" t="s">
        <v>5082</v>
      </c>
      <c r="B6985" t="s">
        <v>15</v>
      </c>
      <c r="C6985" t="s">
        <v>2582</v>
      </c>
      <c r="D6985" t="s">
        <v>17</v>
      </c>
      <c r="E6985" t="s">
        <v>18</v>
      </c>
      <c r="F6985" t="s">
        <v>19</v>
      </c>
      <c r="G6985" t="s">
        <v>20</v>
      </c>
      <c r="J6985" t="s">
        <v>17</v>
      </c>
      <c r="K6985" t="str">
        <f>"2020030200223"</f>
        <v>2020030200223</v>
      </c>
      <c r="L6985" t="str">
        <f>"183105330"</f>
        <v>183105330</v>
      </c>
      <c r="M6985" t="s">
        <v>21</v>
      </c>
      <c r="N6985" s="1">
        <v>43661.888888888891</v>
      </c>
      <c r="O6985" t="s">
        <v>19</v>
      </c>
    </row>
    <row r="6986" spans="1:15" x14ac:dyDescent="0.25">
      <c r="A6986" t="s">
        <v>5082</v>
      </c>
      <c r="B6986" t="s">
        <v>15</v>
      </c>
      <c r="C6986" t="s">
        <v>2582</v>
      </c>
      <c r="D6986" t="s">
        <v>17</v>
      </c>
      <c r="E6986" t="s">
        <v>18</v>
      </c>
      <c r="F6986" t="s">
        <v>19</v>
      </c>
      <c r="G6986" t="s">
        <v>20</v>
      </c>
      <c r="J6986" t="s">
        <v>17</v>
      </c>
      <c r="K6986" t="str">
        <f>"1908070125458"</f>
        <v>1908070125458</v>
      </c>
      <c r="L6986" t="str">
        <f>"343105318"</f>
        <v>343105318</v>
      </c>
      <c r="M6986" t="s">
        <v>21</v>
      </c>
      <c r="N6986" s="1">
        <v>43668.779166666667</v>
      </c>
      <c r="O6986" t="s">
        <v>19</v>
      </c>
    </row>
    <row r="6987" spans="1:15" x14ac:dyDescent="0.25">
      <c r="A6987" t="s">
        <v>5083</v>
      </c>
      <c r="B6987" t="s">
        <v>15</v>
      </c>
      <c r="C6987" t="s">
        <v>2582</v>
      </c>
      <c r="D6987" t="s">
        <v>17</v>
      </c>
      <c r="E6987" t="s">
        <v>18</v>
      </c>
      <c r="F6987" t="s">
        <v>19</v>
      </c>
      <c r="G6987" t="s">
        <v>20</v>
      </c>
      <c r="J6987" t="s">
        <v>17</v>
      </c>
      <c r="K6987" t="str">
        <f>"613405162"</f>
        <v>613405162</v>
      </c>
      <c r="L6987" t="str">
        <f>"793405315"</f>
        <v>793405315</v>
      </c>
      <c r="M6987" t="s">
        <v>21</v>
      </c>
      <c r="N6987" s="1">
        <v>43320.71597222222</v>
      </c>
      <c r="O6987" t="s">
        <v>19</v>
      </c>
    </row>
    <row r="6988" spans="1:15" x14ac:dyDescent="0.25">
      <c r="A6988" t="s">
        <v>5083</v>
      </c>
      <c r="B6988" t="s">
        <v>15</v>
      </c>
      <c r="C6988" t="s">
        <v>2582</v>
      </c>
      <c r="D6988" t="s">
        <v>17</v>
      </c>
      <c r="E6988" t="s">
        <v>18</v>
      </c>
      <c r="F6988" t="s">
        <v>19</v>
      </c>
      <c r="G6988" t="s">
        <v>20</v>
      </c>
      <c r="H6988" t="s">
        <v>5003</v>
      </c>
      <c r="J6988" t="s">
        <v>17</v>
      </c>
      <c r="K6988" t="str">
        <f>"1908070122099"</f>
        <v>1908070122099</v>
      </c>
      <c r="L6988" t="str">
        <f>"343405162"</f>
        <v>343405162</v>
      </c>
      <c r="M6988" t="s">
        <v>84</v>
      </c>
      <c r="N6988" s="1">
        <v>43396.927083333336</v>
      </c>
      <c r="O6988" t="s">
        <v>19</v>
      </c>
    </row>
    <row r="6989" spans="1:15" x14ac:dyDescent="0.25">
      <c r="A6989" t="s">
        <v>5084</v>
      </c>
      <c r="B6989" t="s">
        <v>15</v>
      </c>
      <c r="C6989" t="s">
        <v>2582</v>
      </c>
      <c r="D6989" t="s">
        <v>17</v>
      </c>
      <c r="E6989" t="s">
        <v>18</v>
      </c>
      <c r="F6989" t="s">
        <v>19</v>
      </c>
      <c r="G6989" t="s">
        <v>20</v>
      </c>
      <c r="J6989" t="s">
        <v>17</v>
      </c>
      <c r="K6989" t="str">
        <f>"2020060902067"</f>
        <v>2020060902067</v>
      </c>
      <c r="L6989" t="str">
        <f>"183105331"</f>
        <v>183105331</v>
      </c>
      <c r="M6989" t="s">
        <v>21</v>
      </c>
      <c r="N6989" s="1">
        <v>43649.64166666667</v>
      </c>
      <c r="O6989" t="s">
        <v>19</v>
      </c>
    </row>
    <row r="6990" spans="1:15" x14ac:dyDescent="0.25">
      <c r="A6990" t="s">
        <v>5084</v>
      </c>
      <c r="B6990" t="s">
        <v>15</v>
      </c>
      <c r="C6990" t="s">
        <v>2582</v>
      </c>
      <c r="D6990" t="s">
        <v>17</v>
      </c>
      <c r="E6990" t="s">
        <v>18</v>
      </c>
      <c r="F6990" t="s">
        <v>19</v>
      </c>
      <c r="G6990" t="s">
        <v>20</v>
      </c>
      <c r="H6990" t="s">
        <v>5003</v>
      </c>
      <c r="J6990" t="s">
        <v>18</v>
      </c>
      <c r="K6990" t="str">
        <f>"1908070122075"</f>
        <v>1908070122075</v>
      </c>
      <c r="L6990" t="str">
        <f>"343405303"</f>
        <v>343405303</v>
      </c>
      <c r="M6990" t="s">
        <v>84</v>
      </c>
      <c r="N6990" s="1">
        <v>43244.652777777781</v>
      </c>
      <c r="O6990" t="s">
        <v>19</v>
      </c>
    </row>
    <row r="6991" spans="1:15" x14ac:dyDescent="0.25">
      <c r="A6991" t="s">
        <v>5085</v>
      </c>
      <c r="B6991" t="s">
        <v>15</v>
      </c>
      <c r="C6991" t="s">
        <v>2582</v>
      </c>
      <c r="D6991" t="s">
        <v>17</v>
      </c>
      <c r="E6991" t="s">
        <v>18</v>
      </c>
      <c r="F6991" t="s">
        <v>19</v>
      </c>
      <c r="G6991" t="s">
        <v>20</v>
      </c>
      <c r="H6991" t="s">
        <v>5003</v>
      </c>
      <c r="J6991" t="s">
        <v>17</v>
      </c>
      <c r="K6991" t="str">
        <f>"343105161"</f>
        <v>343105161</v>
      </c>
      <c r="L6991" t="str">
        <f>"343105161"</f>
        <v>343105161</v>
      </c>
      <c r="M6991" t="s">
        <v>21</v>
      </c>
      <c r="N6991" s="1">
        <v>43231.88958333333</v>
      </c>
      <c r="O6991" t="s">
        <v>19</v>
      </c>
    </row>
    <row r="6992" spans="1:15" x14ac:dyDescent="0.25">
      <c r="A6992" t="s">
        <v>5085</v>
      </c>
      <c r="B6992" t="s">
        <v>15</v>
      </c>
      <c r="C6992" t="s">
        <v>2582</v>
      </c>
      <c r="D6992" t="s">
        <v>17</v>
      </c>
      <c r="E6992" t="s">
        <v>18</v>
      </c>
      <c r="F6992" t="s">
        <v>19</v>
      </c>
      <c r="G6992" t="s">
        <v>20</v>
      </c>
      <c r="H6992" t="s">
        <v>5003</v>
      </c>
      <c r="J6992" t="s">
        <v>17</v>
      </c>
      <c r="K6992" t="str">
        <f>"1000001003863"</f>
        <v>1000001003863</v>
      </c>
      <c r="L6992" t="str">
        <f>"763405161"</f>
        <v>763405161</v>
      </c>
      <c r="M6992" t="s">
        <v>21</v>
      </c>
      <c r="N6992" s="1">
        <v>43320.859027777777</v>
      </c>
      <c r="O6992" t="s">
        <v>19</v>
      </c>
    </row>
    <row r="6993" spans="1:15" x14ac:dyDescent="0.25">
      <c r="A6993" t="s">
        <v>5086</v>
      </c>
      <c r="B6993" t="s">
        <v>15</v>
      </c>
      <c r="C6993" t="s">
        <v>2582</v>
      </c>
      <c r="D6993" t="s">
        <v>17</v>
      </c>
      <c r="E6993" t="s">
        <v>18</v>
      </c>
      <c r="F6993" t="s">
        <v>19</v>
      </c>
      <c r="G6993" t="s">
        <v>20</v>
      </c>
      <c r="J6993" t="s">
        <v>17</v>
      </c>
      <c r="K6993" t="str">
        <f>"1908070126158"</f>
        <v>1908070126158</v>
      </c>
      <c r="L6993" t="str">
        <f>"343105310"</f>
        <v>343105310</v>
      </c>
      <c r="M6993" t="s">
        <v>21</v>
      </c>
      <c r="N6993" s="1">
        <v>43528.760416666664</v>
      </c>
      <c r="O6993" t="s">
        <v>19</v>
      </c>
    </row>
    <row r="6994" spans="1:15" x14ac:dyDescent="0.25">
      <c r="A6994" t="s">
        <v>5086</v>
      </c>
      <c r="B6994" t="s">
        <v>15</v>
      </c>
      <c r="C6994" t="s">
        <v>2582</v>
      </c>
      <c r="D6994" t="s">
        <v>17</v>
      </c>
      <c r="E6994" t="s">
        <v>18</v>
      </c>
      <c r="F6994" t="s">
        <v>19</v>
      </c>
      <c r="G6994" t="s">
        <v>20</v>
      </c>
      <c r="J6994" t="s">
        <v>17</v>
      </c>
      <c r="K6994" t="str">
        <f>"1578155169316"</f>
        <v>1578155169316</v>
      </c>
      <c r="L6994" t="str">
        <f>"61310527"</f>
        <v>61310527</v>
      </c>
      <c r="M6994" t="s">
        <v>21</v>
      </c>
      <c r="N6994" s="1">
        <v>43834.68472222222</v>
      </c>
      <c r="O6994" t="s">
        <v>19</v>
      </c>
    </row>
    <row r="6995" spans="1:15" x14ac:dyDescent="0.25">
      <c r="A6995" t="s">
        <v>5086</v>
      </c>
      <c r="B6995" t="s">
        <v>15</v>
      </c>
      <c r="C6995" t="s">
        <v>2582</v>
      </c>
      <c r="D6995" t="s">
        <v>17</v>
      </c>
      <c r="E6995" t="s">
        <v>18</v>
      </c>
      <c r="F6995" t="s">
        <v>19</v>
      </c>
      <c r="G6995" t="s">
        <v>20</v>
      </c>
      <c r="H6995" t="s">
        <v>5003</v>
      </c>
      <c r="J6995" t="s">
        <v>17</v>
      </c>
      <c r="K6995" t="str">
        <f>"1000001004549"</f>
        <v>1000001004549</v>
      </c>
      <c r="L6995" t="str">
        <f>"793405310"</f>
        <v>793405310</v>
      </c>
      <c r="M6995" t="s">
        <v>21</v>
      </c>
      <c r="N6995" s="1">
        <v>43610.895138888889</v>
      </c>
      <c r="O6995" t="s">
        <v>19</v>
      </c>
    </row>
    <row r="6996" spans="1:15" x14ac:dyDescent="0.25">
      <c r="A6996" t="s">
        <v>5087</v>
      </c>
      <c r="B6996" t="s">
        <v>15</v>
      </c>
      <c r="C6996" t="s">
        <v>2582</v>
      </c>
      <c r="D6996" t="s">
        <v>17</v>
      </c>
      <c r="E6996" t="s">
        <v>18</v>
      </c>
      <c r="F6996" t="s">
        <v>19</v>
      </c>
      <c r="G6996" t="s">
        <v>20</v>
      </c>
      <c r="J6996" t="s">
        <v>17</v>
      </c>
      <c r="K6996" t="str">
        <f>"613405319"</f>
        <v>613405319</v>
      </c>
      <c r="L6996" t="str">
        <f>"613405319"</f>
        <v>613405319</v>
      </c>
      <c r="M6996" t="s">
        <v>21</v>
      </c>
      <c r="N6996" s="1">
        <v>44253.671527777777</v>
      </c>
      <c r="O6996" t="s">
        <v>19</v>
      </c>
    </row>
    <row r="6997" spans="1:15" x14ac:dyDescent="0.25">
      <c r="A6997" t="s">
        <v>5087</v>
      </c>
      <c r="B6997" t="s">
        <v>15</v>
      </c>
      <c r="C6997" t="s">
        <v>2582</v>
      </c>
      <c r="D6997" t="s">
        <v>17</v>
      </c>
      <c r="E6997" t="s">
        <v>18</v>
      </c>
      <c r="F6997" t="s">
        <v>19</v>
      </c>
      <c r="G6997" t="s">
        <v>20</v>
      </c>
      <c r="H6997" t="s">
        <v>5003</v>
      </c>
      <c r="J6997" t="s">
        <v>17</v>
      </c>
      <c r="K6997" t="str">
        <f>"763105319"</f>
        <v>763105319</v>
      </c>
      <c r="L6997" t="str">
        <f>"793405319"</f>
        <v>793405319</v>
      </c>
      <c r="M6997" t="s">
        <v>21</v>
      </c>
      <c r="N6997" s="1">
        <v>43862.67083333333</v>
      </c>
      <c r="O6997" t="s">
        <v>19</v>
      </c>
    </row>
    <row r="6998" spans="1:15" x14ac:dyDescent="0.25">
      <c r="A6998" t="s">
        <v>5088</v>
      </c>
      <c r="B6998" t="s">
        <v>15</v>
      </c>
      <c r="C6998" t="s">
        <v>2582</v>
      </c>
      <c r="D6998" t="s">
        <v>17</v>
      </c>
      <c r="E6998" t="s">
        <v>18</v>
      </c>
      <c r="F6998" t="s">
        <v>19</v>
      </c>
      <c r="G6998" t="s">
        <v>20</v>
      </c>
      <c r="J6998" t="s">
        <v>17</v>
      </c>
      <c r="K6998" t="str">
        <f>"763105320"</f>
        <v>763105320</v>
      </c>
      <c r="L6998" t="str">
        <f>"763105320"</f>
        <v>763105320</v>
      </c>
      <c r="M6998" t="s">
        <v>21</v>
      </c>
      <c r="N6998" s="1">
        <v>42872.839583333334</v>
      </c>
      <c r="O6998" t="s">
        <v>19</v>
      </c>
    </row>
    <row r="6999" spans="1:15" x14ac:dyDescent="0.25">
      <c r="A6999" t="s">
        <v>5088</v>
      </c>
      <c r="B6999" t="s">
        <v>15</v>
      </c>
      <c r="C6999" t="s">
        <v>2582</v>
      </c>
      <c r="D6999" t="s">
        <v>17</v>
      </c>
      <c r="E6999" t="s">
        <v>18</v>
      </c>
      <c r="F6999" t="s">
        <v>19</v>
      </c>
      <c r="G6999" t="s">
        <v>20</v>
      </c>
      <c r="J6999" t="s">
        <v>17</v>
      </c>
      <c r="K6999" t="str">
        <f>"2020030200230"</f>
        <v>2020030200230</v>
      </c>
      <c r="L6999" t="str">
        <f>"183105320"</f>
        <v>183105320</v>
      </c>
      <c r="M6999" t="s">
        <v>21</v>
      </c>
      <c r="N6999" s="1">
        <v>43649.642361111109</v>
      </c>
      <c r="O6999" t="s">
        <v>19</v>
      </c>
    </row>
    <row r="7000" spans="1:15" x14ac:dyDescent="0.25">
      <c r="A7000" t="s">
        <v>5088</v>
      </c>
      <c r="B7000" t="s">
        <v>15</v>
      </c>
      <c r="C7000" t="s">
        <v>2582</v>
      </c>
      <c r="D7000" t="s">
        <v>17</v>
      </c>
      <c r="E7000" t="s">
        <v>18</v>
      </c>
      <c r="F7000" t="s">
        <v>19</v>
      </c>
      <c r="G7000" t="s">
        <v>20</v>
      </c>
      <c r="J7000" t="s">
        <v>17</v>
      </c>
      <c r="K7000" t="str">
        <f>"613405320"</f>
        <v>613405320</v>
      </c>
      <c r="L7000" t="str">
        <f>"613405320"</f>
        <v>613405320</v>
      </c>
      <c r="M7000" t="s">
        <v>21</v>
      </c>
      <c r="N7000" s="1">
        <v>44253.672222222223</v>
      </c>
      <c r="O7000" t="s">
        <v>19</v>
      </c>
    </row>
    <row r="7001" spans="1:15" x14ac:dyDescent="0.25">
      <c r="A7001" t="s">
        <v>5088</v>
      </c>
      <c r="B7001" t="s">
        <v>15</v>
      </c>
      <c r="C7001" t="s">
        <v>2582</v>
      </c>
      <c r="D7001" t="s">
        <v>17</v>
      </c>
      <c r="E7001" t="s">
        <v>18</v>
      </c>
      <c r="F7001" t="s">
        <v>19</v>
      </c>
      <c r="G7001" t="s">
        <v>20</v>
      </c>
      <c r="H7001" t="s">
        <v>5003</v>
      </c>
      <c r="J7001" t="s">
        <v>17</v>
      </c>
      <c r="K7001" t="str">
        <f>"1000001004501"</f>
        <v>1000001004501</v>
      </c>
      <c r="L7001" t="str">
        <f>"793405320"</f>
        <v>793405320</v>
      </c>
      <c r="M7001" t="s">
        <v>21</v>
      </c>
      <c r="N7001" s="1">
        <v>43476.956944444442</v>
      </c>
      <c r="O7001" t="s">
        <v>19</v>
      </c>
    </row>
    <row r="7002" spans="1:15" x14ac:dyDescent="0.25">
      <c r="A7002" t="s">
        <v>5088</v>
      </c>
      <c r="B7002" t="s">
        <v>15</v>
      </c>
      <c r="C7002" t="s">
        <v>2582</v>
      </c>
      <c r="D7002" t="s">
        <v>17</v>
      </c>
      <c r="E7002" t="s">
        <v>18</v>
      </c>
      <c r="F7002" t="s">
        <v>19</v>
      </c>
      <c r="G7002" t="s">
        <v>20</v>
      </c>
      <c r="H7002" t="s">
        <v>5003</v>
      </c>
      <c r="J7002" t="s">
        <v>17</v>
      </c>
      <c r="K7002" t="str">
        <f>"1908070128374"</f>
        <v>1908070128374</v>
      </c>
      <c r="L7002" t="str">
        <f>"343105320"</f>
        <v>343105320</v>
      </c>
      <c r="M7002" t="s">
        <v>21</v>
      </c>
      <c r="N7002" s="1">
        <v>43502.787499999999</v>
      </c>
      <c r="O7002" t="s">
        <v>19</v>
      </c>
    </row>
    <row r="7003" spans="1:15" x14ac:dyDescent="0.25">
      <c r="A7003" t="s">
        <v>5088</v>
      </c>
      <c r="B7003" t="s">
        <v>15</v>
      </c>
      <c r="C7003" t="s">
        <v>2582</v>
      </c>
      <c r="D7003" t="s">
        <v>17</v>
      </c>
      <c r="E7003" t="s">
        <v>18</v>
      </c>
      <c r="F7003" t="s">
        <v>19</v>
      </c>
      <c r="G7003" t="s">
        <v>20</v>
      </c>
      <c r="H7003" t="s">
        <v>5003</v>
      </c>
      <c r="J7003" t="s">
        <v>17</v>
      </c>
      <c r="K7003" t="str">
        <f>"1908070124185"</f>
        <v>1908070124185</v>
      </c>
      <c r="L7003" t="str">
        <f>"343107259"</f>
        <v>343107259</v>
      </c>
      <c r="M7003" t="s">
        <v>21</v>
      </c>
      <c r="N7003" s="1">
        <v>43668.751388888886</v>
      </c>
      <c r="O7003" t="s">
        <v>19</v>
      </c>
    </row>
    <row r="7004" spans="1:15" x14ac:dyDescent="0.25">
      <c r="A7004" t="s">
        <v>5089</v>
      </c>
      <c r="B7004" t="s">
        <v>15</v>
      </c>
      <c r="C7004" t="s">
        <v>2582</v>
      </c>
      <c r="D7004" t="s">
        <v>17</v>
      </c>
      <c r="E7004" t="s">
        <v>18</v>
      </c>
      <c r="F7004" t="s">
        <v>19</v>
      </c>
      <c r="G7004" t="s">
        <v>20</v>
      </c>
      <c r="J7004" t="s">
        <v>17</v>
      </c>
      <c r="K7004" t="str">
        <f>"683407601"</f>
        <v>683407601</v>
      </c>
      <c r="L7004" t="str">
        <f>"683407601"</f>
        <v>683407601</v>
      </c>
      <c r="M7004" t="s">
        <v>21</v>
      </c>
      <c r="N7004" s="1">
        <v>43819.713888888888</v>
      </c>
      <c r="O7004" t="s">
        <v>19</v>
      </c>
    </row>
    <row r="7005" spans="1:15" x14ac:dyDescent="0.25">
      <c r="A7005" t="s">
        <v>5089</v>
      </c>
      <c r="B7005" t="s">
        <v>15</v>
      </c>
      <c r="C7005" t="s">
        <v>2582</v>
      </c>
      <c r="D7005" t="s">
        <v>17</v>
      </c>
      <c r="E7005" t="s">
        <v>18</v>
      </c>
      <c r="F7005" t="s">
        <v>19</v>
      </c>
      <c r="G7005" t="s">
        <v>20</v>
      </c>
      <c r="J7005" t="s">
        <v>17</v>
      </c>
      <c r="K7005" t="str">
        <f>"413107601"</f>
        <v>413107601</v>
      </c>
      <c r="L7005" t="str">
        <f>"413107601"</f>
        <v>413107601</v>
      </c>
      <c r="M7005" t="s">
        <v>21</v>
      </c>
      <c r="N7005" s="1">
        <v>43889.660416666666</v>
      </c>
      <c r="O7005" t="s">
        <v>19</v>
      </c>
    </row>
    <row r="7006" spans="1:15" x14ac:dyDescent="0.25">
      <c r="A7006" t="s">
        <v>5089</v>
      </c>
      <c r="B7006" t="s">
        <v>15</v>
      </c>
      <c r="C7006" t="s">
        <v>2582</v>
      </c>
      <c r="D7006" t="s">
        <v>17</v>
      </c>
      <c r="E7006" t="s">
        <v>18</v>
      </c>
      <c r="F7006" t="s">
        <v>19</v>
      </c>
      <c r="G7006" t="s">
        <v>20</v>
      </c>
      <c r="J7006" t="s">
        <v>18</v>
      </c>
      <c r="K7006" t="str">
        <f>"1908070127117"</f>
        <v>1908070127117</v>
      </c>
      <c r="L7006" t="str">
        <f>"343107601"</f>
        <v>343107601</v>
      </c>
      <c r="M7006" t="s">
        <v>21</v>
      </c>
      <c r="N7006" s="1">
        <v>43969.759722222225</v>
      </c>
      <c r="O7006" t="s">
        <v>19</v>
      </c>
    </row>
    <row r="7007" spans="1:15" x14ac:dyDescent="0.25">
      <c r="A7007" t="s">
        <v>5089</v>
      </c>
      <c r="B7007" t="s">
        <v>15</v>
      </c>
      <c r="C7007" t="s">
        <v>2582</v>
      </c>
      <c r="D7007" t="s">
        <v>17</v>
      </c>
      <c r="E7007" t="s">
        <v>18</v>
      </c>
      <c r="F7007" t="s">
        <v>19</v>
      </c>
      <c r="G7007" t="s">
        <v>20</v>
      </c>
      <c r="J7007" t="s">
        <v>17</v>
      </c>
      <c r="K7007" t="str">
        <f>"613407601"</f>
        <v>613407601</v>
      </c>
      <c r="L7007" t="str">
        <f>"613407601"</f>
        <v>613407601</v>
      </c>
      <c r="M7007" t="s">
        <v>21</v>
      </c>
      <c r="N7007" s="1">
        <v>44253.681944444441</v>
      </c>
      <c r="O7007" t="s">
        <v>19</v>
      </c>
    </row>
    <row r="7008" spans="1:15" x14ac:dyDescent="0.25">
      <c r="A7008" t="s">
        <v>5089</v>
      </c>
      <c r="B7008" t="s">
        <v>15</v>
      </c>
      <c r="C7008" t="s">
        <v>2582</v>
      </c>
      <c r="D7008" t="s">
        <v>17</v>
      </c>
      <c r="E7008" t="s">
        <v>18</v>
      </c>
      <c r="F7008" t="s">
        <v>19</v>
      </c>
      <c r="G7008" t="s">
        <v>20</v>
      </c>
      <c r="J7008" t="s">
        <v>17</v>
      </c>
      <c r="K7008" t="str">
        <f>"393407601"</f>
        <v>393407601</v>
      </c>
      <c r="L7008" t="str">
        <f>"393407601"</f>
        <v>393407601</v>
      </c>
      <c r="M7008" t="s">
        <v>21</v>
      </c>
      <c r="N7008" s="1">
        <v>44351.875</v>
      </c>
      <c r="O7008" t="s">
        <v>19</v>
      </c>
    </row>
    <row r="7009" spans="1:15" x14ac:dyDescent="0.25">
      <c r="A7009" t="s">
        <v>5089</v>
      </c>
      <c r="B7009" t="s">
        <v>15</v>
      </c>
      <c r="C7009" t="s">
        <v>2582</v>
      </c>
      <c r="D7009" t="s">
        <v>17</v>
      </c>
      <c r="E7009" t="s">
        <v>18</v>
      </c>
      <c r="F7009" t="s">
        <v>19</v>
      </c>
      <c r="G7009" t="s">
        <v>20</v>
      </c>
      <c r="J7009" t="s">
        <v>17</v>
      </c>
      <c r="K7009" t="str">
        <f>"133107601"</f>
        <v>133107601</v>
      </c>
      <c r="L7009" t="str">
        <f>"133107601"</f>
        <v>133107601</v>
      </c>
      <c r="M7009" t="s">
        <v>21</v>
      </c>
      <c r="N7009" s="1">
        <v>44414.946527777778</v>
      </c>
      <c r="O7009" t="s">
        <v>19</v>
      </c>
    </row>
    <row r="7010" spans="1:15" x14ac:dyDescent="0.25">
      <c r="A7010" t="s">
        <v>5089</v>
      </c>
      <c r="B7010" t="s">
        <v>15</v>
      </c>
      <c r="C7010" t="s">
        <v>2582</v>
      </c>
      <c r="D7010" t="s">
        <v>17</v>
      </c>
      <c r="E7010" t="s">
        <v>18</v>
      </c>
      <c r="F7010" t="s">
        <v>19</v>
      </c>
      <c r="G7010" t="s">
        <v>20</v>
      </c>
      <c r="H7010" t="s">
        <v>5003</v>
      </c>
      <c r="J7010" t="s">
        <v>17</v>
      </c>
      <c r="K7010" t="str">
        <f>"1908070124161"</f>
        <v>1908070124161</v>
      </c>
      <c r="L7010" t="str">
        <f>"343107257"</f>
        <v>343107257</v>
      </c>
      <c r="M7010" t="s">
        <v>21</v>
      </c>
      <c r="N7010" s="1">
        <v>43257.865972222222</v>
      </c>
      <c r="O7010" t="s">
        <v>19</v>
      </c>
    </row>
    <row r="7011" spans="1:15" x14ac:dyDescent="0.25">
      <c r="A7011" t="s">
        <v>5090</v>
      </c>
      <c r="B7011" t="s">
        <v>15</v>
      </c>
      <c r="C7011" t="s">
        <v>2582</v>
      </c>
      <c r="D7011" t="s">
        <v>17</v>
      </c>
      <c r="E7011" t="s">
        <v>18</v>
      </c>
      <c r="F7011" t="s">
        <v>19</v>
      </c>
      <c r="G7011" t="s">
        <v>20</v>
      </c>
      <c r="J7011" t="s">
        <v>17</v>
      </c>
      <c r="K7011" t="str">
        <f>"763107602"</f>
        <v>763107602</v>
      </c>
      <c r="L7011" t="str">
        <f>"763107602"</f>
        <v>763107602</v>
      </c>
      <c r="M7011" t="s">
        <v>21</v>
      </c>
      <c r="N7011" s="1">
        <v>42872.839583333334</v>
      </c>
      <c r="O7011" t="s">
        <v>19</v>
      </c>
    </row>
    <row r="7012" spans="1:15" x14ac:dyDescent="0.25">
      <c r="A7012" t="s">
        <v>5090</v>
      </c>
      <c r="B7012" t="s">
        <v>15</v>
      </c>
      <c r="C7012" t="s">
        <v>2582</v>
      </c>
      <c r="D7012" t="s">
        <v>17</v>
      </c>
      <c r="E7012" t="s">
        <v>18</v>
      </c>
      <c r="F7012" t="s">
        <v>19</v>
      </c>
      <c r="G7012" t="s">
        <v>20</v>
      </c>
      <c r="J7012" t="s">
        <v>17</v>
      </c>
      <c r="K7012" t="str">
        <f>"46051480"</f>
        <v>46051480</v>
      </c>
      <c r="L7012" t="str">
        <f>"46051480"</f>
        <v>46051480</v>
      </c>
      <c r="M7012" t="s">
        <v>75</v>
      </c>
      <c r="N7012" s="1">
        <v>42872.839583333334</v>
      </c>
      <c r="O7012" t="s">
        <v>19</v>
      </c>
    </row>
    <row r="7013" spans="1:15" x14ac:dyDescent="0.25">
      <c r="A7013" t="s">
        <v>5090</v>
      </c>
      <c r="B7013" t="s">
        <v>15</v>
      </c>
      <c r="C7013" t="s">
        <v>2582</v>
      </c>
      <c r="D7013" t="s">
        <v>17</v>
      </c>
      <c r="E7013" t="s">
        <v>18</v>
      </c>
      <c r="F7013" t="s">
        <v>19</v>
      </c>
      <c r="G7013" t="s">
        <v>20</v>
      </c>
      <c r="H7013" t="s">
        <v>5003</v>
      </c>
      <c r="J7013" t="s">
        <v>17</v>
      </c>
      <c r="K7013" t="str">
        <f>"413107602"</f>
        <v>413107602</v>
      </c>
      <c r="L7013" t="str">
        <f>"413107602"</f>
        <v>413107602</v>
      </c>
      <c r="M7013" t="s">
        <v>21</v>
      </c>
      <c r="N7013" s="1">
        <v>43889.658333333333</v>
      </c>
      <c r="O7013" t="s">
        <v>19</v>
      </c>
    </row>
    <row r="7014" spans="1:15" x14ac:dyDescent="0.25">
      <c r="A7014" t="s">
        <v>5091</v>
      </c>
      <c r="B7014" t="s">
        <v>15</v>
      </c>
      <c r="C7014" t="s">
        <v>2582</v>
      </c>
      <c r="D7014" t="s">
        <v>17</v>
      </c>
      <c r="E7014" t="s">
        <v>18</v>
      </c>
      <c r="F7014" t="s">
        <v>19</v>
      </c>
      <c r="G7014" t="s">
        <v>20</v>
      </c>
      <c r="J7014" t="s">
        <v>17</v>
      </c>
      <c r="K7014" t="str">
        <f>"763107603"</f>
        <v>763107603</v>
      </c>
      <c r="L7014" t="str">
        <f>"763107603"</f>
        <v>763107603</v>
      </c>
      <c r="M7014" t="s">
        <v>21</v>
      </c>
      <c r="N7014" s="1">
        <v>42872.839583333334</v>
      </c>
      <c r="O7014" t="s">
        <v>19</v>
      </c>
    </row>
    <row r="7015" spans="1:15" x14ac:dyDescent="0.25">
      <c r="A7015" t="s">
        <v>5091</v>
      </c>
      <c r="B7015" t="s">
        <v>15</v>
      </c>
      <c r="C7015" t="s">
        <v>2582</v>
      </c>
      <c r="D7015" t="s">
        <v>17</v>
      </c>
      <c r="E7015" t="s">
        <v>18</v>
      </c>
      <c r="F7015" t="s">
        <v>19</v>
      </c>
      <c r="G7015" t="s">
        <v>20</v>
      </c>
      <c r="H7015" t="s">
        <v>5003</v>
      </c>
      <c r="J7015" t="s">
        <v>17</v>
      </c>
      <c r="K7015" t="str">
        <f>"1908070127131"</f>
        <v>1908070127131</v>
      </c>
      <c r="L7015" t="str">
        <f>"343107603"</f>
        <v>343107603</v>
      </c>
      <c r="M7015" t="s">
        <v>21</v>
      </c>
      <c r="N7015" s="1">
        <v>43889.658333333333</v>
      </c>
      <c r="O7015" t="s">
        <v>19</v>
      </c>
    </row>
    <row r="7016" spans="1:15" x14ac:dyDescent="0.25">
      <c r="A7016" t="s">
        <v>5092</v>
      </c>
      <c r="B7016" t="s">
        <v>15</v>
      </c>
      <c r="C7016" t="s">
        <v>2582</v>
      </c>
      <c r="D7016" t="s">
        <v>17</v>
      </c>
      <c r="E7016" t="s">
        <v>18</v>
      </c>
      <c r="F7016" t="s">
        <v>19</v>
      </c>
      <c r="G7016" t="s">
        <v>20</v>
      </c>
      <c r="J7016" t="s">
        <v>17</v>
      </c>
      <c r="K7016" t="str">
        <f>"793407605"</f>
        <v>793407605</v>
      </c>
      <c r="L7016" t="str">
        <f>"793407605"</f>
        <v>793407605</v>
      </c>
      <c r="M7016" t="s">
        <v>21</v>
      </c>
      <c r="N7016" s="1">
        <v>43066.76666666667</v>
      </c>
      <c r="O7016" t="s">
        <v>19</v>
      </c>
    </row>
    <row r="7017" spans="1:15" x14ac:dyDescent="0.25">
      <c r="A7017" t="s">
        <v>5092</v>
      </c>
      <c r="B7017" t="s">
        <v>15</v>
      </c>
      <c r="C7017" t="s">
        <v>2582</v>
      </c>
      <c r="D7017" t="s">
        <v>17</v>
      </c>
      <c r="E7017" t="s">
        <v>18</v>
      </c>
      <c r="F7017" t="s">
        <v>19</v>
      </c>
      <c r="G7017" t="s">
        <v>20</v>
      </c>
      <c r="J7017" t="s">
        <v>17</v>
      </c>
      <c r="K7017" t="str">
        <f>"133107605"</f>
        <v>133107605</v>
      </c>
      <c r="L7017" t="str">
        <f>"133107605"</f>
        <v>133107605</v>
      </c>
      <c r="M7017" t="s">
        <v>21</v>
      </c>
      <c r="N7017" s="1">
        <v>44414.946527777778</v>
      </c>
      <c r="O7017" t="s">
        <v>19</v>
      </c>
    </row>
    <row r="7018" spans="1:15" x14ac:dyDescent="0.25">
      <c r="A7018" t="s">
        <v>5093</v>
      </c>
      <c r="B7018" t="s">
        <v>15</v>
      </c>
      <c r="C7018" t="s">
        <v>2582</v>
      </c>
      <c r="D7018" t="s">
        <v>17</v>
      </c>
      <c r="E7018" t="s">
        <v>18</v>
      </c>
      <c r="F7018" t="s">
        <v>19</v>
      </c>
      <c r="G7018" t="s">
        <v>20</v>
      </c>
      <c r="J7018" t="s">
        <v>17</v>
      </c>
      <c r="K7018" t="str">
        <f>"793407606"</f>
        <v>793407606</v>
      </c>
      <c r="L7018" t="str">
        <f>"793407606"</f>
        <v>793407606</v>
      </c>
      <c r="M7018" t="s">
        <v>21</v>
      </c>
      <c r="N7018" s="1">
        <v>43502.786111111112</v>
      </c>
      <c r="O7018" t="s">
        <v>19</v>
      </c>
    </row>
    <row r="7019" spans="1:15" x14ac:dyDescent="0.25">
      <c r="A7019" t="s">
        <v>5094</v>
      </c>
      <c r="B7019" t="s">
        <v>15</v>
      </c>
      <c r="C7019" t="s">
        <v>2582</v>
      </c>
      <c r="D7019" t="s">
        <v>17</v>
      </c>
      <c r="E7019" t="s">
        <v>18</v>
      </c>
      <c r="F7019" t="s">
        <v>19</v>
      </c>
      <c r="G7019" t="s">
        <v>20</v>
      </c>
      <c r="H7019" t="s">
        <v>5028</v>
      </c>
      <c r="J7019" t="s">
        <v>17</v>
      </c>
      <c r="K7019" t="str">
        <f>"793407607"</f>
        <v>793407607</v>
      </c>
      <c r="L7019" t="str">
        <f>"793407607"</f>
        <v>793407607</v>
      </c>
      <c r="M7019" t="s">
        <v>21</v>
      </c>
      <c r="N7019" s="1">
        <v>43066.767361111109</v>
      </c>
      <c r="O7019" t="s">
        <v>19</v>
      </c>
    </row>
    <row r="7020" spans="1:15" x14ac:dyDescent="0.25">
      <c r="A7020" t="s">
        <v>5095</v>
      </c>
      <c r="B7020" t="s">
        <v>15</v>
      </c>
      <c r="C7020" t="s">
        <v>2582</v>
      </c>
      <c r="D7020" t="s">
        <v>17</v>
      </c>
      <c r="E7020" t="s">
        <v>18</v>
      </c>
      <c r="F7020" t="s">
        <v>19</v>
      </c>
      <c r="G7020" t="s">
        <v>20</v>
      </c>
      <c r="H7020" t="s">
        <v>5003</v>
      </c>
      <c r="J7020" t="s">
        <v>17</v>
      </c>
      <c r="K7020" t="str">
        <f>"793407608"</f>
        <v>793407608</v>
      </c>
      <c r="L7020" t="str">
        <f>"793407608"</f>
        <v>793407608</v>
      </c>
      <c r="M7020" t="s">
        <v>21</v>
      </c>
      <c r="N7020" s="1">
        <v>42872.849305555559</v>
      </c>
      <c r="O7020" t="s">
        <v>19</v>
      </c>
    </row>
    <row r="7021" spans="1:15" x14ac:dyDescent="0.25">
      <c r="A7021" t="s">
        <v>5096</v>
      </c>
      <c r="B7021" t="s">
        <v>15</v>
      </c>
      <c r="C7021" t="s">
        <v>2582</v>
      </c>
      <c r="D7021" t="s">
        <v>17</v>
      </c>
      <c r="E7021" t="s">
        <v>18</v>
      </c>
      <c r="F7021" t="s">
        <v>19</v>
      </c>
      <c r="G7021" t="s">
        <v>20</v>
      </c>
      <c r="J7021" t="s">
        <v>17</v>
      </c>
      <c r="K7021" t="str">
        <f>"32310716"</f>
        <v>32310716</v>
      </c>
      <c r="L7021" t="str">
        <f>"32310716"</f>
        <v>32310716</v>
      </c>
      <c r="M7021" t="s">
        <v>84</v>
      </c>
      <c r="N7021" s="1">
        <v>43502.788194444445</v>
      </c>
      <c r="O7021" t="s">
        <v>19</v>
      </c>
    </row>
    <row r="7022" spans="1:15" x14ac:dyDescent="0.25">
      <c r="A7022" t="s">
        <v>5096</v>
      </c>
      <c r="B7022" t="s">
        <v>15</v>
      </c>
      <c r="C7022" t="s">
        <v>2582</v>
      </c>
      <c r="D7022" t="s">
        <v>17</v>
      </c>
      <c r="E7022" t="s">
        <v>18</v>
      </c>
      <c r="F7022" t="s">
        <v>19</v>
      </c>
      <c r="G7022" t="s">
        <v>20</v>
      </c>
      <c r="J7022" t="s">
        <v>17</v>
      </c>
      <c r="K7022" t="str">
        <f>"1908070124222"</f>
        <v>1908070124222</v>
      </c>
      <c r="L7022" t="str">
        <f>"34420716"</f>
        <v>34420716</v>
      </c>
      <c r="M7022" t="s">
        <v>21</v>
      </c>
      <c r="N7022" s="1">
        <v>43502.88958333333</v>
      </c>
      <c r="O7022" t="s">
        <v>19</v>
      </c>
    </row>
    <row r="7023" spans="1:15" x14ac:dyDescent="0.25">
      <c r="A7023" t="s">
        <v>5096</v>
      </c>
      <c r="B7023" t="s">
        <v>15</v>
      </c>
      <c r="C7023" t="s">
        <v>2582</v>
      </c>
      <c r="D7023" t="s">
        <v>17</v>
      </c>
      <c r="E7023" t="s">
        <v>18</v>
      </c>
      <c r="F7023" t="s">
        <v>19</v>
      </c>
      <c r="G7023" t="s">
        <v>20</v>
      </c>
      <c r="H7023" t="s">
        <v>5003</v>
      </c>
      <c r="J7023" t="s">
        <v>18</v>
      </c>
      <c r="K7023" t="str">
        <f>"76340716"</f>
        <v>76340716</v>
      </c>
      <c r="L7023" t="str">
        <f>"76340716"</f>
        <v>76340716</v>
      </c>
      <c r="M7023" t="s">
        <v>21</v>
      </c>
      <c r="N7023" s="1">
        <v>43320.843055555553</v>
      </c>
      <c r="O7023" t="s">
        <v>19</v>
      </c>
    </row>
    <row r="7024" spans="1:15" x14ac:dyDescent="0.25">
      <c r="A7024" t="s">
        <v>5096</v>
      </c>
      <c r="B7024" t="s">
        <v>15</v>
      </c>
      <c r="C7024" t="s">
        <v>2582</v>
      </c>
      <c r="D7024" t="s">
        <v>17</v>
      </c>
      <c r="E7024" t="s">
        <v>18</v>
      </c>
      <c r="F7024" t="s">
        <v>19</v>
      </c>
      <c r="G7024" t="s">
        <v>20</v>
      </c>
      <c r="H7024" t="s">
        <v>5003</v>
      </c>
      <c r="J7024" t="s">
        <v>17</v>
      </c>
      <c r="K7024" t="str">
        <f>"79340716"</f>
        <v>79340716</v>
      </c>
      <c r="L7024" t="str">
        <f>"79340716"</f>
        <v>79340716</v>
      </c>
      <c r="M7024" t="s">
        <v>21</v>
      </c>
      <c r="N7024" s="1">
        <v>43367.785416666666</v>
      </c>
      <c r="O7024" t="s">
        <v>19</v>
      </c>
    </row>
    <row r="7025" spans="1:15" x14ac:dyDescent="0.25">
      <c r="A7025" t="s">
        <v>5097</v>
      </c>
      <c r="B7025" t="s">
        <v>15</v>
      </c>
      <c r="C7025" t="s">
        <v>2582</v>
      </c>
      <c r="D7025" t="s">
        <v>17</v>
      </c>
      <c r="E7025" t="s">
        <v>18</v>
      </c>
      <c r="F7025" t="s">
        <v>19</v>
      </c>
      <c r="G7025" t="s">
        <v>20</v>
      </c>
      <c r="J7025" t="s">
        <v>17</v>
      </c>
      <c r="K7025" t="str">
        <f>"1908070124253"</f>
        <v>1908070124253</v>
      </c>
      <c r="L7025" t="str">
        <f>"34290717"</f>
        <v>34290717</v>
      </c>
      <c r="M7025" t="s">
        <v>21</v>
      </c>
      <c r="N7025" s="1">
        <v>42872.839583333334</v>
      </c>
      <c r="O7025" t="s">
        <v>19</v>
      </c>
    </row>
    <row r="7026" spans="1:15" x14ac:dyDescent="0.25">
      <c r="A7026" t="s">
        <v>5097</v>
      </c>
      <c r="B7026" t="s">
        <v>15</v>
      </c>
      <c r="C7026" t="s">
        <v>2582</v>
      </c>
      <c r="D7026" t="s">
        <v>17</v>
      </c>
      <c r="E7026" t="s">
        <v>18</v>
      </c>
      <c r="F7026" t="s">
        <v>19</v>
      </c>
      <c r="G7026" t="s">
        <v>20</v>
      </c>
      <c r="J7026" t="s">
        <v>17</v>
      </c>
      <c r="K7026" t="str">
        <f>"13310717"</f>
        <v>13310717</v>
      </c>
      <c r="L7026" t="str">
        <f>"13310717"</f>
        <v>13310717</v>
      </c>
      <c r="M7026" t="s">
        <v>21</v>
      </c>
      <c r="N7026" s="1">
        <v>44414.945833333331</v>
      </c>
      <c r="O7026" t="s">
        <v>19</v>
      </c>
    </row>
    <row r="7027" spans="1:15" x14ac:dyDescent="0.25">
      <c r="A7027" t="s">
        <v>5097</v>
      </c>
      <c r="B7027" t="s">
        <v>15</v>
      </c>
      <c r="C7027" t="s">
        <v>2582</v>
      </c>
      <c r="D7027" t="s">
        <v>17</v>
      </c>
      <c r="E7027" t="s">
        <v>18</v>
      </c>
      <c r="F7027" t="s">
        <v>19</v>
      </c>
      <c r="G7027" t="s">
        <v>20</v>
      </c>
      <c r="H7027" t="s">
        <v>5003</v>
      </c>
      <c r="J7027" t="s">
        <v>17</v>
      </c>
      <c r="K7027" t="str">
        <f>"1908070122303"</f>
        <v>1908070122303</v>
      </c>
      <c r="L7027" t="str">
        <f>"1908070123607"</f>
        <v>1908070123607</v>
      </c>
      <c r="M7027" t="s">
        <v>21</v>
      </c>
      <c r="N7027" s="1">
        <v>42872.839583333334</v>
      </c>
      <c r="O7027" t="s">
        <v>19</v>
      </c>
    </row>
    <row r="7028" spans="1:15" x14ac:dyDescent="0.25">
      <c r="A7028" t="s">
        <v>5097</v>
      </c>
      <c r="B7028" t="s">
        <v>15</v>
      </c>
      <c r="C7028" t="s">
        <v>2582</v>
      </c>
      <c r="D7028" t="s">
        <v>17</v>
      </c>
      <c r="E7028" t="s">
        <v>18</v>
      </c>
      <c r="F7028" t="s">
        <v>19</v>
      </c>
      <c r="G7028" t="s">
        <v>20</v>
      </c>
      <c r="H7028" t="s">
        <v>5003</v>
      </c>
      <c r="J7028" t="s">
        <v>17</v>
      </c>
      <c r="K7028" t="str">
        <f>"1908070124246"</f>
        <v>1908070124246</v>
      </c>
      <c r="L7028" t="str">
        <f>"34340717"</f>
        <v>34340717</v>
      </c>
      <c r="M7028" t="s">
        <v>21</v>
      </c>
      <c r="N7028" s="1">
        <v>42894.85833333333</v>
      </c>
      <c r="O7028" t="s">
        <v>19</v>
      </c>
    </row>
    <row r="7029" spans="1:15" x14ac:dyDescent="0.25">
      <c r="A7029" t="s">
        <v>5098</v>
      </c>
      <c r="B7029" t="s">
        <v>15</v>
      </c>
      <c r="C7029" t="s">
        <v>2582</v>
      </c>
      <c r="D7029" t="s">
        <v>17</v>
      </c>
      <c r="E7029" t="s">
        <v>18</v>
      </c>
      <c r="F7029" t="s">
        <v>19</v>
      </c>
      <c r="G7029" t="s">
        <v>20</v>
      </c>
      <c r="J7029" t="s">
        <v>17</v>
      </c>
      <c r="K7029" t="str">
        <f>"1908070124277"</f>
        <v>1908070124277</v>
      </c>
      <c r="L7029" t="str">
        <f>"344207253"</f>
        <v>344207253</v>
      </c>
      <c r="M7029" t="s">
        <v>21</v>
      </c>
      <c r="N7029" s="1">
        <v>43502.88958333333</v>
      </c>
      <c r="O7029" t="s">
        <v>19</v>
      </c>
    </row>
    <row r="7030" spans="1:15" x14ac:dyDescent="0.25">
      <c r="A7030" t="s">
        <v>5098</v>
      </c>
      <c r="B7030" t="s">
        <v>15</v>
      </c>
      <c r="C7030" t="s">
        <v>2582</v>
      </c>
      <c r="D7030" t="s">
        <v>17</v>
      </c>
      <c r="E7030" t="s">
        <v>18</v>
      </c>
      <c r="F7030" t="s">
        <v>19</v>
      </c>
      <c r="G7030" t="s">
        <v>20</v>
      </c>
      <c r="J7030" t="s">
        <v>17</v>
      </c>
      <c r="K7030" t="str">
        <f>"2019120200021"</f>
        <v>2019120200021</v>
      </c>
      <c r="L7030" t="str">
        <f>"183107253"</f>
        <v>183107253</v>
      </c>
      <c r="M7030" t="s">
        <v>21</v>
      </c>
      <c r="N7030" s="1">
        <v>43649.642361111109</v>
      </c>
      <c r="O7030" t="s">
        <v>19</v>
      </c>
    </row>
    <row r="7031" spans="1:15" x14ac:dyDescent="0.25">
      <c r="A7031" t="s">
        <v>5098</v>
      </c>
      <c r="B7031" t="s">
        <v>15</v>
      </c>
      <c r="C7031" t="s">
        <v>2582</v>
      </c>
      <c r="D7031" t="s">
        <v>17</v>
      </c>
      <c r="E7031" t="s">
        <v>18</v>
      </c>
      <c r="F7031" t="s">
        <v>19</v>
      </c>
      <c r="G7031" t="s">
        <v>20</v>
      </c>
      <c r="J7031" t="s">
        <v>17</v>
      </c>
      <c r="K7031" t="str">
        <f>"613407253"</f>
        <v>613407253</v>
      </c>
      <c r="L7031" t="str">
        <f>"613407253"</f>
        <v>613407253</v>
      </c>
      <c r="M7031" t="s">
        <v>21</v>
      </c>
      <c r="N7031" s="1">
        <v>44253.681944444441</v>
      </c>
      <c r="O7031" t="s">
        <v>19</v>
      </c>
    </row>
    <row r="7032" spans="1:15" x14ac:dyDescent="0.25">
      <c r="A7032" t="s">
        <v>5098</v>
      </c>
      <c r="B7032" t="s">
        <v>15</v>
      </c>
      <c r="C7032" t="s">
        <v>2582</v>
      </c>
      <c r="D7032" t="s">
        <v>17</v>
      </c>
      <c r="E7032" t="s">
        <v>18</v>
      </c>
      <c r="F7032" t="s">
        <v>19</v>
      </c>
      <c r="G7032" t="s">
        <v>20</v>
      </c>
      <c r="J7032" t="s">
        <v>17</v>
      </c>
      <c r="K7032" t="str">
        <f>"133407253"</f>
        <v>133407253</v>
      </c>
      <c r="L7032" t="str">
        <f>"133407253"</f>
        <v>133407253</v>
      </c>
      <c r="M7032" t="s">
        <v>21</v>
      </c>
      <c r="N7032" s="1">
        <v>44348.681250000001</v>
      </c>
      <c r="O7032" t="s">
        <v>19</v>
      </c>
    </row>
    <row r="7033" spans="1:15" x14ac:dyDescent="0.25">
      <c r="A7033" t="s">
        <v>5098</v>
      </c>
      <c r="B7033" t="s">
        <v>15</v>
      </c>
      <c r="C7033" t="s">
        <v>2582</v>
      </c>
      <c r="D7033" t="s">
        <v>17</v>
      </c>
      <c r="E7033" t="s">
        <v>18</v>
      </c>
      <c r="F7033" t="s">
        <v>19</v>
      </c>
      <c r="G7033" t="s">
        <v>20</v>
      </c>
      <c r="H7033" t="s">
        <v>5003</v>
      </c>
      <c r="J7033" t="s">
        <v>17</v>
      </c>
      <c r="K7033" t="str">
        <f>"763407253"</f>
        <v>763407253</v>
      </c>
      <c r="L7033" t="str">
        <f>"763407253"</f>
        <v>763407253</v>
      </c>
      <c r="M7033" t="s">
        <v>84</v>
      </c>
      <c r="N7033" s="1">
        <v>43353.63958333333</v>
      </c>
      <c r="O7033" t="s">
        <v>19</v>
      </c>
    </row>
    <row r="7034" spans="1:15" x14ac:dyDescent="0.25">
      <c r="A7034" t="s">
        <v>5098</v>
      </c>
      <c r="B7034" t="s">
        <v>15</v>
      </c>
      <c r="C7034" t="s">
        <v>2582</v>
      </c>
      <c r="D7034" t="s">
        <v>17</v>
      </c>
      <c r="E7034" t="s">
        <v>18</v>
      </c>
      <c r="F7034" t="s">
        <v>19</v>
      </c>
      <c r="G7034" t="s">
        <v>20</v>
      </c>
      <c r="H7034" t="s">
        <v>5003</v>
      </c>
      <c r="J7034" t="s">
        <v>17</v>
      </c>
      <c r="K7034" t="str">
        <f>"793407253"</f>
        <v>793407253</v>
      </c>
      <c r="L7034" t="str">
        <f>"793407253"</f>
        <v>793407253</v>
      </c>
      <c r="M7034" t="s">
        <v>21</v>
      </c>
      <c r="N7034" s="1">
        <v>43367.786111111112</v>
      </c>
      <c r="O7034" t="s">
        <v>19</v>
      </c>
    </row>
    <row r="7035" spans="1:15" x14ac:dyDescent="0.25">
      <c r="A7035" t="s">
        <v>5098</v>
      </c>
      <c r="B7035" t="s">
        <v>15</v>
      </c>
      <c r="C7035" t="s">
        <v>2582</v>
      </c>
      <c r="D7035" t="s">
        <v>17</v>
      </c>
      <c r="E7035" t="s">
        <v>18</v>
      </c>
      <c r="F7035" t="s">
        <v>19</v>
      </c>
      <c r="G7035" t="s">
        <v>20</v>
      </c>
      <c r="H7035" t="s">
        <v>5003</v>
      </c>
      <c r="J7035" t="s">
        <v>17</v>
      </c>
      <c r="K7035" t="str">
        <f>"1908070124260"</f>
        <v>1908070124260</v>
      </c>
      <c r="L7035" t="str">
        <f>"343107253"</f>
        <v>343107253</v>
      </c>
      <c r="M7035" t="s">
        <v>21</v>
      </c>
      <c r="N7035" s="1">
        <v>43502.788194444445</v>
      </c>
      <c r="O7035" t="s">
        <v>19</v>
      </c>
    </row>
    <row r="7036" spans="1:15" x14ac:dyDescent="0.25">
      <c r="A7036" t="s">
        <v>5098</v>
      </c>
      <c r="B7036" t="s">
        <v>15</v>
      </c>
      <c r="C7036" t="s">
        <v>2582</v>
      </c>
      <c r="D7036" t="s">
        <v>17</v>
      </c>
      <c r="E7036" t="s">
        <v>18</v>
      </c>
      <c r="F7036" t="s">
        <v>19</v>
      </c>
      <c r="G7036" t="s">
        <v>20</v>
      </c>
      <c r="H7036" t="s">
        <v>5003</v>
      </c>
      <c r="J7036" t="s">
        <v>17</v>
      </c>
      <c r="K7036" t="str">
        <f>"1000001003917"</f>
        <v>1000001003917</v>
      </c>
      <c r="L7036" t="str">
        <f>"762507253"</f>
        <v>762507253</v>
      </c>
      <c r="M7036" t="s">
        <v>84</v>
      </c>
      <c r="N7036" s="1">
        <v>43528.715277777781</v>
      </c>
      <c r="O7036" t="s">
        <v>19</v>
      </c>
    </row>
    <row r="7037" spans="1:15" x14ac:dyDescent="0.25">
      <c r="A7037" t="s">
        <v>5099</v>
      </c>
      <c r="B7037" t="s">
        <v>15</v>
      </c>
      <c r="C7037" t="s">
        <v>2582</v>
      </c>
      <c r="D7037" t="s">
        <v>17</v>
      </c>
      <c r="E7037" t="s">
        <v>18</v>
      </c>
      <c r="F7037" t="s">
        <v>19</v>
      </c>
      <c r="G7037" t="s">
        <v>20</v>
      </c>
      <c r="J7037" t="s">
        <v>17</v>
      </c>
      <c r="K7037" t="str">
        <f>"1578155035933"</f>
        <v>1578155035933</v>
      </c>
      <c r="L7037" t="str">
        <f>"61310524"</f>
        <v>61310524</v>
      </c>
      <c r="M7037" t="s">
        <v>21</v>
      </c>
      <c r="N7037" s="1">
        <v>43834.682638888888</v>
      </c>
      <c r="O7037" t="s">
        <v>19</v>
      </c>
    </row>
    <row r="7038" spans="1:15" x14ac:dyDescent="0.25">
      <c r="A7038" t="s">
        <v>5099</v>
      </c>
      <c r="B7038" t="s">
        <v>15</v>
      </c>
      <c r="C7038" t="s">
        <v>2582</v>
      </c>
      <c r="D7038" t="s">
        <v>17</v>
      </c>
      <c r="E7038" t="s">
        <v>18</v>
      </c>
      <c r="F7038" t="s">
        <v>19</v>
      </c>
      <c r="G7038" t="s">
        <v>20</v>
      </c>
      <c r="J7038" t="s">
        <v>17</v>
      </c>
      <c r="K7038" t="str">
        <f>"1908070124291"</f>
        <v>1908070124291</v>
      </c>
      <c r="L7038" t="str">
        <f>"342507254"</f>
        <v>342507254</v>
      </c>
      <c r="M7038" t="s">
        <v>21</v>
      </c>
      <c r="N7038" s="1">
        <v>43969.780555555553</v>
      </c>
      <c r="O7038" t="s">
        <v>19</v>
      </c>
    </row>
    <row r="7039" spans="1:15" x14ac:dyDescent="0.25">
      <c r="A7039" t="s">
        <v>5099</v>
      </c>
      <c r="B7039" t="s">
        <v>15</v>
      </c>
      <c r="C7039" t="s">
        <v>2582</v>
      </c>
      <c r="D7039" t="s">
        <v>17</v>
      </c>
      <c r="E7039" t="s">
        <v>18</v>
      </c>
      <c r="F7039" t="s">
        <v>19</v>
      </c>
      <c r="G7039" t="s">
        <v>20</v>
      </c>
      <c r="J7039" t="s">
        <v>17</v>
      </c>
      <c r="K7039" t="str">
        <f>"613407254"</f>
        <v>613407254</v>
      </c>
      <c r="L7039" t="str">
        <f>"613407254"</f>
        <v>613407254</v>
      </c>
      <c r="M7039" t="s">
        <v>21</v>
      </c>
      <c r="N7039" s="1">
        <v>44253.682638888888</v>
      </c>
      <c r="O7039" t="s">
        <v>19</v>
      </c>
    </row>
    <row r="7040" spans="1:15" x14ac:dyDescent="0.25">
      <c r="A7040" t="s">
        <v>5099</v>
      </c>
      <c r="B7040" t="s">
        <v>15</v>
      </c>
      <c r="C7040" t="s">
        <v>2582</v>
      </c>
      <c r="D7040" t="s">
        <v>17</v>
      </c>
      <c r="E7040" t="s">
        <v>18</v>
      </c>
      <c r="F7040" t="s">
        <v>19</v>
      </c>
      <c r="G7040" t="s">
        <v>20</v>
      </c>
      <c r="H7040" t="s">
        <v>5003</v>
      </c>
      <c r="J7040" t="s">
        <v>17</v>
      </c>
      <c r="K7040" t="str">
        <f>"1908070124284"</f>
        <v>1908070124284</v>
      </c>
      <c r="L7040" t="str">
        <f>"793407254"</f>
        <v>793407254</v>
      </c>
      <c r="M7040" t="s">
        <v>21</v>
      </c>
      <c r="N7040" s="1">
        <v>42894.855555555558</v>
      </c>
      <c r="O7040" t="s">
        <v>19</v>
      </c>
    </row>
    <row r="7041" spans="1:15" x14ac:dyDescent="0.25">
      <c r="A7041" t="s">
        <v>5099</v>
      </c>
      <c r="B7041" t="s">
        <v>15</v>
      </c>
      <c r="C7041" t="s">
        <v>2582</v>
      </c>
      <c r="D7041" t="s">
        <v>17</v>
      </c>
      <c r="E7041" t="s">
        <v>18</v>
      </c>
      <c r="F7041" t="s">
        <v>19</v>
      </c>
      <c r="G7041" t="s">
        <v>20</v>
      </c>
      <c r="H7041" t="s">
        <v>5003</v>
      </c>
      <c r="J7041" t="s">
        <v>17</v>
      </c>
      <c r="K7041" t="str">
        <f>"763407254"</f>
        <v>763407254</v>
      </c>
      <c r="L7041" t="str">
        <f>"763407254"</f>
        <v>763407254</v>
      </c>
      <c r="M7041" t="s">
        <v>84</v>
      </c>
      <c r="N7041" s="1">
        <v>43335.715277777781</v>
      </c>
      <c r="O7041" t="s">
        <v>19</v>
      </c>
    </row>
    <row r="7042" spans="1:15" x14ac:dyDescent="0.25">
      <c r="A7042" t="s">
        <v>5099</v>
      </c>
      <c r="B7042" t="s">
        <v>15</v>
      </c>
      <c r="C7042" t="s">
        <v>2582</v>
      </c>
      <c r="D7042" t="s">
        <v>17</v>
      </c>
      <c r="E7042" t="s">
        <v>18</v>
      </c>
      <c r="F7042" t="s">
        <v>19</v>
      </c>
      <c r="G7042" t="s">
        <v>20</v>
      </c>
      <c r="H7042" t="s">
        <v>5003</v>
      </c>
      <c r="J7042" t="s">
        <v>17</v>
      </c>
      <c r="K7042" t="str">
        <f>"693407254"</f>
        <v>693407254</v>
      </c>
      <c r="L7042" t="str">
        <f>"693407254"</f>
        <v>693407254</v>
      </c>
      <c r="M7042" t="s">
        <v>84</v>
      </c>
      <c r="N7042" s="1">
        <v>43336.837500000001</v>
      </c>
      <c r="O7042" t="s">
        <v>19</v>
      </c>
    </row>
    <row r="7043" spans="1:15" x14ac:dyDescent="0.25">
      <c r="A7043" t="s">
        <v>5100</v>
      </c>
      <c r="B7043" t="s">
        <v>15</v>
      </c>
      <c r="C7043" t="s">
        <v>2582</v>
      </c>
      <c r="D7043" t="s">
        <v>17</v>
      </c>
      <c r="E7043" t="s">
        <v>18</v>
      </c>
      <c r="F7043" t="s">
        <v>19</v>
      </c>
      <c r="G7043" t="s">
        <v>20</v>
      </c>
      <c r="J7043" t="s">
        <v>17</v>
      </c>
      <c r="K7043" t="str">
        <f>"1578154803324"</f>
        <v>1578154803324</v>
      </c>
      <c r="L7043" t="str">
        <f>"61310521"</f>
        <v>61310521</v>
      </c>
      <c r="M7043" t="s">
        <v>21</v>
      </c>
      <c r="N7043" s="1">
        <v>43834.680555555555</v>
      </c>
      <c r="O7043" t="s">
        <v>19</v>
      </c>
    </row>
    <row r="7044" spans="1:15" x14ac:dyDescent="0.25">
      <c r="A7044" t="s">
        <v>5101</v>
      </c>
      <c r="B7044" t="s">
        <v>15</v>
      </c>
      <c r="C7044" t="s">
        <v>2582</v>
      </c>
      <c r="D7044" t="s">
        <v>17</v>
      </c>
      <c r="E7044" t="s">
        <v>18</v>
      </c>
      <c r="F7044" t="s">
        <v>19</v>
      </c>
      <c r="G7044" t="s">
        <v>20</v>
      </c>
      <c r="H7044" t="s">
        <v>5003</v>
      </c>
      <c r="J7044" t="s">
        <v>17</v>
      </c>
      <c r="K7044" t="str">
        <f>"763407256"</f>
        <v>763407256</v>
      </c>
      <c r="L7044" t="str">
        <f>"763407256"</f>
        <v>763407256</v>
      </c>
      <c r="M7044" t="s">
        <v>84</v>
      </c>
      <c r="N7044" s="1">
        <v>43272.795138888891</v>
      </c>
      <c r="O7044" t="s">
        <v>19</v>
      </c>
    </row>
    <row r="7045" spans="1:15" x14ac:dyDescent="0.25">
      <c r="A7045" t="s">
        <v>5102</v>
      </c>
      <c r="B7045" t="s">
        <v>15</v>
      </c>
      <c r="C7045" t="s">
        <v>2582</v>
      </c>
      <c r="D7045" t="s">
        <v>17</v>
      </c>
      <c r="E7045" t="s">
        <v>18</v>
      </c>
      <c r="F7045" t="s">
        <v>19</v>
      </c>
      <c r="G7045" t="s">
        <v>20</v>
      </c>
      <c r="H7045" t="s">
        <v>5003</v>
      </c>
      <c r="J7045" t="s">
        <v>17</v>
      </c>
      <c r="K7045" t="str">
        <f>"1908070128831"</f>
        <v>1908070128831</v>
      </c>
      <c r="L7045" t="str">
        <f>"343407604"</f>
        <v>343407604</v>
      </c>
      <c r="M7045" t="s">
        <v>21</v>
      </c>
      <c r="N7045" s="1">
        <v>43328.627083333333</v>
      </c>
      <c r="O7045" t="s">
        <v>19</v>
      </c>
    </row>
    <row r="7046" spans="1:15" x14ac:dyDescent="0.25">
      <c r="A7046" t="s">
        <v>5102</v>
      </c>
      <c r="B7046" t="s">
        <v>15</v>
      </c>
      <c r="C7046" t="s">
        <v>2582</v>
      </c>
      <c r="D7046" t="s">
        <v>17</v>
      </c>
      <c r="E7046" t="s">
        <v>18</v>
      </c>
      <c r="F7046" t="s">
        <v>19</v>
      </c>
      <c r="G7046" t="s">
        <v>20</v>
      </c>
      <c r="H7046" t="s">
        <v>5003</v>
      </c>
      <c r="J7046" t="s">
        <v>17</v>
      </c>
      <c r="K7046" t="str">
        <f>"863107255"</f>
        <v>863107255</v>
      </c>
      <c r="L7046" t="str">
        <f>"863107255"</f>
        <v>863107255</v>
      </c>
      <c r="M7046" t="s">
        <v>84</v>
      </c>
      <c r="N7046" s="1">
        <v>43367.785416666666</v>
      </c>
      <c r="O7046" t="s">
        <v>19</v>
      </c>
    </row>
    <row r="7047" spans="1:15" x14ac:dyDescent="0.25">
      <c r="A7047" t="s">
        <v>5103</v>
      </c>
      <c r="B7047" t="s">
        <v>15</v>
      </c>
      <c r="C7047" t="s">
        <v>2582</v>
      </c>
      <c r="D7047" t="s">
        <v>17</v>
      </c>
      <c r="E7047" t="s">
        <v>18</v>
      </c>
      <c r="F7047" t="s">
        <v>19</v>
      </c>
      <c r="G7047" t="s">
        <v>20</v>
      </c>
      <c r="J7047" t="s">
        <v>17</v>
      </c>
      <c r="K7047" t="str">
        <f>"413407257"</f>
        <v>413407257</v>
      </c>
      <c r="L7047" t="str">
        <f>"413407257"</f>
        <v>413407257</v>
      </c>
      <c r="M7047" t="s">
        <v>21</v>
      </c>
      <c r="N7047" s="1">
        <v>44351.817361111112</v>
      </c>
      <c r="O7047" t="s">
        <v>19</v>
      </c>
    </row>
    <row r="7048" spans="1:15" x14ac:dyDescent="0.25">
      <c r="A7048" t="s">
        <v>5103</v>
      </c>
      <c r="B7048" t="s">
        <v>15</v>
      </c>
      <c r="C7048" t="s">
        <v>2582</v>
      </c>
      <c r="D7048" t="s">
        <v>17</v>
      </c>
      <c r="E7048" t="s">
        <v>18</v>
      </c>
      <c r="F7048" t="s">
        <v>19</v>
      </c>
      <c r="G7048" t="s">
        <v>20</v>
      </c>
      <c r="H7048" t="s">
        <v>5003</v>
      </c>
      <c r="J7048" t="s">
        <v>17</v>
      </c>
      <c r="K7048" t="str">
        <f>"863107257"</f>
        <v>863107257</v>
      </c>
      <c r="L7048" t="str">
        <f>"863107257"</f>
        <v>863107257</v>
      </c>
      <c r="M7048" t="s">
        <v>84</v>
      </c>
      <c r="N7048" s="1">
        <v>43367.784722222219</v>
      </c>
      <c r="O7048" t="s">
        <v>19</v>
      </c>
    </row>
    <row r="7049" spans="1:15" x14ac:dyDescent="0.25">
      <c r="A7049" t="s">
        <v>5103</v>
      </c>
      <c r="B7049" t="s">
        <v>15</v>
      </c>
      <c r="C7049" t="s">
        <v>2582</v>
      </c>
      <c r="D7049" t="s">
        <v>17</v>
      </c>
      <c r="E7049" t="s">
        <v>18</v>
      </c>
      <c r="F7049" t="s">
        <v>19</v>
      </c>
      <c r="G7049" t="s">
        <v>20</v>
      </c>
      <c r="H7049" t="s">
        <v>5003</v>
      </c>
      <c r="J7049" t="s">
        <v>17</v>
      </c>
      <c r="K7049" t="str">
        <f>"1000001003955"</f>
        <v>1000001003955</v>
      </c>
      <c r="L7049" t="str">
        <f>"793407257"</f>
        <v>793407257</v>
      </c>
      <c r="M7049" t="s">
        <v>21</v>
      </c>
      <c r="N7049" s="1">
        <v>43686.73333333333</v>
      </c>
      <c r="O7049" t="s">
        <v>19</v>
      </c>
    </row>
    <row r="7050" spans="1:15" x14ac:dyDescent="0.25">
      <c r="A7050" t="s">
        <v>5104</v>
      </c>
      <c r="B7050" t="s">
        <v>15</v>
      </c>
      <c r="C7050" t="s">
        <v>2582</v>
      </c>
      <c r="D7050" t="s">
        <v>17</v>
      </c>
      <c r="E7050" t="s">
        <v>18</v>
      </c>
      <c r="F7050" t="s">
        <v>19</v>
      </c>
      <c r="G7050" t="s">
        <v>20</v>
      </c>
      <c r="J7050" t="s">
        <v>17</v>
      </c>
      <c r="K7050" t="str">
        <f>"1578154872790"</f>
        <v>1578154872790</v>
      </c>
      <c r="L7050" t="str">
        <f>"793407259"</f>
        <v>793407259</v>
      </c>
      <c r="M7050" t="s">
        <v>21</v>
      </c>
      <c r="N7050" s="1">
        <v>43834.681250000001</v>
      </c>
      <c r="O7050" t="s">
        <v>19</v>
      </c>
    </row>
    <row r="7051" spans="1:15" x14ac:dyDescent="0.25">
      <c r="A7051" t="s">
        <v>5105</v>
      </c>
      <c r="B7051" t="s">
        <v>15</v>
      </c>
      <c r="C7051" t="s">
        <v>2582</v>
      </c>
      <c r="D7051" t="s">
        <v>17</v>
      </c>
      <c r="E7051" t="s">
        <v>18</v>
      </c>
      <c r="F7051" t="s">
        <v>19</v>
      </c>
      <c r="G7051" t="s">
        <v>20</v>
      </c>
      <c r="H7051" t="s">
        <v>5003</v>
      </c>
      <c r="J7051" t="s">
        <v>17</v>
      </c>
      <c r="K7051" t="str">
        <f>"1908070124208"</f>
        <v>1908070124208</v>
      </c>
      <c r="L7051" t="str">
        <f>"343107600"</f>
        <v>343107600</v>
      </c>
      <c r="M7051" t="s">
        <v>21</v>
      </c>
      <c r="N7051" s="1">
        <v>43668.734027777777</v>
      </c>
      <c r="O7051" t="s">
        <v>19</v>
      </c>
    </row>
    <row r="7052" spans="1:15" x14ac:dyDescent="0.25">
      <c r="A7052" t="s">
        <v>5105</v>
      </c>
      <c r="B7052" t="s">
        <v>15</v>
      </c>
      <c r="C7052" t="s">
        <v>2582</v>
      </c>
      <c r="D7052" t="s">
        <v>17</v>
      </c>
      <c r="E7052" t="s">
        <v>18</v>
      </c>
      <c r="F7052" t="s">
        <v>19</v>
      </c>
      <c r="G7052" t="s">
        <v>20</v>
      </c>
      <c r="H7052" t="s">
        <v>5003</v>
      </c>
      <c r="J7052" t="s">
        <v>17</v>
      </c>
      <c r="K7052" t="str">
        <f>"1000001004563"</f>
        <v>1000001004563</v>
      </c>
      <c r="L7052" t="str">
        <f>"762507600"</f>
        <v>762507600</v>
      </c>
      <c r="M7052" t="s">
        <v>21</v>
      </c>
      <c r="N7052" s="1">
        <v>43720.651388888888</v>
      </c>
      <c r="O7052" t="s">
        <v>19</v>
      </c>
    </row>
    <row r="7053" spans="1:15" x14ac:dyDescent="0.25">
      <c r="A7053" t="s">
        <v>5106</v>
      </c>
      <c r="B7053" t="s">
        <v>15</v>
      </c>
      <c r="C7053" t="s">
        <v>2582</v>
      </c>
      <c r="D7053" t="s">
        <v>17</v>
      </c>
      <c r="E7053" t="s">
        <v>18</v>
      </c>
      <c r="F7053" t="s">
        <v>19</v>
      </c>
      <c r="G7053" t="s">
        <v>20</v>
      </c>
      <c r="J7053" t="s">
        <v>17</v>
      </c>
      <c r="K7053" t="str">
        <f>"613409335"</f>
        <v>613409335</v>
      </c>
      <c r="L7053" t="str">
        <f>"613409335"</f>
        <v>613409335</v>
      </c>
      <c r="M7053" t="s">
        <v>21</v>
      </c>
      <c r="N7053" s="1">
        <v>44253.677083333336</v>
      </c>
      <c r="O7053" t="s">
        <v>19</v>
      </c>
    </row>
    <row r="7054" spans="1:15" x14ac:dyDescent="0.25">
      <c r="A7054" t="s">
        <v>5107</v>
      </c>
      <c r="B7054" t="s">
        <v>15</v>
      </c>
      <c r="C7054" t="s">
        <v>2582</v>
      </c>
      <c r="D7054" t="s">
        <v>17</v>
      </c>
      <c r="E7054" t="s">
        <v>18</v>
      </c>
      <c r="F7054" t="s">
        <v>19</v>
      </c>
      <c r="G7054" t="s">
        <v>20</v>
      </c>
      <c r="J7054" t="s">
        <v>17</v>
      </c>
      <c r="K7054" t="str">
        <f>"613409336"</f>
        <v>613409336</v>
      </c>
      <c r="L7054" t="str">
        <f>"613409336"</f>
        <v>613409336</v>
      </c>
      <c r="M7054" t="s">
        <v>21</v>
      </c>
      <c r="N7054" s="1">
        <v>44253.680555555555</v>
      </c>
      <c r="O7054" t="s">
        <v>19</v>
      </c>
    </row>
    <row r="7055" spans="1:15" x14ac:dyDescent="0.25">
      <c r="A7055" t="s">
        <v>5108</v>
      </c>
      <c r="B7055" t="s">
        <v>15</v>
      </c>
      <c r="C7055" t="s">
        <v>2582</v>
      </c>
      <c r="D7055" t="s">
        <v>17</v>
      </c>
      <c r="E7055" t="s">
        <v>18</v>
      </c>
      <c r="F7055" t="s">
        <v>19</v>
      </c>
      <c r="G7055" t="s">
        <v>20</v>
      </c>
      <c r="J7055" t="s">
        <v>17</v>
      </c>
      <c r="K7055" t="str">
        <f>"343409292"</f>
        <v>343409292</v>
      </c>
      <c r="L7055" t="str">
        <f>"343409292"</f>
        <v>343409292</v>
      </c>
      <c r="M7055" t="s">
        <v>84</v>
      </c>
      <c r="N7055" s="1">
        <v>43306.72152777778</v>
      </c>
      <c r="O7055" t="s">
        <v>19</v>
      </c>
    </row>
    <row r="7056" spans="1:15" x14ac:dyDescent="0.25">
      <c r="A7056" t="s">
        <v>5108</v>
      </c>
      <c r="B7056" t="s">
        <v>15</v>
      </c>
      <c r="C7056" t="s">
        <v>2582</v>
      </c>
      <c r="D7056" t="s">
        <v>17</v>
      </c>
      <c r="E7056" t="s">
        <v>18</v>
      </c>
      <c r="F7056" t="s">
        <v>19</v>
      </c>
      <c r="G7056" t="s">
        <v>20</v>
      </c>
      <c r="J7056" t="s">
        <v>17</v>
      </c>
      <c r="K7056" t="str">
        <f>"613409333"</f>
        <v>613409333</v>
      </c>
      <c r="L7056" t="str">
        <f>"613409333"</f>
        <v>613409333</v>
      </c>
      <c r="M7056" t="s">
        <v>21</v>
      </c>
      <c r="N7056" s="1">
        <v>44253.673611111109</v>
      </c>
      <c r="O7056" t="s">
        <v>19</v>
      </c>
    </row>
    <row r="7057" spans="1:15" x14ac:dyDescent="0.25">
      <c r="A7057" t="s">
        <v>5108</v>
      </c>
      <c r="B7057" t="s">
        <v>15</v>
      </c>
      <c r="C7057" t="s">
        <v>2582</v>
      </c>
      <c r="D7057" t="s">
        <v>17</v>
      </c>
      <c r="E7057" t="s">
        <v>18</v>
      </c>
      <c r="F7057" t="s">
        <v>19</v>
      </c>
      <c r="G7057" t="s">
        <v>20</v>
      </c>
      <c r="H7057" t="s">
        <v>5003</v>
      </c>
      <c r="J7057" t="s">
        <v>17</v>
      </c>
      <c r="K7057" t="str">
        <f>"1908070129050"</f>
        <v>1908070129050</v>
      </c>
      <c r="L7057" t="str">
        <f>"342509333"</f>
        <v>342509333</v>
      </c>
      <c r="M7057" t="s">
        <v>21</v>
      </c>
      <c r="N7057" s="1">
        <v>43545.876388888886</v>
      </c>
      <c r="O7057" t="s">
        <v>19</v>
      </c>
    </row>
    <row r="7058" spans="1:15" x14ac:dyDescent="0.25">
      <c r="A7058" t="s">
        <v>5109</v>
      </c>
      <c r="B7058" t="s">
        <v>15</v>
      </c>
      <c r="C7058" t="s">
        <v>2582</v>
      </c>
      <c r="D7058" t="s">
        <v>17</v>
      </c>
      <c r="E7058" t="s">
        <v>18</v>
      </c>
      <c r="F7058" t="s">
        <v>19</v>
      </c>
      <c r="G7058" t="s">
        <v>20</v>
      </c>
      <c r="H7058" t="s">
        <v>5003</v>
      </c>
      <c r="J7058" t="s">
        <v>17</v>
      </c>
      <c r="K7058" t="str">
        <f>"763109333"</f>
        <v>763109333</v>
      </c>
      <c r="L7058" t="str">
        <f>"763109333"</f>
        <v>763109333</v>
      </c>
      <c r="M7058" t="s">
        <v>21</v>
      </c>
      <c r="N7058" s="1">
        <v>43890.634027777778</v>
      </c>
      <c r="O7058" t="s">
        <v>19</v>
      </c>
    </row>
    <row r="7059" spans="1:15" x14ac:dyDescent="0.25">
      <c r="A7059" t="s">
        <v>5110</v>
      </c>
      <c r="B7059" t="s">
        <v>15</v>
      </c>
      <c r="C7059" t="s">
        <v>2582</v>
      </c>
      <c r="D7059" t="s">
        <v>17</v>
      </c>
      <c r="E7059" t="s">
        <v>18</v>
      </c>
      <c r="F7059" t="s">
        <v>19</v>
      </c>
      <c r="G7059" t="s">
        <v>20</v>
      </c>
      <c r="H7059" t="s">
        <v>5003</v>
      </c>
      <c r="J7059" t="s">
        <v>17</v>
      </c>
      <c r="K7059" t="str">
        <f>"1908070128466"</f>
        <v>1908070128466</v>
      </c>
      <c r="L7059" t="str">
        <f>"342609221"</f>
        <v>342609221</v>
      </c>
      <c r="M7059" t="s">
        <v>21</v>
      </c>
      <c r="N7059" s="1">
        <v>43066.763194444444</v>
      </c>
      <c r="O7059" t="s">
        <v>19</v>
      </c>
    </row>
    <row r="7060" spans="1:15" x14ac:dyDescent="0.25">
      <c r="A7060" t="s">
        <v>5111</v>
      </c>
      <c r="B7060" t="s">
        <v>15</v>
      </c>
      <c r="C7060" t="s">
        <v>2582</v>
      </c>
      <c r="D7060" t="s">
        <v>17</v>
      </c>
      <c r="E7060" t="s">
        <v>18</v>
      </c>
      <c r="F7060" t="s">
        <v>19</v>
      </c>
      <c r="G7060" t="s">
        <v>20</v>
      </c>
      <c r="J7060" t="s">
        <v>17</v>
      </c>
      <c r="K7060" t="str">
        <f>"613409334"</f>
        <v>613409334</v>
      </c>
      <c r="L7060" t="str">
        <f>"613409334"</f>
        <v>613409334</v>
      </c>
      <c r="M7060" t="s">
        <v>21</v>
      </c>
      <c r="N7060" s="1">
        <v>44253.676388888889</v>
      </c>
      <c r="O7060" t="s">
        <v>19</v>
      </c>
    </row>
    <row r="7061" spans="1:15" x14ac:dyDescent="0.25">
      <c r="A7061" t="s">
        <v>5112</v>
      </c>
      <c r="B7061" t="s">
        <v>15</v>
      </c>
      <c r="C7061" t="s">
        <v>2582</v>
      </c>
      <c r="D7061" t="s">
        <v>17</v>
      </c>
      <c r="E7061" t="s">
        <v>18</v>
      </c>
      <c r="F7061" t="s">
        <v>19</v>
      </c>
      <c r="G7061" t="s">
        <v>20</v>
      </c>
      <c r="H7061" t="s">
        <v>5003</v>
      </c>
      <c r="J7061" t="s">
        <v>17</v>
      </c>
      <c r="K7061" t="str">
        <f>"1908070128848"</f>
        <v>1908070128848</v>
      </c>
      <c r="L7061" t="str">
        <f>"793410323"</f>
        <v>793410323</v>
      </c>
      <c r="M7061" t="s">
        <v>21</v>
      </c>
      <c r="N7061" s="1">
        <v>42872.839583333334</v>
      </c>
      <c r="O7061" t="s">
        <v>19</v>
      </c>
    </row>
    <row r="7062" spans="1:15" x14ac:dyDescent="0.25">
      <c r="A7062" t="s">
        <v>5113</v>
      </c>
      <c r="B7062" t="s">
        <v>15</v>
      </c>
      <c r="C7062" t="s">
        <v>2582</v>
      </c>
      <c r="D7062" t="s">
        <v>17</v>
      </c>
      <c r="E7062" t="s">
        <v>18</v>
      </c>
      <c r="F7062" t="s">
        <v>19</v>
      </c>
      <c r="G7062" t="s">
        <v>20</v>
      </c>
      <c r="H7062" t="s">
        <v>5028</v>
      </c>
      <c r="J7062" t="s">
        <v>17</v>
      </c>
      <c r="K7062" t="str">
        <f>"793410325"</f>
        <v>793410325</v>
      </c>
      <c r="L7062" t="str">
        <f>"793410325"</f>
        <v>793410325</v>
      </c>
      <c r="M7062" t="s">
        <v>21</v>
      </c>
      <c r="N7062" s="1">
        <v>43306.716666666667</v>
      </c>
      <c r="O7062" t="s">
        <v>19</v>
      </c>
    </row>
    <row r="7063" spans="1:15" x14ac:dyDescent="0.25">
      <c r="A7063" t="s">
        <v>5114</v>
      </c>
      <c r="B7063" t="s">
        <v>15</v>
      </c>
      <c r="C7063" t="s">
        <v>2582</v>
      </c>
      <c r="D7063" t="s">
        <v>17</v>
      </c>
      <c r="E7063" t="s">
        <v>18</v>
      </c>
      <c r="F7063" t="s">
        <v>19</v>
      </c>
      <c r="G7063" t="s">
        <v>20</v>
      </c>
      <c r="J7063" t="s">
        <v>17</v>
      </c>
      <c r="K7063" t="str">
        <f>"133110330"</f>
        <v>133110330</v>
      </c>
      <c r="L7063" t="str">
        <f>"133110330"</f>
        <v>133110330</v>
      </c>
      <c r="M7063" t="s">
        <v>21</v>
      </c>
      <c r="N7063" s="1">
        <v>44414.945833333331</v>
      </c>
      <c r="O7063" t="s">
        <v>19</v>
      </c>
    </row>
    <row r="7064" spans="1:15" x14ac:dyDescent="0.25">
      <c r="A7064" t="s">
        <v>5115</v>
      </c>
      <c r="B7064" t="s">
        <v>15</v>
      </c>
      <c r="C7064" t="s">
        <v>2582</v>
      </c>
      <c r="D7064" t="s">
        <v>17</v>
      </c>
      <c r="E7064" t="s">
        <v>18</v>
      </c>
      <c r="F7064" t="s">
        <v>19</v>
      </c>
      <c r="G7064" t="s">
        <v>20</v>
      </c>
      <c r="H7064" t="s">
        <v>5003</v>
      </c>
      <c r="J7064" t="s">
        <v>17</v>
      </c>
      <c r="K7064" t="str">
        <f>"793410314"</f>
        <v>793410314</v>
      </c>
      <c r="L7064" t="str">
        <f>"793410314"</f>
        <v>793410314</v>
      </c>
      <c r="M7064" t="s">
        <v>21</v>
      </c>
      <c r="N7064" s="1">
        <v>43409.915277777778</v>
      </c>
      <c r="O7064" t="s">
        <v>19</v>
      </c>
    </row>
    <row r="7065" spans="1:15" x14ac:dyDescent="0.25">
      <c r="A7065" t="s">
        <v>5116</v>
      </c>
      <c r="B7065" t="s">
        <v>15</v>
      </c>
      <c r="C7065" t="s">
        <v>2582</v>
      </c>
      <c r="D7065" t="s">
        <v>17</v>
      </c>
      <c r="E7065" t="s">
        <v>18</v>
      </c>
      <c r="F7065" t="s">
        <v>19</v>
      </c>
      <c r="G7065" t="s">
        <v>20</v>
      </c>
      <c r="H7065" t="s">
        <v>5003</v>
      </c>
      <c r="J7065" t="s">
        <v>17</v>
      </c>
      <c r="K7065" t="str">
        <f>"793410315"</f>
        <v>793410315</v>
      </c>
      <c r="L7065" t="str">
        <f>"793410315"</f>
        <v>793410315</v>
      </c>
      <c r="M7065" t="s">
        <v>21</v>
      </c>
      <c r="N7065" s="1">
        <v>43862.672222222223</v>
      </c>
      <c r="O7065" t="s">
        <v>19</v>
      </c>
    </row>
    <row r="7066" spans="1:15" x14ac:dyDescent="0.25">
      <c r="A7066" t="s">
        <v>5117</v>
      </c>
      <c r="B7066" t="s">
        <v>15</v>
      </c>
      <c r="C7066" t="s">
        <v>2582</v>
      </c>
      <c r="D7066" t="s">
        <v>17</v>
      </c>
      <c r="E7066" t="s">
        <v>18</v>
      </c>
      <c r="F7066" t="s">
        <v>19</v>
      </c>
      <c r="G7066" t="s">
        <v>20</v>
      </c>
      <c r="J7066" t="s">
        <v>17</v>
      </c>
      <c r="K7066" t="str">
        <f>"767505321"</f>
        <v>767505321</v>
      </c>
      <c r="L7066" t="str">
        <f>"767505321"</f>
        <v>767505321</v>
      </c>
      <c r="M7066" t="s">
        <v>75</v>
      </c>
      <c r="N7066" s="1">
        <v>43132.757638888892</v>
      </c>
      <c r="O7066" t="s">
        <v>19</v>
      </c>
    </row>
    <row r="7067" spans="1:15" x14ac:dyDescent="0.25">
      <c r="A7067" t="s">
        <v>5117</v>
      </c>
      <c r="B7067" t="s">
        <v>15</v>
      </c>
      <c r="C7067" t="s">
        <v>2582</v>
      </c>
      <c r="D7067" t="s">
        <v>17</v>
      </c>
      <c r="E7067" t="s">
        <v>18</v>
      </c>
      <c r="F7067" t="s">
        <v>19</v>
      </c>
      <c r="G7067" t="s">
        <v>20</v>
      </c>
      <c r="J7067" t="s">
        <v>17</v>
      </c>
      <c r="K7067" t="str">
        <f>"767705321"</f>
        <v>767705321</v>
      </c>
      <c r="L7067" t="str">
        <f>"767705321"</f>
        <v>767705321</v>
      </c>
      <c r="M7067" t="s">
        <v>75</v>
      </c>
      <c r="N7067" s="1">
        <v>43236.893750000003</v>
      </c>
      <c r="O7067" t="s">
        <v>19</v>
      </c>
    </row>
    <row r="7068" spans="1:15" x14ac:dyDescent="0.25">
      <c r="A7068" t="s">
        <v>5117</v>
      </c>
      <c r="B7068" t="s">
        <v>15</v>
      </c>
      <c r="C7068" t="s">
        <v>2582</v>
      </c>
      <c r="D7068" t="s">
        <v>17</v>
      </c>
      <c r="E7068" t="s">
        <v>18</v>
      </c>
      <c r="F7068" t="s">
        <v>19</v>
      </c>
      <c r="G7068" t="s">
        <v>20</v>
      </c>
      <c r="J7068" t="s">
        <v>17</v>
      </c>
      <c r="K7068" t="str">
        <f>"175105321"</f>
        <v>175105321</v>
      </c>
      <c r="L7068" t="str">
        <f>"175105321"</f>
        <v>175105321</v>
      </c>
      <c r="M7068" t="s">
        <v>75</v>
      </c>
      <c r="N7068" s="1">
        <v>43237.724305555559</v>
      </c>
      <c r="O7068" t="s">
        <v>19</v>
      </c>
    </row>
    <row r="7069" spans="1:15" x14ac:dyDescent="0.25">
      <c r="A7069" t="s">
        <v>5117</v>
      </c>
      <c r="B7069" t="s">
        <v>15</v>
      </c>
      <c r="C7069" t="s">
        <v>2582</v>
      </c>
      <c r="D7069" t="s">
        <v>17</v>
      </c>
      <c r="E7069" t="s">
        <v>18</v>
      </c>
      <c r="F7069" t="s">
        <v>19</v>
      </c>
      <c r="G7069" t="s">
        <v>20</v>
      </c>
      <c r="J7069" t="s">
        <v>17</v>
      </c>
      <c r="K7069" t="str">
        <f>"174805321"</f>
        <v>174805321</v>
      </c>
      <c r="L7069" t="str">
        <f>"174805321"</f>
        <v>174805321</v>
      </c>
      <c r="M7069" t="s">
        <v>75</v>
      </c>
      <c r="N7069" s="1">
        <v>43237.736111111109</v>
      </c>
      <c r="O7069" t="s">
        <v>19</v>
      </c>
    </row>
    <row r="7070" spans="1:15" x14ac:dyDescent="0.25">
      <c r="A7070" t="s">
        <v>5117</v>
      </c>
      <c r="B7070" t="s">
        <v>15</v>
      </c>
      <c r="C7070" t="s">
        <v>2582</v>
      </c>
      <c r="D7070" t="s">
        <v>17</v>
      </c>
      <c r="E7070" t="s">
        <v>18</v>
      </c>
      <c r="F7070" t="s">
        <v>19</v>
      </c>
      <c r="G7070" t="s">
        <v>20</v>
      </c>
      <c r="J7070" t="s">
        <v>17</v>
      </c>
      <c r="K7070" t="str">
        <f>"765905321"</f>
        <v>765905321</v>
      </c>
      <c r="L7070" t="str">
        <f>"765905321"</f>
        <v>765905321</v>
      </c>
      <c r="M7070" t="s">
        <v>84</v>
      </c>
      <c r="N7070" s="1">
        <v>43251.727083333331</v>
      </c>
      <c r="O7070" t="s">
        <v>19</v>
      </c>
    </row>
    <row r="7071" spans="1:15" x14ac:dyDescent="0.25">
      <c r="A7071" t="s">
        <v>5117</v>
      </c>
      <c r="B7071" t="s">
        <v>15</v>
      </c>
      <c r="C7071" t="s">
        <v>2582</v>
      </c>
      <c r="D7071" t="s">
        <v>17</v>
      </c>
      <c r="E7071" t="s">
        <v>18</v>
      </c>
      <c r="F7071" t="s">
        <v>19</v>
      </c>
      <c r="G7071" t="s">
        <v>20</v>
      </c>
      <c r="J7071" t="s">
        <v>17</v>
      </c>
      <c r="K7071" t="str">
        <f>"763905321"</f>
        <v>763905321</v>
      </c>
      <c r="L7071" t="str">
        <f>"763905321"</f>
        <v>763905321</v>
      </c>
      <c r="M7071" t="s">
        <v>84</v>
      </c>
      <c r="N7071" s="1">
        <v>43251.736805555556</v>
      </c>
      <c r="O7071" t="s">
        <v>19</v>
      </c>
    </row>
    <row r="7072" spans="1:15" x14ac:dyDescent="0.25">
      <c r="A7072" t="s">
        <v>5117</v>
      </c>
      <c r="B7072" t="s">
        <v>15</v>
      </c>
      <c r="C7072" t="s">
        <v>2582</v>
      </c>
      <c r="D7072" t="s">
        <v>17</v>
      </c>
      <c r="E7072" t="s">
        <v>18</v>
      </c>
      <c r="F7072" t="s">
        <v>19</v>
      </c>
      <c r="G7072" t="s">
        <v>20</v>
      </c>
      <c r="J7072" t="s">
        <v>17</v>
      </c>
      <c r="K7072" t="str">
        <f>"763110321"</f>
        <v>763110321</v>
      </c>
      <c r="L7072" t="str">
        <f>"763110321"</f>
        <v>763110321</v>
      </c>
      <c r="M7072" t="s">
        <v>21</v>
      </c>
      <c r="N7072" s="1">
        <v>43306.914583333331</v>
      </c>
      <c r="O7072" t="s">
        <v>19</v>
      </c>
    </row>
    <row r="7073" spans="1:15" x14ac:dyDescent="0.25">
      <c r="A7073" t="s">
        <v>5117</v>
      </c>
      <c r="B7073" t="s">
        <v>15</v>
      </c>
      <c r="C7073" t="s">
        <v>2582</v>
      </c>
      <c r="D7073" t="s">
        <v>17</v>
      </c>
      <c r="E7073" t="s">
        <v>18</v>
      </c>
      <c r="F7073" t="s">
        <v>19</v>
      </c>
      <c r="G7073" t="s">
        <v>20</v>
      </c>
      <c r="J7073" t="s">
        <v>17</v>
      </c>
      <c r="K7073" t="str">
        <f>"769905321"</f>
        <v>769905321</v>
      </c>
      <c r="L7073" t="str">
        <f>"769905321"</f>
        <v>769905321</v>
      </c>
      <c r="M7073" t="s">
        <v>84</v>
      </c>
      <c r="N7073" s="1">
        <v>43306.916666666664</v>
      </c>
      <c r="O7073" t="s">
        <v>19</v>
      </c>
    </row>
    <row r="7074" spans="1:15" x14ac:dyDescent="0.25">
      <c r="A7074" t="s">
        <v>5117</v>
      </c>
      <c r="B7074" t="s">
        <v>15</v>
      </c>
      <c r="C7074" t="s">
        <v>2582</v>
      </c>
      <c r="D7074" t="s">
        <v>17</v>
      </c>
      <c r="E7074" t="s">
        <v>18</v>
      </c>
      <c r="F7074" t="s">
        <v>19</v>
      </c>
      <c r="G7074" t="s">
        <v>20</v>
      </c>
      <c r="J7074" t="s">
        <v>17</v>
      </c>
      <c r="K7074" t="str">
        <f>"864805321"</f>
        <v>864805321</v>
      </c>
      <c r="L7074" t="str">
        <f>"864805321"</f>
        <v>864805321</v>
      </c>
      <c r="M7074" t="s">
        <v>84</v>
      </c>
      <c r="N7074" s="1">
        <v>43316.774305555555</v>
      </c>
      <c r="O7074" t="s">
        <v>19</v>
      </c>
    </row>
    <row r="7075" spans="1:15" x14ac:dyDescent="0.25">
      <c r="A7075" t="s">
        <v>5117</v>
      </c>
      <c r="B7075" t="s">
        <v>15</v>
      </c>
      <c r="C7075" t="s">
        <v>2582</v>
      </c>
      <c r="D7075" t="s">
        <v>17</v>
      </c>
      <c r="E7075" t="s">
        <v>18</v>
      </c>
      <c r="F7075" t="s">
        <v>19</v>
      </c>
      <c r="G7075" t="s">
        <v>20</v>
      </c>
      <c r="J7075" t="s">
        <v>17</v>
      </c>
      <c r="K7075" t="str">
        <f>"695105321"</f>
        <v>695105321</v>
      </c>
      <c r="L7075" t="str">
        <f>"695105321"</f>
        <v>695105321</v>
      </c>
      <c r="M7075" t="s">
        <v>84</v>
      </c>
      <c r="N7075" s="1">
        <v>43328.84097222222</v>
      </c>
      <c r="O7075" t="s">
        <v>19</v>
      </c>
    </row>
    <row r="7076" spans="1:15" x14ac:dyDescent="0.25">
      <c r="A7076" t="s">
        <v>5117</v>
      </c>
      <c r="B7076" t="s">
        <v>15</v>
      </c>
      <c r="C7076" t="s">
        <v>2582</v>
      </c>
      <c r="D7076" t="s">
        <v>17</v>
      </c>
      <c r="E7076" t="s">
        <v>18</v>
      </c>
      <c r="F7076" t="s">
        <v>19</v>
      </c>
      <c r="G7076" t="s">
        <v>20</v>
      </c>
      <c r="J7076" t="s">
        <v>17</v>
      </c>
      <c r="K7076" t="str">
        <f>"866405321"</f>
        <v>866405321</v>
      </c>
      <c r="L7076" t="str">
        <f>"866405321"</f>
        <v>866405321</v>
      </c>
      <c r="M7076" t="s">
        <v>84</v>
      </c>
      <c r="N7076" s="1">
        <v>43364.9375</v>
      </c>
      <c r="O7076" t="s">
        <v>19</v>
      </c>
    </row>
    <row r="7077" spans="1:15" x14ac:dyDescent="0.25">
      <c r="A7077" t="s">
        <v>5117</v>
      </c>
      <c r="B7077" t="s">
        <v>15</v>
      </c>
      <c r="C7077" t="s">
        <v>2582</v>
      </c>
      <c r="D7077" t="s">
        <v>17</v>
      </c>
      <c r="E7077" t="s">
        <v>18</v>
      </c>
      <c r="F7077" t="s">
        <v>19</v>
      </c>
      <c r="G7077" t="s">
        <v>20</v>
      </c>
      <c r="J7077" t="s">
        <v>17</v>
      </c>
      <c r="K7077" t="str">
        <f>"349905321"</f>
        <v>349905321</v>
      </c>
      <c r="L7077" t="str">
        <f>"349905321"</f>
        <v>349905321</v>
      </c>
      <c r="M7077" t="s">
        <v>84</v>
      </c>
      <c r="N7077" s="1">
        <v>43370.87222222222</v>
      </c>
      <c r="O7077" t="s">
        <v>19</v>
      </c>
    </row>
    <row r="7078" spans="1:15" x14ac:dyDescent="0.25">
      <c r="A7078" t="s">
        <v>5117</v>
      </c>
      <c r="B7078" t="s">
        <v>15</v>
      </c>
      <c r="C7078" t="s">
        <v>2582</v>
      </c>
      <c r="D7078" t="s">
        <v>17</v>
      </c>
      <c r="E7078" t="s">
        <v>18</v>
      </c>
      <c r="F7078" t="s">
        <v>19</v>
      </c>
      <c r="G7078" t="s">
        <v>20</v>
      </c>
      <c r="J7078" t="s">
        <v>17</v>
      </c>
      <c r="K7078" t="str">
        <f>"685105321"</f>
        <v>685105321</v>
      </c>
      <c r="L7078" t="str">
        <f>"685105321"</f>
        <v>685105321</v>
      </c>
      <c r="M7078" t="s">
        <v>84</v>
      </c>
      <c r="N7078" s="1">
        <v>43420.638888888891</v>
      </c>
      <c r="O7078" t="s">
        <v>19</v>
      </c>
    </row>
    <row r="7079" spans="1:15" x14ac:dyDescent="0.25">
      <c r="A7079" t="s">
        <v>5117</v>
      </c>
      <c r="B7079" t="s">
        <v>15</v>
      </c>
      <c r="C7079" t="s">
        <v>2582</v>
      </c>
      <c r="D7079" t="s">
        <v>17</v>
      </c>
      <c r="E7079" t="s">
        <v>18</v>
      </c>
      <c r="F7079" t="s">
        <v>19</v>
      </c>
      <c r="G7079" t="s">
        <v>20</v>
      </c>
      <c r="J7079" t="s">
        <v>17</v>
      </c>
      <c r="K7079" t="str">
        <f>"345105321"</f>
        <v>345105321</v>
      </c>
      <c r="L7079" t="str">
        <f>"345105321"</f>
        <v>345105321</v>
      </c>
      <c r="M7079" t="s">
        <v>84</v>
      </c>
      <c r="N7079" s="1">
        <v>43451.793749999997</v>
      </c>
      <c r="O7079" t="s">
        <v>19</v>
      </c>
    </row>
    <row r="7080" spans="1:15" x14ac:dyDescent="0.25">
      <c r="A7080" t="s">
        <v>5118</v>
      </c>
      <c r="B7080" t="s">
        <v>15</v>
      </c>
      <c r="C7080" t="s">
        <v>2582</v>
      </c>
      <c r="D7080" t="s">
        <v>17</v>
      </c>
      <c r="E7080" t="s">
        <v>18</v>
      </c>
      <c r="F7080" t="s">
        <v>19</v>
      </c>
      <c r="G7080" t="s">
        <v>20</v>
      </c>
      <c r="H7080" t="s">
        <v>5003</v>
      </c>
      <c r="J7080" t="s">
        <v>17</v>
      </c>
      <c r="K7080" t="str">
        <f>"1908070128855"</f>
        <v>1908070128855</v>
      </c>
      <c r="L7080" t="str">
        <f>"343410322"</f>
        <v>343410322</v>
      </c>
      <c r="M7080" t="s">
        <v>21</v>
      </c>
      <c r="N7080" s="1">
        <v>43396.931250000001</v>
      </c>
      <c r="O7080" t="s">
        <v>19</v>
      </c>
    </row>
    <row r="7081" spans="1:15" x14ac:dyDescent="0.25">
      <c r="A7081" t="s">
        <v>5119</v>
      </c>
      <c r="B7081" t="s">
        <v>15</v>
      </c>
      <c r="C7081" t="s">
        <v>2582</v>
      </c>
      <c r="D7081" t="s">
        <v>17</v>
      </c>
      <c r="E7081" t="s">
        <v>18</v>
      </c>
      <c r="F7081" t="s">
        <v>19</v>
      </c>
      <c r="G7081" t="s">
        <v>20</v>
      </c>
      <c r="H7081" t="s">
        <v>5003</v>
      </c>
      <c r="J7081" t="s">
        <v>17</v>
      </c>
      <c r="K7081" t="str">
        <f>"793410326"</f>
        <v>793410326</v>
      </c>
      <c r="L7081" t="str">
        <f>"793410326"</f>
        <v>793410326</v>
      </c>
      <c r="M7081" t="s">
        <v>21</v>
      </c>
      <c r="N7081" s="1">
        <v>43528.712500000001</v>
      </c>
      <c r="O7081" t="s">
        <v>19</v>
      </c>
    </row>
    <row r="7082" spans="1:15" x14ac:dyDescent="0.25">
      <c r="A7082" t="s">
        <v>5120</v>
      </c>
      <c r="B7082" t="s">
        <v>15</v>
      </c>
      <c r="C7082" t="s">
        <v>2582</v>
      </c>
      <c r="D7082" t="s">
        <v>17</v>
      </c>
      <c r="E7082" t="s">
        <v>18</v>
      </c>
      <c r="F7082" t="s">
        <v>19</v>
      </c>
      <c r="G7082" t="s">
        <v>20</v>
      </c>
      <c r="J7082" t="s">
        <v>17</v>
      </c>
      <c r="K7082" t="str">
        <f>"613410329"</f>
        <v>613410329</v>
      </c>
      <c r="L7082" t="str">
        <f>"613410329"</f>
        <v>613410329</v>
      </c>
      <c r="M7082" t="s">
        <v>21</v>
      </c>
      <c r="N7082" s="1">
        <v>44253.676388888889</v>
      </c>
      <c r="O7082" t="s">
        <v>19</v>
      </c>
    </row>
    <row r="7083" spans="1:15" x14ac:dyDescent="0.25">
      <c r="A7083" t="s">
        <v>5120</v>
      </c>
      <c r="B7083" t="s">
        <v>15</v>
      </c>
      <c r="C7083" t="s">
        <v>2582</v>
      </c>
      <c r="D7083" t="s">
        <v>17</v>
      </c>
      <c r="E7083" t="s">
        <v>18</v>
      </c>
      <c r="F7083" t="s">
        <v>19</v>
      </c>
      <c r="G7083" t="s">
        <v>20</v>
      </c>
      <c r="H7083" t="s">
        <v>5028</v>
      </c>
      <c r="J7083" t="s">
        <v>17</v>
      </c>
      <c r="K7083" t="str">
        <f>"793410327"</f>
        <v>793410327</v>
      </c>
      <c r="L7083" t="str">
        <f>"793410327"</f>
        <v>793410327</v>
      </c>
      <c r="M7083" t="s">
        <v>21</v>
      </c>
      <c r="N7083" s="1">
        <v>43396.929861111108</v>
      </c>
      <c r="O7083" t="s">
        <v>19</v>
      </c>
    </row>
    <row r="7084" spans="1:15" x14ac:dyDescent="0.25">
      <c r="A7084" t="s">
        <v>5121</v>
      </c>
      <c r="B7084" t="s">
        <v>15</v>
      </c>
      <c r="C7084" t="s">
        <v>2582</v>
      </c>
      <c r="D7084" t="s">
        <v>17</v>
      </c>
      <c r="E7084" t="s">
        <v>18</v>
      </c>
      <c r="F7084" t="s">
        <v>19</v>
      </c>
      <c r="G7084" t="s">
        <v>20</v>
      </c>
      <c r="H7084" t="s">
        <v>5003</v>
      </c>
      <c r="J7084" t="s">
        <v>17</v>
      </c>
      <c r="K7084" t="str">
        <f>"1000001004594"</f>
        <v>1000001004594</v>
      </c>
      <c r="L7084" t="str">
        <f>"763110313"</f>
        <v>763110313</v>
      </c>
      <c r="M7084" t="s">
        <v>21</v>
      </c>
      <c r="N7084" s="1">
        <v>43743.672222222223</v>
      </c>
      <c r="O7084" t="s">
        <v>19</v>
      </c>
    </row>
    <row r="7085" spans="1:15" x14ac:dyDescent="0.25">
      <c r="A7085" t="s">
        <v>5122</v>
      </c>
      <c r="B7085" t="s">
        <v>15</v>
      </c>
      <c r="C7085" t="s">
        <v>2582</v>
      </c>
      <c r="D7085" t="s">
        <v>17</v>
      </c>
      <c r="E7085" t="s">
        <v>18</v>
      </c>
      <c r="F7085" t="s">
        <v>19</v>
      </c>
      <c r="G7085" t="s">
        <v>20</v>
      </c>
      <c r="J7085" t="s">
        <v>17</v>
      </c>
      <c r="K7085" t="str">
        <f>"613410328"</f>
        <v>613410328</v>
      </c>
      <c r="L7085" t="str">
        <f>"613410328"</f>
        <v>613410328</v>
      </c>
      <c r="M7085" t="s">
        <v>21</v>
      </c>
      <c r="N7085" s="1">
        <v>44253.674305555556</v>
      </c>
      <c r="O7085" t="s">
        <v>19</v>
      </c>
    </row>
    <row r="7086" spans="1:15" x14ac:dyDescent="0.25">
      <c r="A7086" t="s">
        <v>5123</v>
      </c>
      <c r="B7086" t="s">
        <v>15</v>
      </c>
      <c r="C7086" t="s">
        <v>2582</v>
      </c>
      <c r="D7086" t="s">
        <v>17</v>
      </c>
      <c r="E7086" t="s">
        <v>18</v>
      </c>
      <c r="F7086" t="s">
        <v>19</v>
      </c>
      <c r="G7086" t="s">
        <v>20</v>
      </c>
      <c r="J7086" t="s">
        <v>17</v>
      </c>
      <c r="K7086" t="str">
        <f>"763431632"</f>
        <v>763431632</v>
      </c>
      <c r="L7086" t="str">
        <f>"763431632"</f>
        <v>763431632</v>
      </c>
      <c r="M7086" t="s">
        <v>21</v>
      </c>
      <c r="N7086" s="1">
        <v>44210.849305555559</v>
      </c>
      <c r="O7086" t="s">
        <v>19</v>
      </c>
    </row>
    <row r="7087" spans="1:15" x14ac:dyDescent="0.25">
      <c r="A7087" t="s">
        <v>5124</v>
      </c>
      <c r="B7087" t="s">
        <v>15</v>
      </c>
      <c r="C7087" t="s">
        <v>2582</v>
      </c>
      <c r="D7087" t="s">
        <v>17</v>
      </c>
      <c r="E7087" t="s">
        <v>18</v>
      </c>
      <c r="F7087" t="s">
        <v>19</v>
      </c>
      <c r="G7087" t="s">
        <v>20</v>
      </c>
      <c r="J7087" t="s">
        <v>17</v>
      </c>
      <c r="K7087" t="str">
        <f>"2019120200106"</f>
        <v>2019120200106</v>
      </c>
      <c r="L7087" t="str">
        <f>"183114289"</f>
        <v>183114289</v>
      </c>
      <c r="M7087" t="s">
        <v>21</v>
      </c>
      <c r="N7087" s="1">
        <v>43603.704861111109</v>
      </c>
      <c r="O7087" t="s">
        <v>19</v>
      </c>
    </row>
    <row r="7088" spans="1:15" x14ac:dyDescent="0.25">
      <c r="A7088" t="s">
        <v>5124</v>
      </c>
      <c r="B7088" t="s">
        <v>15</v>
      </c>
      <c r="C7088" t="s">
        <v>2582</v>
      </c>
      <c r="D7088" t="s">
        <v>17</v>
      </c>
      <c r="E7088" t="s">
        <v>18</v>
      </c>
      <c r="F7088" t="s">
        <v>19</v>
      </c>
      <c r="G7088" t="s">
        <v>20</v>
      </c>
      <c r="J7088" t="s">
        <v>17</v>
      </c>
      <c r="K7088" t="str">
        <f>"133414289"</f>
        <v>133414289</v>
      </c>
      <c r="L7088" t="str">
        <f>"133414289"</f>
        <v>133414289</v>
      </c>
      <c r="M7088" t="s">
        <v>21</v>
      </c>
      <c r="N7088" s="1">
        <v>44348.682638888888</v>
      </c>
      <c r="O7088" t="s">
        <v>19</v>
      </c>
    </row>
    <row r="7089" spans="1:15" x14ac:dyDescent="0.25">
      <c r="A7089" t="s">
        <v>5125</v>
      </c>
      <c r="B7089" t="s">
        <v>15</v>
      </c>
      <c r="C7089" t="s">
        <v>2582</v>
      </c>
      <c r="D7089" t="s">
        <v>17</v>
      </c>
      <c r="E7089" t="s">
        <v>18</v>
      </c>
      <c r="F7089" t="s">
        <v>19</v>
      </c>
      <c r="G7089" t="s">
        <v>20</v>
      </c>
      <c r="J7089" t="s">
        <v>17</v>
      </c>
      <c r="K7089" t="str">
        <f>"1908070129531"</f>
        <v>1908070129531</v>
      </c>
      <c r="L7089" t="str">
        <f>"343114303"</f>
        <v>343114303</v>
      </c>
      <c r="M7089" t="s">
        <v>21</v>
      </c>
      <c r="N7089" s="1">
        <v>44285.897222222222</v>
      </c>
      <c r="O7089" t="s">
        <v>19</v>
      </c>
    </row>
    <row r="7090" spans="1:15" x14ac:dyDescent="0.25">
      <c r="A7090" t="s">
        <v>5125</v>
      </c>
      <c r="B7090" t="s">
        <v>15</v>
      </c>
      <c r="C7090" t="s">
        <v>2582</v>
      </c>
      <c r="D7090" t="s">
        <v>17</v>
      </c>
      <c r="E7090" t="s">
        <v>18</v>
      </c>
      <c r="F7090" t="s">
        <v>19</v>
      </c>
      <c r="G7090" t="s">
        <v>20</v>
      </c>
      <c r="J7090" t="s">
        <v>17</v>
      </c>
      <c r="K7090" t="str">
        <f>"763414309"</f>
        <v>763414309</v>
      </c>
      <c r="L7090" t="str">
        <f>"763414309"</f>
        <v>763414309</v>
      </c>
      <c r="M7090" t="s">
        <v>21</v>
      </c>
      <c r="N7090" s="1">
        <v>44355.831944444442</v>
      </c>
      <c r="O7090" t="s">
        <v>19</v>
      </c>
    </row>
    <row r="7091" spans="1:15" x14ac:dyDescent="0.25">
      <c r="A7091" t="s">
        <v>5125</v>
      </c>
      <c r="B7091" t="s">
        <v>15</v>
      </c>
      <c r="C7091" t="s">
        <v>2582</v>
      </c>
      <c r="D7091" t="s">
        <v>17</v>
      </c>
      <c r="E7091" t="s">
        <v>18</v>
      </c>
      <c r="F7091" t="s">
        <v>19</v>
      </c>
      <c r="G7091" t="s">
        <v>20</v>
      </c>
      <c r="J7091" t="s">
        <v>17</v>
      </c>
      <c r="K7091" t="str">
        <f>"133114309"</f>
        <v>133114309</v>
      </c>
      <c r="L7091" t="str">
        <f>"133114309"</f>
        <v>133114309</v>
      </c>
      <c r="M7091" t="s">
        <v>21</v>
      </c>
      <c r="N7091" s="1">
        <v>44414.947222222225</v>
      </c>
      <c r="O7091" t="s">
        <v>19</v>
      </c>
    </row>
    <row r="7092" spans="1:15" x14ac:dyDescent="0.25">
      <c r="A7092" t="s">
        <v>5126</v>
      </c>
      <c r="B7092" t="s">
        <v>15</v>
      </c>
      <c r="C7092" t="s">
        <v>2582</v>
      </c>
      <c r="D7092" t="s">
        <v>17</v>
      </c>
      <c r="E7092" t="s">
        <v>18</v>
      </c>
      <c r="F7092" t="s">
        <v>19</v>
      </c>
      <c r="G7092" t="s">
        <v>20</v>
      </c>
      <c r="J7092" t="s">
        <v>17</v>
      </c>
      <c r="K7092" t="str">
        <f>"793414279"</f>
        <v>793414279</v>
      </c>
      <c r="L7092" t="str">
        <f>"793414279"</f>
        <v>793414279</v>
      </c>
      <c r="M7092" t="s">
        <v>21</v>
      </c>
      <c r="N7092" s="1">
        <v>43649.640277777777</v>
      </c>
      <c r="O7092" t="s">
        <v>19</v>
      </c>
    </row>
    <row r="7093" spans="1:15" x14ac:dyDescent="0.25">
      <c r="A7093" t="s">
        <v>5126</v>
      </c>
      <c r="B7093" t="s">
        <v>15</v>
      </c>
      <c r="C7093" t="s">
        <v>2582</v>
      </c>
      <c r="D7093" t="s">
        <v>17</v>
      </c>
      <c r="E7093" t="s">
        <v>18</v>
      </c>
      <c r="F7093" t="s">
        <v>19</v>
      </c>
      <c r="G7093" t="s">
        <v>20</v>
      </c>
      <c r="J7093" t="s">
        <v>17</v>
      </c>
      <c r="K7093" t="str">
        <f>"1908070126028"</f>
        <v>1908070126028</v>
      </c>
      <c r="L7093" t="str">
        <f>"343114279"</f>
        <v>343114279</v>
      </c>
      <c r="M7093" t="s">
        <v>21</v>
      </c>
      <c r="N7093" s="1">
        <v>43969.772916666669</v>
      </c>
      <c r="O7093" t="s">
        <v>19</v>
      </c>
    </row>
    <row r="7094" spans="1:15" x14ac:dyDescent="0.25">
      <c r="A7094" t="s">
        <v>5126</v>
      </c>
      <c r="B7094" t="s">
        <v>15</v>
      </c>
      <c r="C7094" t="s">
        <v>2582</v>
      </c>
      <c r="D7094" t="s">
        <v>17</v>
      </c>
      <c r="E7094" t="s">
        <v>18</v>
      </c>
      <c r="F7094" t="s">
        <v>19</v>
      </c>
      <c r="G7094" t="s">
        <v>20</v>
      </c>
      <c r="H7094" t="s">
        <v>5003</v>
      </c>
      <c r="J7094" t="s">
        <v>17</v>
      </c>
      <c r="K7094" t="str">
        <f>"1000001014067"</f>
        <v>1000001014067</v>
      </c>
      <c r="L7094" t="str">
        <f>"762514279"</f>
        <v>762514279</v>
      </c>
      <c r="M7094" t="s">
        <v>21</v>
      </c>
      <c r="N7094" s="1">
        <v>43720.649305555555</v>
      </c>
      <c r="O7094" t="s">
        <v>19</v>
      </c>
    </row>
    <row r="7095" spans="1:15" x14ac:dyDescent="0.25">
      <c r="A7095" t="s">
        <v>5127</v>
      </c>
      <c r="B7095" t="s">
        <v>15</v>
      </c>
      <c r="C7095" t="s">
        <v>2582</v>
      </c>
      <c r="D7095" t="s">
        <v>17</v>
      </c>
      <c r="E7095" t="s">
        <v>18</v>
      </c>
      <c r="F7095" t="s">
        <v>19</v>
      </c>
      <c r="G7095" t="s">
        <v>20</v>
      </c>
      <c r="J7095" t="s">
        <v>17</v>
      </c>
      <c r="K7095" t="str">
        <f>"762514284"</f>
        <v>762514284</v>
      </c>
      <c r="L7095" t="str">
        <f>"762514284"</f>
        <v>762514284</v>
      </c>
      <c r="M7095" t="s">
        <v>21</v>
      </c>
      <c r="N7095" s="1">
        <v>43798.681250000001</v>
      </c>
      <c r="O7095" t="s">
        <v>19</v>
      </c>
    </row>
    <row r="7096" spans="1:15" x14ac:dyDescent="0.25">
      <c r="A7096" t="s">
        <v>5127</v>
      </c>
      <c r="B7096" t="s">
        <v>15</v>
      </c>
      <c r="C7096" t="s">
        <v>2582</v>
      </c>
      <c r="D7096" t="s">
        <v>17</v>
      </c>
      <c r="E7096" t="s">
        <v>18</v>
      </c>
      <c r="F7096" t="s">
        <v>19</v>
      </c>
      <c r="G7096" t="s">
        <v>20</v>
      </c>
      <c r="J7096" t="s">
        <v>17</v>
      </c>
      <c r="K7096" t="str">
        <f>"793414284"</f>
        <v>793414284</v>
      </c>
      <c r="L7096" t="str">
        <f>"793414284"</f>
        <v>793414284</v>
      </c>
      <c r="M7096" t="s">
        <v>21</v>
      </c>
      <c r="N7096" s="1">
        <v>43834.683333333334</v>
      </c>
      <c r="O7096" t="s">
        <v>19</v>
      </c>
    </row>
    <row r="7097" spans="1:15" x14ac:dyDescent="0.25">
      <c r="A7097" t="s">
        <v>5127</v>
      </c>
      <c r="B7097" t="s">
        <v>15</v>
      </c>
      <c r="C7097" t="s">
        <v>2582</v>
      </c>
      <c r="D7097" t="s">
        <v>17</v>
      </c>
      <c r="E7097" t="s">
        <v>18</v>
      </c>
      <c r="F7097" t="s">
        <v>19</v>
      </c>
      <c r="G7097" t="s">
        <v>20</v>
      </c>
      <c r="J7097" t="s">
        <v>17</v>
      </c>
      <c r="K7097" t="str">
        <f>"763114284"</f>
        <v>763114284</v>
      </c>
      <c r="L7097" t="str">
        <f>"763114284"</f>
        <v>763114284</v>
      </c>
      <c r="M7097" t="s">
        <v>21</v>
      </c>
      <c r="N7097" s="1">
        <v>43862.831944444442</v>
      </c>
      <c r="O7097" t="s">
        <v>19</v>
      </c>
    </row>
    <row r="7098" spans="1:15" x14ac:dyDescent="0.25">
      <c r="A7098" t="s">
        <v>5127</v>
      </c>
      <c r="B7098" t="s">
        <v>15</v>
      </c>
      <c r="C7098" t="s">
        <v>2582</v>
      </c>
      <c r="D7098" t="s">
        <v>17</v>
      </c>
      <c r="E7098" t="s">
        <v>18</v>
      </c>
      <c r="F7098" t="s">
        <v>19</v>
      </c>
      <c r="G7098" t="s">
        <v>20</v>
      </c>
      <c r="J7098" t="s">
        <v>17</v>
      </c>
      <c r="K7098" t="str">
        <f>"133414284"</f>
        <v>133414284</v>
      </c>
      <c r="L7098" t="str">
        <f>"133414284"</f>
        <v>133414284</v>
      </c>
      <c r="M7098" t="s">
        <v>21</v>
      </c>
      <c r="N7098" s="1">
        <v>44348.683333333334</v>
      </c>
      <c r="O7098" t="s">
        <v>19</v>
      </c>
    </row>
    <row r="7099" spans="1:15" x14ac:dyDescent="0.25">
      <c r="A7099" t="s">
        <v>5127</v>
      </c>
      <c r="B7099" t="s">
        <v>15</v>
      </c>
      <c r="C7099" t="s">
        <v>2582</v>
      </c>
      <c r="D7099" t="s">
        <v>17</v>
      </c>
      <c r="E7099" t="s">
        <v>18</v>
      </c>
      <c r="F7099" t="s">
        <v>19</v>
      </c>
      <c r="G7099" t="s">
        <v>20</v>
      </c>
      <c r="J7099" t="s">
        <v>17</v>
      </c>
      <c r="K7099" t="str">
        <f>"133114284"</f>
        <v>133114284</v>
      </c>
      <c r="L7099" t="str">
        <f>"133114284"</f>
        <v>133114284</v>
      </c>
      <c r="M7099" t="s">
        <v>21</v>
      </c>
      <c r="N7099" s="1">
        <v>44414.947916666664</v>
      </c>
      <c r="O7099" t="s">
        <v>19</v>
      </c>
    </row>
    <row r="7100" spans="1:15" x14ac:dyDescent="0.25">
      <c r="A7100" t="s">
        <v>5127</v>
      </c>
      <c r="B7100" t="s">
        <v>15</v>
      </c>
      <c r="C7100" t="s">
        <v>2582</v>
      </c>
      <c r="D7100" t="s">
        <v>17</v>
      </c>
      <c r="E7100" t="s">
        <v>18</v>
      </c>
      <c r="F7100" t="s">
        <v>19</v>
      </c>
      <c r="G7100" t="s">
        <v>20</v>
      </c>
      <c r="H7100" t="s">
        <v>5003</v>
      </c>
      <c r="J7100" t="s">
        <v>17</v>
      </c>
      <c r="K7100" t="str">
        <f>"1908070127285"</f>
        <v>1908070127285</v>
      </c>
      <c r="L7100" t="str">
        <f>"343114284"</f>
        <v>343114284</v>
      </c>
      <c r="M7100" t="s">
        <v>21</v>
      </c>
      <c r="N7100" s="1">
        <v>43969.773611111108</v>
      </c>
      <c r="O7100" t="s">
        <v>19</v>
      </c>
    </row>
    <row r="7101" spans="1:15" x14ac:dyDescent="0.25">
      <c r="A7101" t="s">
        <v>5128</v>
      </c>
      <c r="B7101" t="s">
        <v>15</v>
      </c>
      <c r="C7101" t="s">
        <v>2582</v>
      </c>
      <c r="D7101" t="s">
        <v>17</v>
      </c>
      <c r="E7101" t="s">
        <v>18</v>
      </c>
      <c r="F7101" t="s">
        <v>19</v>
      </c>
      <c r="G7101" t="s">
        <v>20</v>
      </c>
      <c r="J7101" t="s">
        <v>17</v>
      </c>
      <c r="K7101" t="str">
        <f>"793414287"</f>
        <v>793414287</v>
      </c>
      <c r="L7101" t="str">
        <f>"793414287"</f>
        <v>793414287</v>
      </c>
      <c r="M7101" t="s">
        <v>21</v>
      </c>
      <c r="N7101" s="1">
        <v>42872.847222222219</v>
      </c>
      <c r="O7101" t="s">
        <v>19</v>
      </c>
    </row>
    <row r="7102" spans="1:15" x14ac:dyDescent="0.25">
      <c r="A7102" t="s">
        <v>5129</v>
      </c>
      <c r="B7102" t="s">
        <v>15</v>
      </c>
      <c r="C7102" t="s">
        <v>2582</v>
      </c>
      <c r="D7102" t="s">
        <v>17</v>
      </c>
      <c r="E7102" t="s">
        <v>18</v>
      </c>
      <c r="F7102" t="s">
        <v>19</v>
      </c>
      <c r="G7102" t="s">
        <v>20</v>
      </c>
      <c r="J7102" t="s">
        <v>17</v>
      </c>
      <c r="K7102" t="str">
        <f>"763114300"</f>
        <v>763114300</v>
      </c>
      <c r="L7102" t="str">
        <f>"763114300"</f>
        <v>763114300</v>
      </c>
      <c r="M7102" t="s">
        <v>21</v>
      </c>
      <c r="N7102" s="1">
        <v>44285.637499999997</v>
      </c>
      <c r="O7102" t="s">
        <v>19</v>
      </c>
    </row>
    <row r="7103" spans="1:15" x14ac:dyDescent="0.25">
      <c r="A7103" t="s">
        <v>5129</v>
      </c>
      <c r="B7103" t="s">
        <v>15</v>
      </c>
      <c r="C7103" t="s">
        <v>2582</v>
      </c>
      <c r="D7103" t="s">
        <v>17</v>
      </c>
      <c r="E7103" t="s">
        <v>18</v>
      </c>
      <c r="F7103" t="s">
        <v>19</v>
      </c>
      <c r="G7103" t="s">
        <v>20</v>
      </c>
      <c r="J7103" t="s">
        <v>17</v>
      </c>
      <c r="K7103" t="str">
        <f>"1908070129685"</f>
        <v>1908070129685</v>
      </c>
      <c r="L7103" t="str">
        <f>"343114301"</f>
        <v>343114301</v>
      </c>
      <c r="M7103" t="s">
        <v>21</v>
      </c>
      <c r="N7103" s="1">
        <v>44285.895833333336</v>
      </c>
      <c r="O7103" t="s">
        <v>19</v>
      </c>
    </row>
    <row r="7104" spans="1:15" x14ac:dyDescent="0.25">
      <c r="A7104" t="s">
        <v>5129</v>
      </c>
      <c r="B7104" t="s">
        <v>15</v>
      </c>
      <c r="C7104" t="s">
        <v>2582</v>
      </c>
      <c r="D7104" t="s">
        <v>17</v>
      </c>
      <c r="E7104" t="s">
        <v>18</v>
      </c>
      <c r="F7104" t="s">
        <v>19</v>
      </c>
      <c r="G7104" t="s">
        <v>20</v>
      </c>
      <c r="J7104" t="s">
        <v>17</v>
      </c>
      <c r="K7104" t="str">
        <f>"1908070129692"</f>
        <v>1908070129692</v>
      </c>
      <c r="L7104" t="str">
        <f>"343114300"</f>
        <v>343114300</v>
      </c>
      <c r="M7104" t="s">
        <v>21</v>
      </c>
      <c r="N7104" s="1">
        <v>44285.902777777781</v>
      </c>
      <c r="O7104" t="s">
        <v>19</v>
      </c>
    </row>
    <row r="7105" spans="1:15" x14ac:dyDescent="0.25">
      <c r="A7105" t="s">
        <v>5129</v>
      </c>
      <c r="B7105" t="s">
        <v>15</v>
      </c>
      <c r="C7105" t="s">
        <v>2582</v>
      </c>
      <c r="D7105" t="s">
        <v>17</v>
      </c>
      <c r="E7105" t="s">
        <v>18</v>
      </c>
      <c r="F7105" t="s">
        <v>19</v>
      </c>
      <c r="G7105" t="s">
        <v>20</v>
      </c>
      <c r="J7105" t="s">
        <v>17</v>
      </c>
      <c r="K7105" t="str">
        <f>"133414300"</f>
        <v>133414300</v>
      </c>
      <c r="L7105" t="str">
        <f>"133414300"</f>
        <v>133414300</v>
      </c>
      <c r="M7105" t="s">
        <v>21</v>
      </c>
      <c r="N7105" s="1">
        <v>44348.680555555555</v>
      </c>
      <c r="O7105" t="s">
        <v>19</v>
      </c>
    </row>
    <row r="7106" spans="1:15" x14ac:dyDescent="0.25">
      <c r="A7106" t="s">
        <v>5130</v>
      </c>
      <c r="B7106" t="s">
        <v>15</v>
      </c>
      <c r="C7106" t="s">
        <v>2582</v>
      </c>
      <c r="D7106" t="s">
        <v>17</v>
      </c>
      <c r="E7106" t="s">
        <v>18</v>
      </c>
      <c r="F7106" t="s">
        <v>19</v>
      </c>
      <c r="G7106" t="s">
        <v>20</v>
      </c>
      <c r="H7106" t="s">
        <v>5003</v>
      </c>
      <c r="J7106" t="s">
        <v>17</v>
      </c>
      <c r="K7106" t="str">
        <f>"1000001014029"</f>
        <v>1000001014029</v>
      </c>
      <c r="L7106" t="str">
        <f>"793114281"</f>
        <v>793114281</v>
      </c>
      <c r="M7106" t="s">
        <v>21</v>
      </c>
      <c r="N7106" s="1">
        <v>43743.671527777777</v>
      </c>
      <c r="O7106" t="s">
        <v>19</v>
      </c>
    </row>
    <row r="7107" spans="1:15" x14ac:dyDescent="0.25">
      <c r="A7107" t="s">
        <v>5130</v>
      </c>
      <c r="B7107" t="s">
        <v>15</v>
      </c>
      <c r="C7107" t="s">
        <v>2582</v>
      </c>
      <c r="D7107" t="s">
        <v>17</v>
      </c>
      <c r="E7107" t="s">
        <v>18</v>
      </c>
      <c r="F7107" t="s">
        <v>19</v>
      </c>
      <c r="G7107" t="s">
        <v>20</v>
      </c>
      <c r="H7107" t="s">
        <v>5003</v>
      </c>
      <c r="J7107" t="s">
        <v>17</v>
      </c>
      <c r="K7107" t="str">
        <f>"1908070125809"</f>
        <v>1908070125809</v>
      </c>
      <c r="L7107" t="str">
        <f>"343114281"</f>
        <v>343114281</v>
      </c>
      <c r="M7107" t="s">
        <v>21</v>
      </c>
      <c r="N7107" s="1">
        <v>43798.886111111111</v>
      </c>
      <c r="O7107" t="s">
        <v>19</v>
      </c>
    </row>
    <row r="7108" spans="1:15" x14ac:dyDescent="0.25">
      <c r="A7108" t="s">
        <v>5131</v>
      </c>
      <c r="B7108" t="s">
        <v>15</v>
      </c>
      <c r="C7108" t="s">
        <v>2582</v>
      </c>
      <c r="D7108" t="s">
        <v>17</v>
      </c>
      <c r="E7108" t="s">
        <v>18</v>
      </c>
      <c r="F7108" t="s">
        <v>19</v>
      </c>
      <c r="G7108" t="s">
        <v>20</v>
      </c>
      <c r="J7108" t="s">
        <v>17</v>
      </c>
      <c r="K7108" t="str">
        <f>"133414285"</f>
        <v>133414285</v>
      </c>
      <c r="L7108" t="str">
        <f>"133414285"</f>
        <v>133414285</v>
      </c>
      <c r="M7108" t="s">
        <v>21</v>
      </c>
      <c r="N7108" s="1">
        <v>44348.684027777781</v>
      </c>
      <c r="O7108" t="s">
        <v>19</v>
      </c>
    </row>
    <row r="7109" spans="1:15" x14ac:dyDescent="0.25">
      <c r="A7109" t="s">
        <v>5131</v>
      </c>
      <c r="B7109" t="s">
        <v>15</v>
      </c>
      <c r="C7109" t="s">
        <v>2582</v>
      </c>
      <c r="D7109" t="s">
        <v>17</v>
      </c>
      <c r="E7109" t="s">
        <v>18</v>
      </c>
      <c r="F7109" t="s">
        <v>19</v>
      </c>
      <c r="G7109" t="s">
        <v>20</v>
      </c>
      <c r="J7109" t="s">
        <v>17</v>
      </c>
      <c r="K7109" t="str">
        <f>"133114285"</f>
        <v>133114285</v>
      </c>
      <c r="L7109" t="str">
        <f>"133114285"</f>
        <v>133114285</v>
      </c>
      <c r="M7109" t="s">
        <v>21</v>
      </c>
      <c r="N7109" s="1">
        <v>44414.947916666664</v>
      </c>
      <c r="O7109" t="s">
        <v>19</v>
      </c>
    </row>
    <row r="7110" spans="1:15" x14ac:dyDescent="0.25">
      <c r="A7110" t="s">
        <v>5131</v>
      </c>
      <c r="B7110" t="s">
        <v>15</v>
      </c>
      <c r="C7110" t="s">
        <v>2582</v>
      </c>
      <c r="D7110" t="s">
        <v>17</v>
      </c>
      <c r="E7110" t="s">
        <v>18</v>
      </c>
      <c r="F7110" t="s">
        <v>19</v>
      </c>
      <c r="G7110" t="s">
        <v>20</v>
      </c>
      <c r="H7110" t="s">
        <v>5003</v>
      </c>
      <c r="J7110" t="s">
        <v>17</v>
      </c>
      <c r="K7110" t="str">
        <f>"762514285"</f>
        <v>762514285</v>
      </c>
      <c r="L7110" t="str">
        <f>"792514285"</f>
        <v>792514285</v>
      </c>
      <c r="M7110" t="s">
        <v>21</v>
      </c>
      <c r="N7110" s="1">
        <v>43798.680555555555</v>
      </c>
      <c r="O7110" t="s">
        <v>19</v>
      </c>
    </row>
    <row r="7111" spans="1:15" x14ac:dyDescent="0.25">
      <c r="A7111" t="s">
        <v>5131</v>
      </c>
      <c r="B7111" t="s">
        <v>15</v>
      </c>
      <c r="C7111" t="s">
        <v>2582</v>
      </c>
      <c r="D7111" t="s">
        <v>17</v>
      </c>
      <c r="E7111" t="s">
        <v>18</v>
      </c>
      <c r="F7111" t="s">
        <v>19</v>
      </c>
      <c r="G7111" t="s">
        <v>20</v>
      </c>
      <c r="H7111" t="s">
        <v>5003</v>
      </c>
      <c r="J7111" t="s">
        <v>17</v>
      </c>
      <c r="K7111" t="str">
        <f>"1908070127292"</f>
        <v>1908070127292</v>
      </c>
      <c r="L7111" t="str">
        <f>"343114285"</f>
        <v>343114285</v>
      </c>
      <c r="M7111" t="s">
        <v>21</v>
      </c>
      <c r="N7111" s="1">
        <v>43834.68472222222</v>
      </c>
      <c r="O7111" t="s">
        <v>19</v>
      </c>
    </row>
    <row r="7112" spans="1:15" x14ac:dyDescent="0.25">
      <c r="A7112" t="s">
        <v>5132</v>
      </c>
      <c r="B7112" t="s">
        <v>15</v>
      </c>
      <c r="C7112" t="s">
        <v>2582</v>
      </c>
      <c r="D7112" t="s">
        <v>17</v>
      </c>
      <c r="E7112" t="s">
        <v>18</v>
      </c>
      <c r="F7112" t="s">
        <v>19</v>
      </c>
      <c r="G7112" t="s">
        <v>20</v>
      </c>
      <c r="J7112" t="s">
        <v>17</v>
      </c>
      <c r="K7112" t="str">
        <f>"133414293"</f>
        <v>133414293</v>
      </c>
      <c r="L7112" t="str">
        <f>"133414293"</f>
        <v>133414293</v>
      </c>
      <c r="M7112" t="s">
        <v>21</v>
      </c>
      <c r="N7112" s="1">
        <v>44348.681944444441</v>
      </c>
      <c r="O7112" t="s">
        <v>19</v>
      </c>
    </row>
    <row r="7113" spans="1:15" x14ac:dyDescent="0.25">
      <c r="A7113" t="s">
        <v>5132</v>
      </c>
      <c r="B7113" t="s">
        <v>15</v>
      </c>
      <c r="C7113" t="s">
        <v>2582</v>
      </c>
      <c r="D7113" t="s">
        <v>17</v>
      </c>
      <c r="E7113" t="s">
        <v>18</v>
      </c>
      <c r="F7113" t="s">
        <v>19</v>
      </c>
      <c r="G7113" t="s">
        <v>20</v>
      </c>
      <c r="H7113" t="s">
        <v>5003</v>
      </c>
      <c r="J7113" t="s">
        <v>17</v>
      </c>
      <c r="K7113" t="str">
        <f>"1908070129029"</f>
        <v>1908070129029</v>
      </c>
      <c r="L7113" t="str">
        <f>"793414293"</f>
        <v>793414293</v>
      </c>
      <c r="M7113" t="s">
        <v>21</v>
      </c>
      <c r="N7113" s="1">
        <v>43378.581944444442</v>
      </c>
      <c r="O7113" t="s">
        <v>19</v>
      </c>
    </row>
    <row r="7114" spans="1:15" x14ac:dyDescent="0.25">
      <c r="A7114" t="s">
        <v>5133</v>
      </c>
      <c r="B7114" t="s">
        <v>15</v>
      </c>
      <c r="C7114" t="s">
        <v>2582</v>
      </c>
      <c r="D7114" t="s">
        <v>17</v>
      </c>
      <c r="E7114" t="s">
        <v>18</v>
      </c>
      <c r="F7114" t="s">
        <v>19</v>
      </c>
      <c r="G7114" t="s">
        <v>20</v>
      </c>
      <c r="J7114" t="s">
        <v>17</v>
      </c>
      <c r="K7114" t="str">
        <f>"2019029900695"</f>
        <v>2019029900695</v>
      </c>
      <c r="L7114" t="str">
        <f>"183114274"</f>
        <v>183114274</v>
      </c>
      <c r="M7114" t="s">
        <v>21</v>
      </c>
      <c r="N7114" s="1">
        <v>43603.705555555556</v>
      </c>
      <c r="O7114" t="s">
        <v>19</v>
      </c>
    </row>
    <row r="7115" spans="1:15" x14ac:dyDescent="0.25">
      <c r="A7115" t="s">
        <v>5134</v>
      </c>
      <c r="B7115" t="s">
        <v>15</v>
      </c>
      <c r="C7115" t="s">
        <v>2582</v>
      </c>
      <c r="D7115" t="s">
        <v>17</v>
      </c>
      <c r="E7115" t="s">
        <v>18</v>
      </c>
      <c r="F7115" t="s">
        <v>19</v>
      </c>
      <c r="G7115" t="s">
        <v>20</v>
      </c>
      <c r="H7115" t="s">
        <v>5003</v>
      </c>
      <c r="J7115" t="s">
        <v>17</v>
      </c>
      <c r="K7115" t="str">
        <f>"1908070125366"</f>
        <v>1908070125366</v>
      </c>
      <c r="L7115" t="str">
        <f>"343414275"</f>
        <v>343414275</v>
      </c>
      <c r="M7115" t="s">
        <v>84</v>
      </c>
      <c r="N7115" s="1">
        <v>43566.65625</v>
      </c>
      <c r="O7115" t="s">
        <v>19</v>
      </c>
    </row>
    <row r="7116" spans="1:15" x14ac:dyDescent="0.25">
      <c r="A7116" t="s">
        <v>5134</v>
      </c>
      <c r="B7116" t="s">
        <v>15</v>
      </c>
      <c r="C7116" t="s">
        <v>2582</v>
      </c>
      <c r="D7116" t="s">
        <v>17</v>
      </c>
      <c r="E7116" t="s">
        <v>18</v>
      </c>
      <c r="F7116" t="s">
        <v>19</v>
      </c>
      <c r="G7116" t="s">
        <v>20</v>
      </c>
      <c r="H7116" t="s">
        <v>5003</v>
      </c>
      <c r="J7116" t="s">
        <v>17</v>
      </c>
      <c r="K7116" t="str">
        <f>"1000001004839"</f>
        <v>1000001004839</v>
      </c>
      <c r="L7116" t="str">
        <f>"762514274"</f>
        <v>762514274</v>
      </c>
      <c r="M7116" t="s">
        <v>21</v>
      </c>
      <c r="N7116" s="1">
        <v>43658.82708333333</v>
      </c>
      <c r="O7116" t="s">
        <v>19</v>
      </c>
    </row>
    <row r="7117" spans="1:15" x14ac:dyDescent="0.25">
      <c r="A7117" t="s">
        <v>5135</v>
      </c>
      <c r="B7117" t="s">
        <v>15</v>
      </c>
      <c r="C7117" t="s">
        <v>2582</v>
      </c>
      <c r="D7117" t="s">
        <v>17</v>
      </c>
      <c r="E7117" t="s">
        <v>18</v>
      </c>
      <c r="F7117" t="s">
        <v>19</v>
      </c>
      <c r="G7117" t="s">
        <v>20</v>
      </c>
      <c r="J7117" t="s">
        <v>17</v>
      </c>
      <c r="K7117" t="str">
        <f>"793414286"</f>
        <v>793414286</v>
      </c>
      <c r="L7117" t="str">
        <f>"793414286"</f>
        <v>793414286</v>
      </c>
      <c r="M7117" t="s">
        <v>21</v>
      </c>
      <c r="N7117" s="1">
        <v>43834.679166666669</v>
      </c>
      <c r="O7117" t="s">
        <v>19</v>
      </c>
    </row>
    <row r="7118" spans="1:15" x14ac:dyDescent="0.25">
      <c r="A7118" t="s">
        <v>5135</v>
      </c>
      <c r="B7118" t="s">
        <v>15</v>
      </c>
      <c r="C7118" t="s">
        <v>2582</v>
      </c>
      <c r="D7118" t="s">
        <v>17</v>
      </c>
      <c r="E7118" t="s">
        <v>18</v>
      </c>
      <c r="F7118" t="s">
        <v>19</v>
      </c>
      <c r="G7118" t="s">
        <v>20</v>
      </c>
      <c r="H7118" t="s">
        <v>5003</v>
      </c>
      <c r="J7118" t="s">
        <v>17</v>
      </c>
      <c r="K7118" t="str">
        <f>"1908070127308"</f>
        <v>1908070127308</v>
      </c>
      <c r="L7118" t="str">
        <f>"343114286"</f>
        <v>343114286</v>
      </c>
      <c r="M7118" t="s">
        <v>21</v>
      </c>
      <c r="N7118" s="1">
        <v>42872.839583333334</v>
      </c>
      <c r="O7118" t="s">
        <v>19</v>
      </c>
    </row>
    <row r="7119" spans="1:15" x14ac:dyDescent="0.25">
      <c r="A7119" t="s">
        <v>5135</v>
      </c>
      <c r="B7119" t="s">
        <v>15</v>
      </c>
      <c r="C7119" t="s">
        <v>2582</v>
      </c>
      <c r="D7119" t="s">
        <v>17</v>
      </c>
      <c r="E7119" t="s">
        <v>18</v>
      </c>
      <c r="F7119" t="s">
        <v>19</v>
      </c>
      <c r="G7119" t="s">
        <v>20</v>
      </c>
      <c r="H7119" t="s">
        <v>5003</v>
      </c>
      <c r="J7119" t="s">
        <v>17</v>
      </c>
      <c r="K7119" t="str">
        <f>"762514286"</f>
        <v>762514286</v>
      </c>
      <c r="L7119" t="str">
        <f>"762514286"</f>
        <v>762514286</v>
      </c>
      <c r="M7119" t="s">
        <v>21</v>
      </c>
      <c r="N7119" s="1">
        <v>43862.668055555558</v>
      </c>
      <c r="O7119" t="s">
        <v>19</v>
      </c>
    </row>
    <row r="7120" spans="1:15" x14ac:dyDescent="0.25">
      <c r="A7120" t="s">
        <v>5136</v>
      </c>
      <c r="B7120" t="s">
        <v>15</v>
      </c>
      <c r="C7120" t="s">
        <v>2582</v>
      </c>
      <c r="D7120" t="s">
        <v>17</v>
      </c>
      <c r="E7120" t="s">
        <v>18</v>
      </c>
      <c r="F7120" t="s">
        <v>19</v>
      </c>
      <c r="G7120" t="s">
        <v>20</v>
      </c>
      <c r="J7120" t="s">
        <v>17</v>
      </c>
      <c r="K7120" t="str">
        <f>"133414294"</f>
        <v>133414294</v>
      </c>
      <c r="L7120" t="str">
        <f>"133414294"</f>
        <v>133414294</v>
      </c>
      <c r="M7120" t="s">
        <v>21</v>
      </c>
      <c r="N7120" s="1">
        <v>44348.681944444441</v>
      </c>
      <c r="O7120" t="s">
        <v>19</v>
      </c>
    </row>
    <row r="7121" spans="1:15" x14ac:dyDescent="0.25">
      <c r="A7121" t="s">
        <v>5136</v>
      </c>
      <c r="B7121" t="s">
        <v>15</v>
      </c>
      <c r="C7121" t="s">
        <v>2582</v>
      </c>
      <c r="D7121" t="s">
        <v>17</v>
      </c>
      <c r="E7121" t="s">
        <v>18</v>
      </c>
      <c r="F7121" t="s">
        <v>19</v>
      </c>
      <c r="G7121" t="s">
        <v>20</v>
      </c>
      <c r="H7121" t="s">
        <v>5003</v>
      </c>
      <c r="J7121" t="s">
        <v>17</v>
      </c>
      <c r="K7121" t="str">
        <f>"763414294"</f>
        <v>763414294</v>
      </c>
      <c r="L7121" t="str">
        <f>"763414294"</f>
        <v>763414294</v>
      </c>
      <c r="M7121" t="s">
        <v>21</v>
      </c>
      <c r="N7121" s="1">
        <v>43066.76458333333</v>
      </c>
      <c r="O7121" t="s">
        <v>19</v>
      </c>
    </row>
    <row r="7122" spans="1:15" x14ac:dyDescent="0.25">
      <c r="A7122" t="s">
        <v>5136</v>
      </c>
      <c r="B7122" t="s">
        <v>15</v>
      </c>
      <c r="C7122" t="s">
        <v>2582</v>
      </c>
      <c r="D7122" t="s">
        <v>17</v>
      </c>
      <c r="E7122" t="s">
        <v>18</v>
      </c>
      <c r="F7122" t="s">
        <v>19</v>
      </c>
      <c r="G7122" t="s">
        <v>20</v>
      </c>
      <c r="H7122" t="s">
        <v>5003</v>
      </c>
      <c r="J7122" t="s">
        <v>17</v>
      </c>
      <c r="K7122" t="str">
        <f>"793414294"</f>
        <v>793414294</v>
      </c>
      <c r="L7122" t="str">
        <f>"793414294"</f>
        <v>793414294</v>
      </c>
      <c r="M7122" t="s">
        <v>21</v>
      </c>
      <c r="N7122" s="1">
        <v>43566.656944444447</v>
      </c>
      <c r="O7122" t="s">
        <v>19</v>
      </c>
    </row>
    <row r="7123" spans="1:15" x14ac:dyDescent="0.25">
      <c r="A7123" t="s">
        <v>5137</v>
      </c>
      <c r="B7123" t="s">
        <v>15</v>
      </c>
      <c r="C7123" t="s">
        <v>2582</v>
      </c>
      <c r="D7123" t="s">
        <v>17</v>
      </c>
      <c r="E7123" t="s">
        <v>18</v>
      </c>
      <c r="F7123" t="s">
        <v>19</v>
      </c>
      <c r="G7123" t="s">
        <v>20</v>
      </c>
      <c r="J7123" t="s">
        <v>17</v>
      </c>
      <c r="K7123" t="str">
        <f>"133414304"</f>
        <v>133414304</v>
      </c>
      <c r="L7123" t="str">
        <f>"133414304"</f>
        <v>133414304</v>
      </c>
      <c r="M7123" t="s">
        <v>21</v>
      </c>
      <c r="N7123" s="1">
        <v>44348.680555555555</v>
      </c>
      <c r="O7123" t="s">
        <v>19</v>
      </c>
    </row>
    <row r="7124" spans="1:15" x14ac:dyDescent="0.25">
      <c r="A7124" t="s">
        <v>5137</v>
      </c>
      <c r="B7124" t="s">
        <v>15</v>
      </c>
      <c r="C7124" t="s">
        <v>2582</v>
      </c>
      <c r="D7124" t="s">
        <v>17</v>
      </c>
      <c r="E7124" t="s">
        <v>18</v>
      </c>
      <c r="F7124" t="s">
        <v>19</v>
      </c>
      <c r="G7124" t="s">
        <v>20</v>
      </c>
      <c r="J7124" t="s">
        <v>17</v>
      </c>
      <c r="K7124" t="str">
        <f>"763414304"</f>
        <v>763414304</v>
      </c>
      <c r="L7124" t="str">
        <f>"763414304"</f>
        <v>763414304</v>
      </c>
      <c r="M7124" t="s">
        <v>21</v>
      </c>
      <c r="N7124" s="1">
        <v>44355.831944444442</v>
      </c>
      <c r="O7124" t="s">
        <v>19</v>
      </c>
    </row>
    <row r="7125" spans="1:15" x14ac:dyDescent="0.25">
      <c r="A7125" t="s">
        <v>5138</v>
      </c>
      <c r="B7125" t="s">
        <v>15</v>
      </c>
      <c r="C7125" t="s">
        <v>2582</v>
      </c>
      <c r="D7125" t="s">
        <v>17</v>
      </c>
      <c r="E7125" t="s">
        <v>18</v>
      </c>
      <c r="F7125" t="s">
        <v>19</v>
      </c>
      <c r="G7125" t="s">
        <v>20</v>
      </c>
      <c r="J7125" t="s">
        <v>17</v>
      </c>
      <c r="K7125" t="str">
        <f>"133114304"</f>
        <v>133114304</v>
      </c>
      <c r="L7125" t="str">
        <f>"133114304"</f>
        <v>133114304</v>
      </c>
      <c r="M7125" t="s">
        <v>21</v>
      </c>
      <c r="N7125" s="1">
        <v>44414.95</v>
      </c>
      <c r="O7125" t="s">
        <v>19</v>
      </c>
    </row>
    <row r="7126" spans="1:15" x14ac:dyDescent="0.25">
      <c r="A7126" t="s">
        <v>5139</v>
      </c>
      <c r="B7126" t="s">
        <v>15</v>
      </c>
      <c r="C7126" t="s">
        <v>2582</v>
      </c>
      <c r="D7126" t="s">
        <v>17</v>
      </c>
      <c r="E7126" t="s">
        <v>18</v>
      </c>
      <c r="F7126" t="s">
        <v>19</v>
      </c>
      <c r="G7126" t="s">
        <v>20</v>
      </c>
      <c r="J7126" t="s">
        <v>17</v>
      </c>
      <c r="K7126" t="str">
        <f>"613414275"</f>
        <v>613414275</v>
      </c>
      <c r="L7126" t="str">
        <f>"613414275"</f>
        <v>613414275</v>
      </c>
      <c r="M7126" t="s">
        <v>21</v>
      </c>
      <c r="N7126" s="1">
        <v>44253.675694444442</v>
      </c>
      <c r="O7126" t="s">
        <v>19</v>
      </c>
    </row>
    <row r="7127" spans="1:15" x14ac:dyDescent="0.25">
      <c r="A7127" t="s">
        <v>5139</v>
      </c>
      <c r="B7127" t="s">
        <v>15</v>
      </c>
      <c r="C7127" t="s">
        <v>2582</v>
      </c>
      <c r="D7127" t="s">
        <v>17</v>
      </c>
      <c r="E7127" t="s">
        <v>18</v>
      </c>
      <c r="F7127" t="s">
        <v>19</v>
      </c>
      <c r="G7127" t="s">
        <v>20</v>
      </c>
      <c r="J7127" t="s">
        <v>17</v>
      </c>
      <c r="K7127" t="str">
        <f>"133114275"</f>
        <v>133114275</v>
      </c>
      <c r="L7127" t="str">
        <f>"133114275"</f>
        <v>133114275</v>
      </c>
      <c r="M7127" t="s">
        <v>21</v>
      </c>
      <c r="N7127" s="1">
        <v>44414.950694444444</v>
      </c>
      <c r="O7127" t="s">
        <v>19</v>
      </c>
    </row>
    <row r="7128" spans="1:15" x14ac:dyDescent="0.25">
      <c r="A7128" t="s">
        <v>5139</v>
      </c>
      <c r="B7128" t="s">
        <v>15</v>
      </c>
      <c r="C7128" t="s">
        <v>2582</v>
      </c>
      <c r="D7128" t="s">
        <v>17</v>
      </c>
      <c r="E7128" t="s">
        <v>18</v>
      </c>
      <c r="F7128" t="s">
        <v>19</v>
      </c>
      <c r="G7128" t="s">
        <v>20</v>
      </c>
      <c r="H7128" t="s">
        <v>5003</v>
      </c>
      <c r="J7128" t="s">
        <v>17</v>
      </c>
      <c r="K7128" t="str">
        <f>"793414275"</f>
        <v>793414275</v>
      </c>
      <c r="L7128" t="str">
        <f>"793414275"</f>
        <v>793414275</v>
      </c>
      <c r="M7128" t="s">
        <v>21</v>
      </c>
      <c r="N7128" s="1">
        <v>43686.73541666667</v>
      </c>
      <c r="O7128" t="s">
        <v>19</v>
      </c>
    </row>
    <row r="7129" spans="1:15" x14ac:dyDescent="0.25">
      <c r="A7129" t="s">
        <v>5140</v>
      </c>
      <c r="B7129" t="s">
        <v>15</v>
      </c>
      <c r="C7129" t="s">
        <v>2582</v>
      </c>
      <c r="D7129" t="s">
        <v>17</v>
      </c>
      <c r="E7129" t="s">
        <v>18</v>
      </c>
      <c r="F7129" t="s">
        <v>19</v>
      </c>
      <c r="G7129" t="s">
        <v>20</v>
      </c>
      <c r="J7129" t="s">
        <v>17</v>
      </c>
      <c r="K7129" t="str">
        <f>"613414288"</f>
        <v>613414288</v>
      </c>
      <c r="L7129" t="str">
        <f>"613414288"</f>
        <v>613414288</v>
      </c>
      <c r="M7129" t="s">
        <v>21</v>
      </c>
      <c r="N7129" s="1">
        <v>44253.67291666667</v>
      </c>
      <c r="O7129" t="s">
        <v>19</v>
      </c>
    </row>
    <row r="7130" spans="1:15" x14ac:dyDescent="0.25">
      <c r="A7130" t="s">
        <v>5140</v>
      </c>
      <c r="B7130" t="s">
        <v>15</v>
      </c>
      <c r="C7130" t="s">
        <v>2582</v>
      </c>
      <c r="D7130" t="s">
        <v>17</v>
      </c>
      <c r="E7130" t="s">
        <v>18</v>
      </c>
      <c r="F7130" t="s">
        <v>19</v>
      </c>
      <c r="G7130" t="s">
        <v>20</v>
      </c>
      <c r="J7130" t="s">
        <v>17</v>
      </c>
      <c r="K7130" t="str">
        <f>"133414288"</f>
        <v>133414288</v>
      </c>
      <c r="L7130" t="str">
        <f>"133414288"</f>
        <v>133414288</v>
      </c>
      <c r="M7130" t="s">
        <v>21</v>
      </c>
      <c r="N7130" s="1">
        <v>44348.679861111108</v>
      </c>
      <c r="O7130" t="s">
        <v>19</v>
      </c>
    </row>
    <row r="7131" spans="1:15" x14ac:dyDescent="0.25">
      <c r="A7131" t="s">
        <v>5140</v>
      </c>
      <c r="B7131" t="s">
        <v>15</v>
      </c>
      <c r="C7131" t="s">
        <v>2582</v>
      </c>
      <c r="D7131" t="s">
        <v>17</v>
      </c>
      <c r="E7131" t="s">
        <v>18</v>
      </c>
      <c r="F7131" t="s">
        <v>19</v>
      </c>
      <c r="G7131" t="s">
        <v>20</v>
      </c>
      <c r="H7131" t="s">
        <v>5003</v>
      </c>
      <c r="J7131" t="s">
        <v>17</v>
      </c>
      <c r="K7131" t="str">
        <f>"1908070128251"</f>
        <v>1908070128251</v>
      </c>
      <c r="L7131" t="str">
        <f>"793414288"</f>
        <v>793414288</v>
      </c>
      <c r="M7131" t="s">
        <v>21</v>
      </c>
      <c r="N7131" s="1">
        <v>43969.774305555555</v>
      </c>
      <c r="O7131" t="s">
        <v>19</v>
      </c>
    </row>
    <row r="7132" spans="1:15" x14ac:dyDescent="0.25">
      <c r="A7132" t="s">
        <v>5141</v>
      </c>
      <c r="B7132" t="s">
        <v>15</v>
      </c>
      <c r="C7132" t="s">
        <v>2582</v>
      </c>
      <c r="D7132" t="s">
        <v>17</v>
      </c>
      <c r="E7132" t="s">
        <v>18</v>
      </c>
      <c r="F7132" t="s">
        <v>19</v>
      </c>
      <c r="G7132" t="s">
        <v>20</v>
      </c>
      <c r="J7132" t="s">
        <v>17</v>
      </c>
      <c r="K7132" t="str">
        <f>"763414307"</f>
        <v>763414307</v>
      </c>
      <c r="L7132" t="str">
        <f>"763414307"</f>
        <v>763414307</v>
      </c>
      <c r="M7132" t="s">
        <v>21</v>
      </c>
      <c r="N7132" s="1">
        <v>44355.832638888889</v>
      </c>
      <c r="O7132" t="s">
        <v>19</v>
      </c>
    </row>
    <row r="7133" spans="1:15" x14ac:dyDescent="0.25">
      <c r="A7133" t="s">
        <v>5142</v>
      </c>
      <c r="B7133" t="s">
        <v>15</v>
      </c>
      <c r="C7133" t="s">
        <v>2582</v>
      </c>
      <c r="D7133" t="s">
        <v>17</v>
      </c>
      <c r="E7133" t="s">
        <v>18</v>
      </c>
      <c r="F7133" t="s">
        <v>19</v>
      </c>
      <c r="G7133" t="s">
        <v>20</v>
      </c>
      <c r="J7133" t="s">
        <v>17</v>
      </c>
      <c r="K7133" t="str">
        <f>"763314265"</f>
        <v>763314265</v>
      </c>
      <c r="L7133" t="str">
        <f>"763314265"</f>
        <v>763314265</v>
      </c>
      <c r="M7133" t="s">
        <v>84</v>
      </c>
      <c r="N7133" s="1">
        <v>43463.921527777777</v>
      </c>
      <c r="O7133" t="s">
        <v>19</v>
      </c>
    </row>
    <row r="7134" spans="1:15" x14ac:dyDescent="0.25">
      <c r="A7134" t="s">
        <v>5142</v>
      </c>
      <c r="B7134" t="s">
        <v>15</v>
      </c>
      <c r="C7134" t="s">
        <v>2582</v>
      </c>
      <c r="D7134" t="s">
        <v>17</v>
      </c>
      <c r="E7134" t="s">
        <v>18</v>
      </c>
      <c r="F7134" t="s">
        <v>19</v>
      </c>
      <c r="G7134" t="s">
        <v>20</v>
      </c>
      <c r="J7134" t="s">
        <v>17</v>
      </c>
      <c r="K7134" t="str">
        <f>"793414265"</f>
        <v>793414265</v>
      </c>
      <c r="L7134" t="str">
        <f>"793414265"</f>
        <v>793414265</v>
      </c>
      <c r="M7134" t="s">
        <v>21</v>
      </c>
      <c r="N7134" s="1">
        <v>43686.87777777778</v>
      </c>
      <c r="O7134" t="s">
        <v>19</v>
      </c>
    </row>
    <row r="7135" spans="1:15" x14ac:dyDescent="0.25">
      <c r="A7135" t="s">
        <v>5143</v>
      </c>
      <c r="B7135" t="s">
        <v>15</v>
      </c>
      <c r="C7135" t="s">
        <v>2582</v>
      </c>
      <c r="D7135" t="s">
        <v>17</v>
      </c>
      <c r="E7135" t="s">
        <v>18</v>
      </c>
      <c r="F7135" t="s">
        <v>19</v>
      </c>
      <c r="G7135" t="s">
        <v>20</v>
      </c>
      <c r="H7135" t="s">
        <v>5003</v>
      </c>
      <c r="J7135" t="s">
        <v>17</v>
      </c>
      <c r="K7135" t="str">
        <f>"1000001002170"</f>
        <v>1000001002170</v>
      </c>
      <c r="L7135" t="str">
        <f>"762514277"</f>
        <v>762514277</v>
      </c>
      <c r="M7135" t="s">
        <v>21</v>
      </c>
      <c r="N7135" s="1">
        <v>43686.737500000003</v>
      </c>
      <c r="O7135" t="s">
        <v>19</v>
      </c>
    </row>
    <row r="7136" spans="1:15" x14ac:dyDescent="0.25">
      <c r="A7136" t="s">
        <v>5143</v>
      </c>
      <c r="B7136" t="s">
        <v>15</v>
      </c>
      <c r="C7136" t="s">
        <v>2582</v>
      </c>
      <c r="D7136" t="s">
        <v>17</v>
      </c>
      <c r="E7136" t="s">
        <v>18</v>
      </c>
      <c r="F7136" t="s">
        <v>19</v>
      </c>
      <c r="G7136" t="s">
        <v>20</v>
      </c>
      <c r="H7136" t="s">
        <v>5003</v>
      </c>
      <c r="J7136" t="s">
        <v>17</v>
      </c>
      <c r="K7136" t="str">
        <f>"1908070125816"</f>
        <v>1908070125816</v>
      </c>
      <c r="L7136" t="str">
        <f>"343114277"</f>
        <v>343114277</v>
      </c>
      <c r="M7136" t="s">
        <v>21</v>
      </c>
      <c r="N7136" s="1">
        <v>43994.65</v>
      </c>
      <c r="O7136" t="s">
        <v>19</v>
      </c>
    </row>
    <row r="7137" spans="1:15" x14ac:dyDescent="0.25">
      <c r="A7137" t="s">
        <v>5144</v>
      </c>
      <c r="B7137" t="s">
        <v>15</v>
      </c>
      <c r="C7137" t="s">
        <v>2582</v>
      </c>
      <c r="D7137" t="s">
        <v>17</v>
      </c>
      <c r="E7137" t="s">
        <v>18</v>
      </c>
      <c r="F7137" t="s">
        <v>19</v>
      </c>
      <c r="G7137" t="s">
        <v>20</v>
      </c>
      <c r="H7137" t="s">
        <v>5003</v>
      </c>
      <c r="J7137" t="s">
        <v>17</v>
      </c>
      <c r="K7137" t="str">
        <f>"342514139"</f>
        <v>342514139</v>
      </c>
      <c r="L7137" t="str">
        <f>"342514139"</f>
        <v>342514139</v>
      </c>
      <c r="M7137" t="s">
        <v>84</v>
      </c>
      <c r="N7137" s="1">
        <v>43378.584027777775</v>
      </c>
      <c r="O7137" t="s">
        <v>19</v>
      </c>
    </row>
    <row r="7138" spans="1:15" x14ac:dyDescent="0.25">
      <c r="A7138" t="s">
        <v>5144</v>
      </c>
      <c r="B7138" t="s">
        <v>15</v>
      </c>
      <c r="C7138" t="s">
        <v>2582</v>
      </c>
      <c r="D7138" t="s">
        <v>17</v>
      </c>
      <c r="E7138" t="s">
        <v>18</v>
      </c>
      <c r="F7138" t="s">
        <v>19</v>
      </c>
      <c r="G7138" t="s">
        <v>20</v>
      </c>
      <c r="H7138" t="s">
        <v>5028</v>
      </c>
      <c r="J7138" t="s">
        <v>17</v>
      </c>
      <c r="K7138" t="str">
        <f>"793414290"</f>
        <v>793414290</v>
      </c>
      <c r="L7138" t="str">
        <f>"793414290"</f>
        <v>793414290</v>
      </c>
      <c r="M7138" t="s">
        <v>21</v>
      </c>
      <c r="N7138" s="1">
        <v>43306.713888888888</v>
      </c>
      <c r="O7138" t="s">
        <v>19</v>
      </c>
    </row>
    <row r="7139" spans="1:15" x14ac:dyDescent="0.25">
      <c r="A7139" t="s">
        <v>5145</v>
      </c>
      <c r="B7139" t="s">
        <v>15</v>
      </c>
      <c r="C7139" t="s">
        <v>2582</v>
      </c>
      <c r="D7139" t="s">
        <v>17</v>
      </c>
      <c r="E7139" t="s">
        <v>18</v>
      </c>
      <c r="F7139" t="s">
        <v>19</v>
      </c>
      <c r="G7139" t="s">
        <v>20</v>
      </c>
      <c r="J7139" t="s">
        <v>17</v>
      </c>
      <c r="K7139" t="str">
        <f>"763414308"</f>
        <v>763414308</v>
      </c>
      <c r="L7139" t="str">
        <f>"763414308"</f>
        <v>763414308</v>
      </c>
      <c r="M7139" t="s">
        <v>21</v>
      </c>
      <c r="N7139" s="1">
        <v>44355.833333333336</v>
      </c>
      <c r="O7139" t="s">
        <v>19</v>
      </c>
    </row>
    <row r="7140" spans="1:15" x14ac:dyDescent="0.25">
      <c r="A7140" t="s">
        <v>5146</v>
      </c>
      <c r="B7140" t="s">
        <v>15</v>
      </c>
      <c r="C7140" t="s">
        <v>2582</v>
      </c>
      <c r="D7140" t="s">
        <v>17</v>
      </c>
      <c r="E7140" t="s">
        <v>18</v>
      </c>
      <c r="F7140" t="s">
        <v>19</v>
      </c>
      <c r="G7140" t="s">
        <v>20</v>
      </c>
      <c r="H7140" t="s">
        <v>5003</v>
      </c>
      <c r="J7140" t="s">
        <v>17</v>
      </c>
      <c r="K7140" t="str">
        <f>"1000001004020"</f>
        <v>1000001004020</v>
      </c>
      <c r="L7140" t="str">
        <f>"763114138"</f>
        <v>763114138</v>
      </c>
      <c r="M7140" t="s">
        <v>84</v>
      </c>
      <c r="N7140" s="1">
        <v>43528.711111111108</v>
      </c>
      <c r="O7140" t="s">
        <v>19</v>
      </c>
    </row>
    <row r="7141" spans="1:15" x14ac:dyDescent="0.25">
      <c r="A7141" t="s">
        <v>5146</v>
      </c>
      <c r="B7141" t="s">
        <v>15</v>
      </c>
      <c r="C7141" t="s">
        <v>2582</v>
      </c>
      <c r="D7141" t="s">
        <v>17</v>
      </c>
      <c r="E7141" t="s">
        <v>18</v>
      </c>
      <c r="F7141" t="s">
        <v>19</v>
      </c>
      <c r="G7141" t="s">
        <v>20</v>
      </c>
      <c r="H7141" t="s">
        <v>5028</v>
      </c>
      <c r="J7141" t="s">
        <v>17</v>
      </c>
      <c r="K7141" t="str">
        <f>"343114168"</f>
        <v>343114168</v>
      </c>
      <c r="L7141" t="str">
        <f>"343114168"</f>
        <v>343114168</v>
      </c>
      <c r="M7141" t="s">
        <v>84</v>
      </c>
      <c r="N7141" s="1">
        <v>43231.890277777777</v>
      </c>
      <c r="O7141" t="s">
        <v>19</v>
      </c>
    </row>
    <row r="7142" spans="1:15" x14ac:dyDescent="0.25">
      <c r="A7142" t="s">
        <v>5147</v>
      </c>
      <c r="B7142" t="s">
        <v>15</v>
      </c>
      <c r="C7142" t="s">
        <v>2582</v>
      </c>
      <c r="D7142" t="s">
        <v>17</v>
      </c>
      <c r="E7142" t="s">
        <v>18</v>
      </c>
      <c r="F7142" t="s">
        <v>19</v>
      </c>
      <c r="G7142" t="s">
        <v>20</v>
      </c>
      <c r="J7142" t="s">
        <v>17</v>
      </c>
      <c r="K7142" t="str">
        <f>"613414282"</f>
        <v>613414282</v>
      </c>
      <c r="L7142" t="str">
        <f>"613414282"</f>
        <v>613414282</v>
      </c>
      <c r="M7142" t="s">
        <v>21</v>
      </c>
      <c r="N7142" s="1">
        <v>44253.674305555556</v>
      </c>
      <c r="O7142" t="s">
        <v>19</v>
      </c>
    </row>
    <row r="7143" spans="1:15" x14ac:dyDescent="0.25">
      <c r="A7143" t="s">
        <v>5148</v>
      </c>
      <c r="B7143" t="s">
        <v>15</v>
      </c>
      <c r="C7143" t="s">
        <v>2582</v>
      </c>
      <c r="D7143" t="s">
        <v>17</v>
      </c>
      <c r="E7143" t="s">
        <v>18</v>
      </c>
      <c r="F7143" t="s">
        <v>19</v>
      </c>
      <c r="G7143" t="s">
        <v>20</v>
      </c>
      <c r="H7143" t="s">
        <v>5003</v>
      </c>
      <c r="J7143" t="s">
        <v>17</v>
      </c>
      <c r="K7143" t="str">
        <f>"1000001004419"</f>
        <v>1000001004419</v>
      </c>
      <c r="L7143" t="str">
        <f>"763114255"</f>
        <v>763114255</v>
      </c>
      <c r="M7143" t="s">
        <v>84</v>
      </c>
      <c r="N7143" s="1">
        <v>43528.713194444441</v>
      </c>
      <c r="O7143" t="s">
        <v>19</v>
      </c>
    </row>
    <row r="7144" spans="1:15" x14ac:dyDescent="0.25">
      <c r="A7144" t="s">
        <v>5148</v>
      </c>
      <c r="B7144" t="s">
        <v>15</v>
      </c>
      <c r="C7144" t="s">
        <v>2582</v>
      </c>
      <c r="D7144" t="s">
        <v>17</v>
      </c>
      <c r="E7144" t="s">
        <v>18</v>
      </c>
      <c r="F7144" t="s">
        <v>19</v>
      </c>
      <c r="G7144" t="s">
        <v>20</v>
      </c>
      <c r="H7144" t="s">
        <v>5003</v>
      </c>
      <c r="J7144" t="s">
        <v>17</v>
      </c>
      <c r="K7144" t="str">
        <f>"343114255"</f>
        <v>343114255</v>
      </c>
      <c r="L7144" t="str">
        <f>"343114255"</f>
        <v>343114255</v>
      </c>
      <c r="M7144" t="s">
        <v>21</v>
      </c>
      <c r="N7144" s="1">
        <v>43668.740972222222</v>
      </c>
      <c r="O7144" t="s">
        <v>19</v>
      </c>
    </row>
    <row r="7145" spans="1:15" x14ac:dyDescent="0.25">
      <c r="A7145" t="s">
        <v>5149</v>
      </c>
      <c r="B7145" t="s">
        <v>15</v>
      </c>
      <c r="C7145" t="s">
        <v>2582</v>
      </c>
      <c r="D7145" t="s">
        <v>17</v>
      </c>
      <c r="E7145" t="s">
        <v>18</v>
      </c>
      <c r="F7145" t="s">
        <v>19</v>
      </c>
      <c r="G7145" t="s">
        <v>20</v>
      </c>
      <c r="H7145" t="s">
        <v>5003</v>
      </c>
      <c r="J7145" t="s">
        <v>17</v>
      </c>
      <c r="K7145" t="str">
        <f>"1000001004426"</f>
        <v>1000001004426</v>
      </c>
      <c r="L7145" t="str">
        <f>"763114256"</f>
        <v>763114256</v>
      </c>
      <c r="M7145" t="s">
        <v>84</v>
      </c>
      <c r="N7145" s="1">
        <v>43528.713888888888</v>
      </c>
      <c r="O7145" t="s">
        <v>19</v>
      </c>
    </row>
    <row r="7146" spans="1:15" x14ac:dyDescent="0.25">
      <c r="A7146" t="s">
        <v>5149</v>
      </c>
      <c r="B7146" t="s">
        <v>15</v>
      </c>
      <c r="C7146" t="s">
        <v>2582</v>
      </c>
      <c r="D7146" t="s">
        <v>17</v>
      </c>
      <c r="E7146" t="s">
        <v>18</v>
      </c>
      <c r="F7146" t="s">
        <v>19</v>
      </c>
      <c r="G7146" t="s">
        <v>20</v>
      </c>
      <c r="H7146" t="s">
        <v>5003</v>
      </c>
      <c r="J7146" t="s">
        <v>17</v>
      </c>
      <c r="K7146" t="str">
        <f>"343114256"</f>
        <v>343114256</v>
      </c>
      <c r="L7146" t="str">
        <f>"343114256"</f>
        <v>343114256</v>
      </c>
      <c r="M7146" t="s">
        <v>21</v>
      </c>
      <c r="N7146" s="1">
        <v>43668.740277777775</v>
      </c>
      <c r="O7146" t="s">
        <v>19</v>
      </c>
    </row>
    <row r="7147" spans="1:15" x14ac:dyDescent="0.25">
      <c r="A7147" t="s">
        <v>5150</v>
      </c>
      <c r="B7147" t="s">
        <v>15</v>
      </c>
      <c r="C7147" t="s">
        <v>2582</v>
      </c>
      <c r="D7147" t="s">
        <v>17</v>
      </c>
      <c r="E7147" t="s">
        <v>18</v>
      </c>
      <c r="F7147" t="s">
        <v>19</v>
      </c>
      <c r="G7147" t="s">
        <v>20</v>
      </c>
      <c r="J7147" t="s">
        <v>17</v>
      </c>
      <c r="K7147" t="str">
        <f>"343114264"</f>
        <v>343114264</v>
      </c>
      <c r="L7147" t="str">
        <f>"343114264"</f>
        <v>343114264</v>
      </c>
      <c r="M7147" t="s">
        <v>21</v>
      </c>
      <c r="N7147" s="1">
        <v>43668.738194444442</v>
      </c>
      <c r="O7147" t="s">
        <v>19</v>
      </c>
    </row>
    <row r="7148" spans="1:15" x14ac:dyDescent="0.25">
      <c r="A7148" t="s">
        <v>5150</v>
      </c>
      <c r="B7148" t="s">
        <v>15</v>
      </c>
      <c r="C7148" t="s">
        <v>2582</v>
      </c>
      <c r="D7148" t="s">
        <v>17</v>
      </c>
      <c r="E7148" t="s">
        <v>18</v>
      </c>
      <c r="F7148" t="s">
        <v>19</v>
      </c>
      <c r="G7148" t="s">
        <v>20</v>
      </c>
      <c r="H7148" t="s">
        <v>5003</v>
      </c>
      <c r="J7148" t="s">
        <v>17</v>
      </c>
      <c r="K7148" t="str">
        <f>"1000001004525"</f>
        <v>1000001004525</v>
      </c>
      <c r="L7148" t="str">
        <f>"763114264"</f>
        <v>763114264</v>
      </c>
      <c r="M7148" t="s">
        <v>84</v>
      </c>
      <c r="N7148" s="1">
        <v>43528.714583333334</v>
      </c>
      <c r="O7148" t="s">
        <v>19</v>
      </c>
    </row>
    <row r="7149" spans="1:15" x14ac:dyDescent="0.25">
      <c r="A7149" t="s">
        <v>5151</v>
      </c>
      <c r="B7149" t="s">
        <v>15</v>
      </c>
      <c r="C7149" t="s">
        <v>2582</v>
      </c>
      <c r="D7149" t="s">
        <v>17</v>
      </c>
      <c r="E7149" t="s">
        <v>18</v>
      </c>
      <c r="F7149" t="s">
        <v>19</v>
      </c>
      <c r="G7149" t="s">
        <v>20</v>
      </c>
      <c r="J7149" t="s">
        <v>17</v>
      </c>
      <c r="K7149" t="str">
        <f>"793414137"</f>
        <v>793414137</v>
      </c>
      <c r="L7149" t="str">
        <f>"793414137"</f>
        <v>793414137</v>
      </c>
      <c r="M7149" t="s">
        <v>21</v>
      </c>
      <c r="N7149" s="1">
        <v>43196.67291666667</v>
      </c>
      <c r="O7149" t="s">
        <v>19</v>
      </c>
    </row>
    <row r="7150" spans="1:15" x14ac:dyDescent="0.25">
      <c r="A7150" t="s">
        <v>5152</v>
      </c>
      <c r="B7150" t="s">
        <v>15</v>
      </c>
      <c r="C7150" t="s">
        <v>2582</v>
      </c>
      <c r="D7150" t="s">
        <v>17</v>
      </c>
      <c r="E7150" t="s">
        <v>18</v>
      </c>
      <c r="F7150" t="s">
        <v>19</v>
      </c>
      <c r="G7150" t="s">
        <v>20</v>
      </c>
      <c r="H7150" t="s">
        <v>5003</v>
      </c>
      <c r="J7150" t="s">
        <v>17</v>
      </c>
      <c r="K7150" t="str">
        <f>"613414266"</f>
        <v>613414266</v>
      </c>
      <c r="L7150" t="str">
        <f>"613414266"</f>
        <v>613414266</v>
      </c>
      <c r="M7150" t="s">
        <v>84</v>
      </c>
      <c r="N7150" s="1">
        <v>43328.62777777778</v>
      </c>
      <c r="O7150" t="s">
        <v>19</v>
      </c>
    </row>
    <row r="7151" spans="1:15" x14ac:dyDescent="0.25">
      <c r="A7151" t="s">
        <v>5152</v>
      </c>
      <c r="B7151" t="s">
        <v>15</v>
      </c>
      <c r="C7151" t="s">
        <v>2582</v>
      </c>
      <c r="D7151" t="s">
        <v>17</v>
      </c>
      <c r="E7151" t="s">
        <v>18</v>
      </c>
      <c r="F7151" t="s">
        <v>19</v>
      </c>
      <c r="G7151" t="s">
        <v>20</v>
      </c>
      <c r="H7151" t="s">
        <v>5003</v>
      </c>
      <c r="J7151" t="s">
        <v>17</v>
      </c>
      <c r="K7151" t="str">
        <f>"763414266"</f>
        <v>763414266</v>
      </c>
      <c r="L7151" t="str">
        <f>"763414266"</f>
        <v>763414266</v>
      </c>
      <c r="M7151" t="s">
        <v>84</v>
      </c>
      <c r="N7151" s="1">
        <v>43410.671527777777</v>
      </c>
      <c r="O7151" t="s">
        <v>19</v>
      </c>
    </row>
    <row r="7152" spans="1:15" x14ac:dyDescent="0.25">
      <c r="A7152" t="s">
        <v>5153</v>
      </c>
      <c r="B7152" t="s">
        <v>15</v>
      </c>
      <c r="C7152" t="s">
        <v>2582</v>
      </c>
      <c r="D7152" t="s">
        <v>17</v>
      </c>
      <c r="E7152" t="s">
        <v>18</v>
      </c>
      <c r="F7152" t="s">
        <v>19</v>
      </c>
      <c r="G7152" t="s">
        <v>20</v>
      </c>
      <c r="J7152" t="s">
        <v>17</v>
      </c>
      <c r="K7152" t="str">
        <f>"343114261"</f>
        <v>343114261</v>
      </c>
      <c r="L7152" t="str">
        <f>"343114261"</f>
        <v>343114261</v>
      </c>
      <c r="M7152" t="s">
        <v>84</v>
      </c>
      <c r="N7152" s="1">
        <v>43528.757638888892</v>
      </c>
      <c r="O7152" t="s">
        <v>19</v>
      </c>
    </row>
    <row r="7153" spans="1:15" x14ac:dyDescent="0.25">
      <c r="A7153" t="s">
        <v>5153</v>
      </c>
      <c r="B7153" t="s">
        <v>15</v>
      </c>
      <c r="C7153" t="s">
        <v>2582</v>
      </c>
      <c r="D7153" t="s">
        <v>17</v>
      </c>
      <c r="E7153" t="s">
        <v>18</v>
      </c>
      <c r="F7153" t="s">
        <v>19</v>
      </c>
      <c r="G7153" t="s">
        <v>20</v>
      </c>
      <c r="H7153" t="s">
        <v>5003</v>
      </c>
      <c r="J7153" t="s">
        <v>17</v>
      </c>
      <c r="K7153" t="str">
        <f>"793414261"</f>
        <v>793414261</v>
      </c>
      <c r="L7153" t="str">
        <f>"793414261"</f>
        <v>793414261</v>
      </c>
      <c r="M7153" t="s">
        <v>21</v>
      </c>
      <c r="N7153" s="1">
        <v>43566.654861111114</v>
      </c>
      <c r="O7153" t="s">
        <v>19</v>
      </c>
    </row>
    <row r="7154" spans="1:15" x14ac:dyDescent="0.25">
      <c r="A7154" t="s">
        <v>5153</v>
      </c>
      <c r="B7154" t="s">
        <v>15</v>
      </c>
      <c r="C7154" t="s">
        <v>2582</v>
      </c>
      <c r="D7154" t="s">
        <v>17</v>
      </c>
      <c r="E7154" t="s">
        <v>18</v>
      </c>
      <c r="F7154" t="s">
        <v>19</v>
      </c>
      <c r="G7154" t="s">
        <v>20</v>
      </c>
      <c r="H7154" t="s">
        <v>5003</v>
      </c>
      <c r="J7154" t="s">
        <v>17</v>
      </c>
      <c r="K7154" t="str">
        <f>"1000001004471"</f>
        <v>1000001004471</v>
      </c>
      <c r="L7154" t="str">
        <f>"762514261"</f>
        <v>762514261</v>
      </c>
      <c r="M7154" t="s">
        <v>21</v>
      </c>
      <c r="N7154" s="1">
        <v>43658.827777777777</v>
      </c>
      <c r="O7154" t="s">
        <v>19</v>
      </c>
    </row>
    <row r="7155" spans="1:15" x14ac:dyDescent="0.25">
      <c r="A7155" t="s">
        <v>5154</v>
      </c>
      <c r="B7155" t="s">
        <v>15</v>
      </c>
      <c r="C7155" t="s">
        <v>2582</v>
      </c>
      <c r="D7155" t="s">
        <v>17</v>
      </c>
      <c r="E7155" t="s">
        <v>18</v>
      </c>
      <c r="F7155" t="s">
        <v>19</v>
      </c>
      <c r="G7155" t="s">
        <v>20</v>
      </c>
      <c r="J7155" t="s">
        <v>17</v>
      </c>
      <c r="K7155" t="str">
        <f>"793414298"</f>
        <v>793414298</v>
      </c>
      <c r="L7155" t="str">
        <f>"793414298"</f>
        <v>793414298</v>
      </c>
      <c r="M7155" t="s">
        <v>21</v>
      </c>
      <c r="N7155" s="1">
        <v>43285.644444444442</v>
      </c>
      <c r="O7155" t="s">
        <v>19</v>
      </c>
    </row>
    <row r="7156" spans="1:15" x14ac:dyDescent="0.25">
      <c r="A7156" t="s">
        <v>5155</v>
      </c>
      <c r="B7156" t="s">
        <v>15</v>
      </c>
      <c r="C7156" t="s">
        <v>2582</v>
      </c>
      <c r="D7156" t="s">
        <v>17</v>
      </c>
      <c r="E7156" t="s">
        <v>18</v>
      </c>
      <c r="F7156" t="s">
        <v>19</v>
      </c>
      <c r="G7156" t="s">
        <v>20</v>
      </c>
      <c r="H7156" t="s">
        <v>5003</v>
      </c>
      <c r="J7156" t="s">
        <v>17</v>
      </c>
      <c r="K7156" t="str">
        <f>"1908070122952"</f>
        <v>1908070122952</v>
      </c>
      <c r="L7156" t="str">
        <f>"343114260"</f>
        <v>343114260</v>
      </c>
      <c r="M7156" t="s">
        <v>84</v>
      </c>
      <c r="N7156" s="1">
        <v>43396.920138888891</v>
      </c>
      <c r="O7156" t="s">
        <v>19</v>
      </c>
    </row>
    <row r="7157" spans="1:15" x14ac:dyDescent="0.25">
      <c r="A7157" t="s">
        <v>5155</v>
      </c>
      <c r="B7157" t="s">
        <v>15</v>
      </c>
      <c r="C7157" t="s">
        <v>2582</v>
      </c>
      <c r="D7157" t="s">
        <v>17</v>
      </c>
      <c r="E7157" t="s">
        <v>18</v>
      </c>
      <c r="F7157" t="s">
        <v>19</v>
      </c>
      <c r="G7157" t="s">
        <v>20</v>
      </c>
      <c r="H7157" t="s">
        <v>5003</v>
      </c>
      <c r="J7157" t="s">
        <v>17</v>
      </c>
      <c r="K7157" t="str">
        <f>"1908070122877"</f>
        <v>1908070122877</v>
      </c>
      <c r="L7157" t="str">
        <f>"313414260"</f>
        <v>313414260</v>
      </c>
      <c r="M7157" t="s">
        <v>84</v>
      </c>
      <c r="N7157" s="1">
        <v>43396.92083333333</v>
      </c>
      <c r="O7157" t="s">
        <v>19</v>
      </c>
    </row>
    <row r="7158" spans="1:15" x14ac:dyDescent="0.25">
      <c r="A7158" t="s">
        <v>5155</v>
      </c>
      <c r="B7158" t="s">
        <v>15</v>
      </c>
      <c r="C7158" t="s">
        <v>2582</v>
      </c>
      <c r="D7158" t="s">
        <v>17</v>
      </c>
      <c r="E7158" t="s">
        <v>18</v>
      </c>
      <c r="F7158" t="s">
        <v>19</v>
      </c>
      <c r="G7158" t="s">
        <v>20</v>
      </c>
      <c r="H7158" t="s">
        <v>5003</v>
      </c>
      <c r="J7158" t="s">
        <v>17</v>
      </c>
      <c r="K7158" t="str">
        <f>"342514260"</f>
        <v>342514260</v>
      </c>
      <c r="L7158" t="str">
        <f>"342514260"</f>
        <v>342514260</v>
      </c>
      <c r="M7158" t="s">
        <v>84</v>
      </c>
      <c r="N7158" s="1">
        <v>43451.799305555556</v>
      </c>
      <c r="O7158" t="s">
        <v>19</v>
      </c>
    </row>
    <row r="7159" spans="1:15" x14ac:dyDescent="0.25">
      <c r="A7159" t="s">
        <v>5156</v>
      </c>
      <c r="B7159" t="s">
        <v>15</v>
      </c>
      <c r="C7159" t="s">
        <v>2582</v>
      </c>
      <c r="D7159" t="s">
        <v>17</v>
      </c>
      <c r="E7159" t="s">
        <v>18</v>
      </c>
      <c r="F7159" t="s">
        <v>19</v>
      </c>
      <c r="G7159" t="s">
        <v>20</v>
      </c>
      <c r="H7159" t="s">
        <v>5157</v>
      </c>
      <c r="J7159" t="s">
        <v>17</v>
      </c>
      <c r="K7159" t="str">
        <f>"1000001004761"</f>
        <v>1000001004761</v>
      </c>
      <c r="L7159" t="str">
        <f>"763114269"</f>
        <v>763114269</v>
      </c>
      <c r="M7159" t="s">
        <v>84</v>
      </c>
      <c r="N7159" s="1">
        <v>43570.647222222222</v>
      </c>
      <c r="O7159" t="s">
        <v>19</v>
      </c>
    </row>
    <row r="7160" spans="1:15" x14ac:dyDescent="0.25">
      <c r="A7160" t="s">
        <v>5156</v>
      </c>
      <c r="B7160" t="s">
        <v>15</v>
      </c>
      <c r="C7160" t="s">
        <v>2582</v>
      </c>
      <c r="D7160" t="s">
        <v>17</v>
      </c>
      <c r="E7160" t="s">
        <v>18</v>
      </c>
      <c r="F7160" t="s">
        <v>19</v>
      </c>
      <c r="G7160" t="s">
        <v>20</v>
      </c>
      <c r="H7160" t="s">
        <v>5003</v>
      </c>
      <c r="J7160" t="s">
        <v>17</v>
      </c>
      <c r="K7160" t="str">
        <f>"1908070126172"</f>
        <v>1908070126172</v>
      </c>
      <c r="L7160" t="str">
        <f>"343114269"</f>
        <v>343114269</v>
      </c>
      <c r="M7160" t="s">
        <v>21</v>
      </c>
      <c r="N7160" s="1">
        <v>43668.73541666667</v>
      </c>
      <c r="O7160" t="s">
        <v>19</v>
      </c>
    </row>
    <row r="7161" spans="1:15" x14ac:dyDescent="0.25">
      <c r="A7161" t="s">
        <v>5158</v>
      </c>
      <c r="B7161" t="s">
        <v>15</v>
      </c>
      <c r="C7161" t="s">
        <v>2582</v>
      </c>
      <c r="D7161" t="s">
        <v>17</v>
      </c>
      <c r="E7161" t="s">
        <v>18</v>
      </c>
      <c r="F7161" t="s">
        <v>19</v>
      </c>
      <c r="G7161" t="s">
        <v>20</v>
      </c>
      <c r="H7161" t="s">
        <v>5003</v>
      </c>
      <c r="J7161" t="s">
        <v>17</v>
      </c>
      <c r="K7161" t="str">
        <f>"1908070124963"</f>
        <v>1908070124963</v>
      </c>
      <c r="L7161" t="str">
        <f>"343414274"</f>
        <v>343414274</v>
      </c>
      <c r="M7161" t="s">
        <v>84</v>
      </c>
      <c r="N7161" s="1">
        <v>43566.654861111114</v>
      </c>
      <c r="O7161" t="s">
        <v>19</v>
      </c>
    </row>
    <row r="7162" spans="1:15" x14ac:dyDescent="0.25">
      <c r="A7162" t="s">
        <v>5158</v>
      </c>
      <c r="B7162" t="s">
        <v>15</v>
      </c>
      <c r="C7162" t="s">
        <v>2582</v>
      </c>
      <c r="D7162" t="s">
        <v>17</v>
      </c>
      <c r="E7162" t="s">
        <v>18</v>
      </c>
      <c r="F7162" t="s">
        <v>19</v>
      </c>
      <c r="G7162" t="s">
        <v>20</v>
      </c>
      <c r="H7162" t="s">
        <v>5003</v>
      </c>
      <c r="J7162" t="s">
        <v>17</v>
      </c>
      <c r="K7162" t="str">
        <f>"1000001004983"</f>
        <v>1000001004983</v>
      </c>
      <c r="L7162" t="str">
        <f>"762514272"</f>
        <v>762514272</v>
      </c>
      <c r="M7162" t="s">
        <v>21</v>
      </c>
      <c r="N7162" s="1">
        <v>43610.896527777775</v>
      </c>
      <c r="O7162" t="s">
        <v>19</v>
      </c>
    </row>
    <row r="7163" spans="1:15" x14ac:dyDescent="0.25">
      <c r="A7163" t="s">
        <v>5159</v>
      </c>
      <c r="B7163" t="s">
        <v>15</v>
      </c>
      <c r="C7163" t="s">
        <v>2582</v>
      </c>
      <c r="D7163" t="s">
        <v>17</v>
      </c>
      <c r="E7163" t="s">
        <v>18</v>
      </c>
      <c r="F7163" t="s">
        <v>19</v>
      </c>
      <c r="G7163" t="s">
        <v>20</v>
      </c>
      <c r="J7163" t="s">
        <v>17</v>
      </c>
      <c r="K7163" t="str">
        <f>"793414272"</f>
        <v>793414272</v>
      </c>
      <c r="L7163" t="str">
        <f>"793414272"</f>
        <v>793414272</v>
      </c>
      <c r="M7163" t="s">
        <v>21</v>
      </c>
      <c r="N7163" s="1">
        <v>42872.849305555559</v>
      </c>
      <c r="O7163" t="s">
        <v>19</v>
      </c>
    </row>
    <row r="7164" spans="1:15" x14ac:dyDescent="0.25">
      <c r="A7164" t="s">
        <v>5159</v>
      </c>
      <c r="B7164" t="s">
        <v>15</v>
      </c>
      <c r="C7164" t="s">
        <v>2582</v>
      </c>
      <c r="D7164" t="s">
        <v>17</v>
      </c>
      <c r="E7164" t="s">
        <v>18</v>
      </c>
      <c r="F7164" t="s">
        <v>19</v>
      </c>
      <c r="G7164" t="s">
        <v>20</v>
      </c>
      <c r="J7164" t="s">
        <v>17</v>
      </c>
      <c r="K7164" t="str">
        <f>"613414272"</f>
        <v>613414272</v>
      </c>
      <c r="L7164" t="str">
        <f>"613414272"</f>
        <v>613414272</v>
      </c>
      <c r="M7164" t="s">
        <v>21</v>
      </c>
      <c r="N7164" s="1">
        <v>44253.675694444442</v>
      </c>
      <c r="O7164" t="s">
        <v>19</v>
      </c>
    </row>
    <row r="7165" spans="1:15" x14ac:dyDescent="0.25">
      <c r="A7165" t="s">
        <v>5160</v>
      </c>
      <c r="B7165" t="s">
        <v>15</v>
      </c>
      <c r="C7165" t="s">
        <v>2582</v>
      </c>
      <c r="D7165" t="s">
        <v>17</v>
      </c>
      <c r="E7165" t="s">
        <v>18</v>
      </c>
      <c r="F7165" t="s">
        <v>19</v>
      </c>
      <c r="G7165" t="s">
        <v>20</v>
      </c>
      <c r="H7165" t="s">
        <v>5157</v>
      </c>
      <c r="J7165" t="s">
        <v>17</v>
      </c>
      <c r="K7165" t="str">
        <f>"1000001004778"</f>
        <v>1000001004778</v>
      </c>
      <c r="L7165" t="str">
        <f>"763114273"</f>
        <v>763114273</v>
      </c>
      <c r="M7165" t="s">
        <v>84</v>
      </c>
      <c r="N7165" s="1">
        <v>43570.651388888888</v>
      </c>
      <c r="O7165" t="s">
        <v>19</v>
      </c>
    </row>
    <row r="7166" spans="1:15" x14ac:dyDescent="0.25">
      <c r="A7166" t="s">
        <v>5160</v>
      </c>
      <c r="B7166" t="s">
        <v>15</v>
      </c>
      <c r="C7166" t="s">
        <v>2582</v>
      </c>
      <c r="D7166" t="s">
        <v>17</v>
      </c>
      <c r="E7166" t="s">
        <v>18</v>
      </c>
      <c r="F7166" t="s">
        <v>19</v>
      </c>
      <c r="G7166" t="s">
        <v>20</v>
      </c>
      <c r="H7166" t="s">
        <v>5003</v>
      </c>
      <c r="J7166" t="s">
        <v>17</v>
      </c>
      <c r="K7166" t="str">
        <f>"1908070124956"</f>
        <v>1908070124956</v>
      </c>
      <c r="L7166" t="str">
        <f>"343414273"</f>
        <v>343414273</v>
      </c>
      <c r="M7166" t="s">
        <v>84</v>
      </c>
      <c r="N7166" s="1">
        <v>43566.65347222222</v>
      </c>
      <c r="O7166" t="s">
        <v>19</v>
      </c>
    </row>
    <row r="7167" spans="1:15" x14ac:dyDescent="0.25">
      <c r="A7167" t="s">
        <v>5161</v>
      </c>
      <c r="B7167" t="s">
        <v>15</v>
      </c>
      <c r="C7167" t="s">
        <v>2582</v>
      </c>
      <c r="D7167" t="s">
        <v>17</v>
      </c>
      <c r="E7167" t="s">
        <v>18</v>
      </c>
      <c r="F7167" t="s">
        <v>19</v>
      </c>
      <c r="G7167" t="s">
        <v>20</v>
      </c>
      <c r="H7167" t="s">
        <v>5003</v>
      </c>
      <c r="J7167" t="s">
        <v>17</v>
      </c>
      <c r="K7167" t="str">
        <f>"1908070128213"</f>
        <v>1908070128213</v>
      </c>
      <c r="L7167" t="str">
        <f>"343114291"</f>
        <v>343114291</v>
      </c>
      <c r="M7167" t="s">
        <v>21</v>
      </c>
      <c r="N7167" s="1">
        <v>43994.65347222222</v>
      </c>
      <c r="O7167" t="s">
        <v>19</v>
      </c>
    </row>
    <row r="7168" spans="1:15" x14ac:dyDescent="0.25">
      <c r="A7168" t="s">
        <v>5162</v>
      </c>
      <c r="B7168" t="s">
        <v>15</v>
      </c>
      <c r="C7168" t="s">
        <v>2582</v>
      </c>
      <c r="D7168" t="s">
        <v>17</v>
      </c>
      <c r="E7168" t="s">
        <v>18</v>
      </c>
      <c r="F7168" t="s">
        <v>19</v>
      </c>
      <c r="G7168" t="s">
        <v>20</v>
      </c>
      <c r="J7168" t="s">
        <v>17</v>
      </c>
      <c r="K7168" t="str">
        <f>"1908070128220"</f>
        <v>1908070128220</v>
      </c>
      <c r="L7168" t="str">
        <f>"343114292"</f>
        <v>343114292</v>
      </c>
      <c r="M7168" t="s">
        <v>21</v>
      </c>
      <c r="N7168" s="1">
        <v>43994.654166666667</v>
      </c>
      <c r="O7168" t="s">
        <v>19</v>
      </c>
    </row>
    <row r="7169" spans="1:15" x14ac:dyDescent="0.25">
      <c r="A7169" t="s">
        <v>5163</v>
      </c>
      <c r="B7169" t="s">
        <v>15</v>
      </c>
      <c r="C7169" t="s">
        <v>2582</v>
      </c>
      <c r="D7169" t="s">
        <v>17</v>
      </c>
      <c r="E7169" t="s">
        <v>18</v>
      </c>
      <c r="F7169" t="s">
        <v>19</v>
      </c>
      <c r="G7169" t="s">
        <v>20</v>
      </c>
      <c r="J7169" t="s">
        <v>17</v>
      </c>
      <c r="K7169" t="str">
        <f>"613414299"</f>
        <v>613414299</v>
      </c>
      <c r="L7169" t="str">
        <f>"613414299"</f>
        <v>613414299</v>
      </c>
      <c r="M7169" t="s">
        <v>21</v>
      </c>
      <c r="N7169" s="1">
        <v>44253.678472222222</v>
      </c>
      <c r="O7169" t="s">
        <v>19</v>
      </c>
    </row>
    <row r="7170" spans="1:15" x14ac:dyDescent="0.25">
      <c r="A7170" t="s">
        <v>5164</v>
      </c>
      <c r="B7170" t="s">
        <v>15</v>
      </c>
      <c r="C7170" t="s">
        <v>2582</v>
      </c>
      <c r="D7170" t="s">
        <v>17</v>
      </c>
      <c r="E7170" t="s">
        <v>18</v>
      </c>
      <c r="F7170" t="s">
        <v>19</v>
      </c>
      <c r="G7170" t="s">
        <v>20</v>
      </c>
      <c r="H7170" t="s">
        <v>5165</v>
      </c>
      <c r="J7170" t="s">
        <v>17</v>
      </c>
      <c r="K7170" t="str">
        <f>"86291454"</f>
        <v>86291454</v>
      </c>
      <c r="L7170" t="str">
        <f>"86291454"</f>
        <v>86291454</v>
      </c>
      <c r="M7170" t="s">
        <v>84</v>
      </c>
      <c r="N7170" s="1">
        <v>43367.834722222222</v>
      </c>
      <c r="O7170" t="s">
        <v>19</v>
      </c>
    </row>
    <row r="7171" spans="1:15" x14ac:dyDescent="0.25">
      <c r="A7171" t="s">
        <v>5166</v>
      </c>
      <c r="B7171" t="s">
        <v>15</v>
      </c>
      <c r="C7171" t="s">
        <v>2582</v>
      </c>
      <c r="D7171" t="s">
        <v>17</v>
      </c>
      <c r="E7171" t="s">
        <v>18</v>
      </c>
      <c r="F7171" t="s">
        <v>19</v>
      </c>
      <c r="G7171" t="s">
        <v>20</v>
      </c>
      <c r="H7171" t="s">
        <v>5167</v>
      </c>
      <c r="J7171" t="s">
        <v>17</v>
      </c>
      <c r="K7171" t="str">
        <f>"1908070123744"</f>
        <v>1908070123744</v>
      </c>
      <c r="L7171" t="str">
        <f>"343114178"</f>
        <v>343114178</v>
      </c>
      <c r="M7171" t="s">
        <v>84</v>
      </c>
      <c r="N7171" s="1">
        <v>43396.929861111108</v>
      </c>
      <c r="O7171" t="s">
        <v>19</v>
      </c>
    </row>
    <row r="7172" spans="1:15" x14ac:dyDescent="0.25">
      <c r="A7172" t="s">
        <v>5168</v>
      </c>
      <c r="B7172" t="s">
        <v>15</v>
      </c>
      <c r="C7172" t="s">
        <v>2582</v>
      </c>
      <c r="D7172" t="s">
        <v>17</v>
      </c>
      <c r="E7172" t="s">
        <v>18</v>
      </c>
      <c r="F7172" t="s">
        <v>19</v>
      </c>
      <c r="G7172" t="s">
        <v>20</v>
      </c>
      <c r="H7172" t="s">
        <v>5003</v>
      </c>
      <c r="J7172" t="s">
        <v>17</v>
      </c>
      <c r="K7172" t="str">
        <f>"323114191"</f>
        <v>323114191</v>
      </c>
      <c r="L7172" t="str">
        <f>"323114191"</f>
        <v>323114191</v>
      </c>
      <c r="M7172" t="s">
        <v>84</v>
      </c>
      <c r="N7172" s="1">
        <v>43502.788888888892</v>
      </c>
      <c r="O7172" t="s">
        <v>19</v>
      </c>
    </row>
    <row r="7173" spans="1:15" x14ac:dyDescent="0.25">
      <c r="A7173" t="s">
        <v>5168</v>
      </c>
      <c r="B7173" t="s">
        <v>15</v>
      </c>
      <c r="C7173" t="s">
        <v>2582</v>
      </c>
      <c r="D7173" t="s">
        <v>17</v>
      </c>
      <c r="E7173" t="s">
        <v>18</v>
      </c>
      <c r="F7173" t="s">
        <v>19</v>
      </c>
      <c r="G7173" t="s">
        <v>20</v>
      </c>
      <c r="H7173" t="s">
        <v>5028</v>
      </c>
      <c r="J7173" t="s">
        <v>17</v>
      </c>
      <c r="K7173" t="str">
        <f>"613414191"</f>
        <v>613414191</v>
      </c>
      <c r="L7173" t="str">
        <f>"613414191"</f>
        <v>613414191</v>
      </c>
      <c r="M7173" t="s">
        <v>84</v>
      </c>
      <c r="N7173" s="1">
        <v>43320.681250000001</v>
      </c>
      <c r="O7173" t="s">
        <v>19</v>
      </c>
    </row>
    <row r="7174" spans="1:15" x14ac:dyDescent="0.25">
      <c r="A7174" t="s">
        <v>5169</v>
      </c>
      <c r="B7174" t="s">
        <v>15</v>
      </c>
      <c r="C7174" t="s">
        <v>2582</v>
      </c>
      <c r="D7174" t="s">
        <v>17</v>
      </c>
      <c r="E7174" t="s">
        <v>18</v>
      </c>
      <c r="F7174" t="s">
        <v>19</v>
      </c>
      <c r="G7174" t="s">
        <v>20</v>
      </c>
      <c r="J7174" t="s">
        <v>17</v>
      </c>
      <c r="K7174" t="str">
        <f>"343114200"</f>
        <v>343114200</v>
      </c>
      <c r="L7174" t="str">
        <f>"343114200"</f>
        <v>343114200</v>
      </c>
      <c r="M7174" t="s">
        <v>75</v>
      </c>
      <c r="N7174" s="1">
        <v>43231.887499999997</v>
      </c>
      <c r="O7174" t="s">
        <v>19</v>
      </c>
    </row>
    <row r="7175" spans="1:15" x14ac:dyDescent="0.25">
      <c r="A7175" t="s">
        <v>5169</v>
      </c>
      <c r="B7175" t="s">
        <v>15</v>
      </c>
      <c r="C7175" t="s">
        <v>2582</v>
      </c>
      <c r="D7175" t="s">
        <v>17</v>
      </c>
      <c r="E7175" t="s">
        <v>18</v>
      </c>
      <c r="F7175" t="s">
        <v>19</v>
      </c>
      <c r="G7175" t="s">
        <v>20</v>
      </c>
      <c r="H7175" t="s">
        <v>5003</v>
      </c>
      <c r="J7175" t="s">
        <v>17</v>
      </c>
      <c r="K7175" t="str">
        <f>"1000001001463"</f>
        <v>1000001001463</v>
      </c>
      <c r="L7175" t="str">
        <f>"763414200"</f>
        <v>763414200</v>
      </c>
      <c r="M7175" t="s">
        <v>84</v>
      </c>
      <c r="N7175" s="1">
        <v>43195.868750000001</v>
      </c>
      <c r="O7175" t="s">
        <v>19</v>
      </c>
    </row>
    <row r="7176" spans="1:15" x14ac:dyDescent="0.25">
      <c r="A7176" t="s">
        <v>5170</v>
      </c>
      <c r="B7176" t="s">
        <v>15</v>
      </c>
      <c r="C7176" t="s">
        <v>2582</v>
      </c>
      <c r="D7176" t="s">
        <v>17</v>
      </c>
      <c r="E7176" t="s">
        <v>18</v>
      </c>
      <c r="F7176" t="s">
        <v>19</v>
      </c>
      <c r="G7176" t="s">
        <v>20</v>
      </c>
      <c r="H7176" t="s">
        <v>5003</v>
      </c>
      <c r="J7176" t="s">
        <v>17</v>
      </c>
      <c r="K7176" t="str">
        <f>"762514200"</f>
        <v>762514200</v>
      </c>
      <c r="L7176" t="str">
        <f>"762514200"</f>
        <v>762514200</v>
      </c>
      <c r="M7176" t="s">
        <v>84</v>
      </c>
      <c r="N7176" s="1">
        <v>43409.884722222225</v>
      </c>
      <c r="O7176" t="s">
        <v>19</v>
      </c>
    </row>
    <row r="7177" spans="1:15" x14ac:dyDescent="0.25">
      <c r="A7177" t="s">
        <v>5169</v>
      </c>
      <c r="B7177" t="s">
        <v>15</v>
      </c>
      <c r="C7177" t="s">
        <v>2582</v>
      </c>
      <c r="D7177" t="s">
        <v>17</v>
      </c>
      <c r="E7177" t="s">
        <v>18</v>
      </c>
      <c r="F7177" t="s">
        <v>19</v>
      </c>
      <c r="G7177" t="s">
        <v>20</v>
      </c>
      <c r="H7177" t="s">
        <v>5003</v>
      </c>
      <c r="J7177" t="s">
        <v>17</v>
      </c>
      <c r="K7177" t="str">
        <f>"1908070124048"</f>
        <v>1908070124048</v>
      </c>
      <c r="L7177" t="str">
        <f>"344214200"</f>
        <v>344214200</v>
      </c>
      <c r="M7177" t="s">
        <v>21</v>
      </c>
      <c r="N7177" s="1">
        <v>43502.886111111111</v>
      </c>
      <c r="O7177" t="s">
        <v>19</v>
      </c>
    </row>
    <row r="7178" spans="1:15" x14ac:dyDescent="0.25">
      <c r="A7178" t="s">
        <v>5170</v>
      </c>
      <c r="B7178" t="s">
        <v>15</v>
      </c>
      <c r="C7178" t="s">
        <v>2582</v>
      </c>
      <c r="D7178" t="s">
        <v>17</v>
      </c>
      <c r="E7178" t="s">
        <v>18</v>
      </c>
      <c r="F7178" t="s">
        <v>19</v>
      </c>
      <c r="G7178" t="s">
        <v>20</v>
      </c>
      <c r="H7178" t="s">
        <v>5003</v>
      </c>
      <c r="J7178" t="s">
        <v>17</v>
      </c>
      <c r="K7178" t="str">
        <f>"2019047700086"</f>
        <v>2019047700086</v>
      </c>
      <c r="L7178" t="str">
        <f>"183114200"</f>
        <v>183114200</v>
      </c>
      <c r="M7178" t="s">
        <v>21</v>
      </c>
      <c r="N7178" s="1">
        <v>43595.92083333333</v>
      </c>
      <c r="O7178" t="s">
        <v>19</v>
      </c>
    </row>
    <row r="7179" spans="1:15" x14ac:dyDescent="0.25">
      <c r="A7179" t="s">
        <v>5170</v>
      </c>
      <c r="B7179" t="s">
        <v>15</v>
      </c>
      <c r="C7179" t="s">
        <v>2582</v>
      </c>
      <c r="D7179" t="s">
        <v>17</v>
      </c>
      <c r="E7179" t="s">
        <v>18</v>
      </c>
      <c r="F7179" t="s">
        <v>19</v>
      </c>
      <c r="G7179" t="s">
        <v>20</v>
      </c>
      <c r="H7179" t="s">
        <v>5028</v>
      </c>
      <c r="J7179" t="s">
        <v>17</v>
      </c>
      <c r="K7179" t="str">
        <f>"1908070123577"</f>
        <v>1908070123577</v>
      </c>
      <c r="L7179" t="str">
        <f>"343414200"</f>
        <v>343414200</v>
      </c>
      <c r="M7179" t="s">
        <v>84</v>
      </c>
      <c r="N7179" s="1">
        <v>43006.859722222223</v>
      </c>
      <c r="O7179" t="s">
        <v>19</v>
      </c>
    </row>
    <row r="7180" spans="1:15" x14ac:dyDescent="0.25">
      <c r="A7180" t="s">
        <v>5170</v>
      </c>
      <c r="B7180" t="s">
        <v>15</v>
      </c>
      <c r="C7180" t="s">
        <v>2582</v>
      </c>
      <c r="D7180" t="s">
        <v>17</v>
      </c>
      <c r="E7180" t="s">
        <v>18</v>
      </c>
      <c r="F7180" t="s">
        <v>19</v>
      </c>
      <c r="G7180" t="s">
        <v>20</v>
      </c>
      <c r="H7180" t="s">
        <v>5028</v>
      </c>
      <c r="J7180" t="s">
        <v>17</v>
      </c>
      <c r="K7180" t="str">
        <f>"1908070122181"</f>
        <v>1908070122181</v>
      </c>
      <c r="L7180" t="str">
        <f>"342514200"</f>
        <v>342514200</v>
      </c>
      <c r="M7180" t="s">
        <v>84</v>
      </c>
      <c r="N7180" s="1">
        <v>43396.928472222222</v>
      </c>
      <c r="O7180" t="s">
        <v>19</v>
      </c>
    </row>
    <row r="7181" spans="1:15" x14ac:dyDescent="0.25">
      <c r="A7181" t="s">
        <v>5170</v>
      </c>
      <c r="B7181" t="s">
        <v>15</v>
      </c>
      <c r="C7181" t="s">
        <v>2582</v>
      </c>
      <c r="D7181" t="s">
        <v>17</v>
      </c>
      <c r="E7181" t="s">
        <v>18</v>
      </c>
      <c r="F7181" t="s">
        <v>19</v>
      </c>
      <c r="G7181" t="s">
        <v>20</v>
      </c>
      <c r="H7181" t="s">
        <v>5165</v>
      </c>
      <c r="J7181" t="s">
        <v>17</v>
      </c>
      <c r="K7181" t="str">
        <f>"862914200"</f>
        <v>862914200</v>
      </c>
      <c r="L7181" t="str">
        <f>"862914200"</f>
        <v>862914200</v>
      </c>
      <c r="M7181" t="s">
        <v>84</v>
      </c>
      <c r="N7181" s="1">
        <v>43367.834722222222</v>
      </c>
      <c r="O7181" t="s">
        <v>19</v>
      </c>
    </row>
    <row r="7182" spans="1:15" x14ac:dyDescent="0.25">
      <c r="A7182" t="s">
        <v>5171</v>
      </c>
      <c r="B7182" t="s">
        <v>15</v>
      </c>
      <c r="C7182" t="s">
        <v>2582</v>
      </c>
      <c r="D7182" t="s">
        <v>17</v>
      </c>
      <c r="E7182" t="s">
        <v>18</v>
      </c>
      <c r="F7182" t="s">
        <v>19</v>
      </c>
      <c r="G7182" t="s">
        <v>20</v>
      </c>
      <c r="J7182" t="s">
        <v>17</v>
      </c>
      <c r="K7182" t="str">
        <f>"2019052010095"</f>
        <v>2019052010095</v>
      </c>
      <c r="L7182" t="str">
        <f>"183114201"</f>
        <v>183114201</v>
      </c>
      <c r="M7182" t="s">
        <v>21</v>
      </c>
      <c r="N7182" s="1">
        <v>43661.890277777777</v>
      </c>
      <c r="O7182" t="s">
        <v>19</v>
      </c>
    </row>
    <row r="7183" spans="1:15" x14ac:dyDescent="0.25">
      <c r="A7183" t="s">
        <v>5171</v>
      </c>
      <c r="B7183" t="s">
        <v>15</v>
      </c>
      <c r="C7183" t="s">
        <v>2582</v>
      </c>
      <c r="D7183" t="s">
        <v>17</v>
      </c>
      <c r="E7183" t="s">
        <v>18</v>
      </c>
      <c r="F7183" t="s">
        <v>19</v>
      </c>
      <c r="G7183" t="s">
        <v>20</v>
      </c>
      <c r="H7183" t="s">
        <v>5003</v>
      </c>
      <c r="J7183" t="s">
        <v>17</v>
      </c>
      <c r="K7183" t="str">
        <f>"1000001003818"</f>
        <v>1000001003818</v>
      </c>
      <c r="L7183" t="str">
        <f>"762514201"</f>
        <v>762514201</v>
      </c>
      <c r="M7183" t="s">
        <v>84</v>
      </c>
      <c r="N7183" s="1">
        <v>43409.885416666664</v>
      </c>
      <c r="O7183" t="s">
        <v>19</v>
      </c>
    </row>
    <row r="7184" spans="1:15" x14ac:dyDescent="0.25">
      <c r="A7184" t="s">
        <v>5171</v>
      </c>
      <c r="B7184" t="s">
        <v>15</v>
      </c>
      <c r="C7184" t="s">
        <v>2582</v>
      </c>
      <c r="D7184" t="s">
        <v>17</v>
      </c>
      <c r="E7184" t="s">
        <v>18</v>
      </c>
      <c r="F7184" t="s">
        <v>19</v>
      </c>
      <c r="G7184" t="s">
        <v>20</v>
      </c>
      <c r="H7184" t="s">
        <v>5003</v>
      </c>
      <c r="J7184" t="s">
        <v>17</v>
      </c>
      <c r="K7184" t="str">
        <f>"1908070124024"</f>
        <v>1908070124024</v>
      </c>
      <c r="L7184" t="str">
        <f>"342514201"</f>
        <v>342514201</v>
      </c>
      <c r="M7184" t="s">
        <v>21</v>
      </c>
      <c r="N7184" s="1">
        <v>43528.758333333331</v>
      </c>
      <c r="O7184" t="s">
        <v>19</v>
      </c>
    </row>
    <row r="7185" spans="1:15" x14ac:dyDescent="0.25">
      <c r="A7185" t="s">
        <v>5171</v>
      </c>
      <c r="B7185" t="s">
        <v>15</v>
      </c>
      <c r="C7185" t="s">
        <v>2582</v>
      </c>
      <c r="D7185" t="s">
        <v>17</v>
      </c>
      <c r="E7185" t="s">
        <v>18</v>
      </c>
      <c r="F7185" t="s">
        <v>19</v>
      </c>
      <c r="G7185" t="s">
        <v>20</v>
      </c>
      <c r="H7185" t="s">
        <v>5028</v>
      </c>
      <c r="J7185" t="s">
        <v>17</v>
      </c>
      <c r="K7185" t="str">
        <f>"343414201"</f>
        <v>343414201</v>
      </c>
      <c r="L7185" t="str">
        <f>"343414201"</f>
        <v>343414201</v>
      </c>
      <c r="M7185" t="s">
        <v>84</v>
      </c>
      <c r="N7185" s="1">
        <v>43006.861111111109</v>
      </c>
      <c r="O7185" t="s">
        <v>19</v>
      </c>
    </row>
    <row r="7186" spans="1:15" x14ac:dyDescent="0.25">
      <c r="A7186" t="s">
        <v>5171</v>
      </c>
      <c r="B7186" t="s">
        <v>15</v>
      </c>
      <c r="C7186" t="s">
        <v>2582</v>
      </c>
      <c r="D7186" t="s">
        <v>17</v>
      </c>
      <c r="E7186" t="s">
        <v>18</v>
      </c>
      <c r="F7186" t="s">
        <v>19</v>
      </c>
      <c r="G7186" t="s">
        <v>20</v>
      </c>
      <c r="H7186" t="s">
        <v>5028</v>
      </c>
      <c r="J7186" t="s">
        <v>17</v>
      </c>
      <c r="K7186" t="str">
        <f>"1908070123584"</f>
        <v>1908070123584</v>
      </c>
      <c r="L7186" t="str">
        <f>"343114201"</f>
        <v>343114201</v>
      </c>
      <c r="M7186" t="s">
        <v>84</v>
      </c>
      <c r="N7186" s="1">
        <v>43257.807638888888</v>
      </c>
      <c r="O7186" t="s">
        <v>19</v>
      </c>
    </row>
    <row r="7187" spans="1:15" x14ac:dyDescent="0.25">
      <c r="A7187" t="s">
        <v>5171</v>
      </c>
      <c r="B7187" t="s">
        <v>15</v>
      </c>
      <c r="C7187" t="s">
        <v>2582</v>
      </c>
      <c r="D7187" t="s">
        <v>17</v>
      </c>
      <c r="E7187" t="s">
        <v>18</v>
      </c>
      <c r="F7187" t="s">
        <v>19</v>
      </c>
      <c r="G7187" t="s">
        <v>20</v>
      </c>
      <c r="H7187" t="s">
        <v>5165</v>
      </c>
      <c r="J7187" t="s">
        <v>17</v>
      </c>
      <c r="K7187" t="str">
        <f>"862914201"</f>
        <v>862914201</v>
      </c>
      <c r="L7187" t="str">
        <f>"862914201"</f>
        <v>862914201</v>
      </c>
      <c r="M7187" t="s">
        <v>84</v>
      </c>
      <c r="N7187" s="1">
        <v>43367.835416666669</v>
      </c>
      <c r="O7187" t="s">
        <v>19</v>
      </c>
    </row>
    <row r="7188" spans="1:15" x14ac:dyDescent="0.25">
      <c r="A7188" t="s">
        <v>5172</v>
      </c>
      <c r="B7188" t="s">
        <v>15</v>
      </c>
      <c r="C7188" t="s">
        <v>2582</v>
      </c>
      <c r="D7188" t="s">
        <v>17</v>
      </c>
      <c r="E7188" t="s">
        <v>18</v>
      </c>
      <c r="F7188" t="s">
        <v>19</v>
      </c>
      <c r="G7188" t="s">
        <v>20</v>
      </c>
      <c r="J7188" t="s">
        <v>17</v>
      </c>
      <c r="K7188" t="str">
        <f>"343114203"</f>
        <v>343114203</v>
      </c>
      <c r="L7188" t="str">
        <f>"343114203"</f>
        <v>343114203</v>
      </c>
      <c r="M7188" t="s">
        <v>21</v>
      </c>
      <c r="N7188" s="1">
        <v>43231.886805555558</v>
      </c>
      <c r="O7188" t="s">
        <v>19</v>
      </c>
    </row>
    <row r="7189" spans="1:15" x14ac:dyDescent="0.25">
      <c r="A7189" t="s">
        <v>5172</v>
      </c>
      <c r="B7189" t="s">
        <v>15</v>
      </c>
      <c r="C7189" t="s">
        <v>2582</v>
      </c>
      <c r="D7189" t="s">
        <v>17</v>
      </c>
      <c r="E7189" t="s">
        <v>18</v>
      </c>
      <c r="F7189" t="s">
        <v>19</v>
      </c>
      <c r="G7189" t="s">
        <v>20</v>
      </c>
      <c r="J7189" t="s">
        <v>17</v>
      </c>
      <c r="K7189" t="str">
        <f>"2019052010101"</f>
        <v>2019052010101</v>
      </c>
      <c r="L7189" t="str">
        <f>"183114203"</f>
        <v>183114203</v>
      </c>
      <c r="M7189" t="s">
        <v>21</v>
      </c>
      <c r="N7189" s="1">
        <v>43595.921527777777</v>
      </c>
      <c r="O7189" t="s">
        <v>19</v>
      </c>
    </row>
    <row r="7190" spans="1:15" x14ac:dyDescent="0.25">
      <c r="A7190" t="s">
        <v>5172</v>
      </c>
      <c r="B7190" t="s">
        <v>15</v>
      </c>
      <c r="C7190" t="s">
        <v>2582</v>
      </c>
      <c r="D7190" t="s">
        <v>17</v>
      </c>
      <c r="E7190" t="s">
        <v>18</v>
      </c>
      <c r="F7190" t="s">
        <v>19</v>
      </c>
      <c r="G7190" t="s">
        <v>20</v>
      </c>
      <c r="H7190" t="s">
        <v>5003</v>
      </c>
      <c r="J7190" t="s">
        <v>17</v>
      </c>
      <c r="K7190" t="str">
        <f>"1908070124062"</f>
        <v>1908070124062</v>
      </c>
      <c r="L7190" t="str">
        <f>"343414203"</f>
        <v>343414203</v>
      </c>
      <c r="M7190" t="s">
        <v>84</v>
      </c>
      <c r="N7190" s="1">
        <v>43566.652083333334</v>
      </c>
      <c r="O7190" t="s">
        <v>19</v>
      </c>
    </row>
    <row r="7191" spans="1:15" x14ac:dyDescent="0.25">
      <c r="A7191" t="s">
        <v>5172</v>
      </c>
      <c r="B7191" t="s">
        <v>15</v>
      </c>
      <c r="C7191" t="s">
        <v>2582</v>
      </c>
      <c r="D7191" t="s">
        <v>17</v>
      </c>
      <c r="E7191" t="s">
        <v>18</v>
      </c>
      <c r="F7191" t="s">
        <v>19</v>
      </c>
      <c r="G7191" t="s">
        <v>20</v>
      </c>
      <c r="H7191" t="s">
        <v>5003</v>
      </c>
      <c r="J7191" t="s">
        <v>17</v>
      </c>
      <c r="K7191" t="str">
        <f>"763114203"</f>
        <v>763114203</v>
      </c>
      <c r="L7191" t="str">
        <f>"763114203"</f>
        <v>763114203</v>
      </c>
      <c r="M7191" t="s">
        <v>21</v>
      </c>
      <c r="N7191" s="1">
        <v>43890.631944444445</v>
      </c>
      <c r="O7191" t="s">
        <v>19</v>
      </c>
    </row>
    <row r="7192" spans="1:15" x14ac:dyDescent="0.25">
      <c r="A7192" t="s">
        <v>5173</v>
      </c>
      <c r="B7192" t="s">
        <v>15</v>
      </c>
      <c r="C7192" t="s">
        <v>2582</v>
      </c>
      <c r="D7192" t="s">
        <v>17</v>
      </c>
      <c r="E7192" t="s">
        <v>18</v>
      </c>
      <c r="F7192" t="s">
        <v>19</v>
      </c>
      <c r="G7192" t="s">
        <v>20</v>
      </c>
      <c r="H7192" t="s">
        <v>5003</v>
      </c>
      <c r="J7192" t="s">
        <v>17</v>
      </c>
      <c r="K7192" t="str">
        <f>"763414204"</f>
        <v>763414204</v>
      </c>
      <c r="L7192" t="str">
        <f>"763414204"</f>
        <v>763414204</v>
      </c>
      <c r="M7192" t="s">
        <v>84</v>
      </c>
      <c r="N7192" s="1">
        <v>43272.795138888891</v>
      </c>
      <c r="O7192" t="s">
        <v>19</v>
      </c>
    </row>
    <row r="7193" spans="1:15" x14ac:dyDescent="0.25">
      <c r="A7193" t="s">
        <v>5173</v>
      </c>
      <c r="B7193" t="s">
        <v>15</v>
      </c>
      <c r="C7193" t="s">
        <v>2582</v>
      </c>
      <c r="D7193" t="s">
        <v>17</v>
      </c>
      <c r="E7193" t="s">
        <v>18</v>
      </c>
      <c r="F7193" t="s">
        <v>19</v>
      </c>
      <c r="G7193" t="s">
        <v>20</v>
      </c>
      <c r="H7193" t="s">
        <v>5003</v>
      </c>
      <c r="J7193" t="s">
        <v>17</v>
      </c>
      <c r="K7193" t="str">
        <f>"413414204"</f>
        <v>413414204</v>
      </c>
      <c r="L7193" t="str">
        <f>"413414204"</f>
        <v>413414204</v>
      </c>
      <c r="M7193" t="s">
        <v>84</v>
      </c>
      <c r="N7193" s="1">
        <v>43335.931250000001</v>
      </c>
      <c r="O7193" t="s">
        <v>19</v>
      </c>
    </row>
    <row r="7194" spans="1:15" x14ac:dyDescent="0.25">
      <c r="A7194" t="s">
        <v>5173</v>
      </c>
      <c r="B7194" t="s">
        <v>15</v>
      </c>
      <c r="C7194" t="s">
        <v>2582</v>
      </c>
      <c r="D7194" t="s">
        <v>17</v>
      </c>
      <c r="E7194" t="s">
        <v>18</v>
      </c>
      <c r="F7194" t="s">
        <v>19</v>
      </c>
      <c r="G7194" t="s">
        <v>20</v>
      </c>
      <c r="H7194" t="s">
        <v>5003</v>
      </c>
      <c r="J7194" t="s">
        <v>17</v>
      </c>
      <c r="K7194" t="str">
        <f>"413514203"</f>
        <v>413514203</v>
      </c>
      <c r="L7194" t="str">
        <f>"413514203"</f>
        <v>413514203</v>
      </c>
      <c r="M7194" t="s">
        <v>84</v>
      </c>
      <c r="N7194" s="1">
        <v>43335.931944444441</v>
      </c>
      <c r="O7194" t="s">
        <v>19</v>
      </c>
    </row>
    <row r="7195" spans="1:15" x14ac:dyDescent="0.25">
      <c r="A7195" t="s">
        <v>5173</v>
      </c>
      <c r="B7195" t="s">
        <v>15</v>
      </c>
      <c r="C7195" t="s">
        <v>2582</v>
      </c>
      <c r="D7195" t="s">
        <v>17</v>
      </c>
      <c r="E7195" t="s">
        <v>18</v>
      </c>
      <c r="F7195" t="s">
        <v>19</v>
      </c>
      <c r="G7195" t="s">
        <v>20</v>
      </c>
      <c r="H7195" t="s">
        <v>5003</v>
      </c>
      <c r="J7195" t="s">
        <v>17</v>
      </c>
      <c r="K7195" t="str">
        <f>"1908070124086"</f>
        <v>1908070124086</v>
      </c>
      <c r="L7195" t="str">
        <f>"343414204"</f>
        <v>343414204</v>
      </c>
      <c r="M7195" t="s">
        <v>84</v>
      </c>
      <c r="N7195" s="1">
        <v>43396.925694444442</v>
      </c>
      <c r="O7195" t="s">
        <v>19</v>
      </c>
    </row>
    <row r="7196" spans="1:15" x14ac:dyDescent="0.25">
      <c r="A7196" t="s">
        <v>5173</v>
      </c>
      <c r="B7196" t="s">
        <v>15</v>
      </c>
      <c r="C7196" t="s">
        <v>2582</v>
      </c>
      <c r="D7196" t="s">
        <v>17</v>
      </c>
      <c r="E7196" t="s">
        <v>18</v>
      </c>
      <c r="F7196" t="s">
        <v>19</v>
      </c>
      <c r="G7196" t="s">
        <v>20</v>
      </c>
      <c r="H7196" t="s">
        <v>5003</v>
      </c>
      <c r="J7196" t="s">
        <v>17</v>
      </c>
      <c r="K7196" t="str">
        <f>"1000001003825"</f>
        <v>1000001003825</v>
      </c>
      <c r="L7196" t="str">
        <f>"762514203"</f>
        <v>762514203</v>
      </c>
      <c r="M7196" t="s">
        <v>84</v>
      </c>
      <c r="N7196" s="1">
        <v>43409.885416666664</v>
      </c>
      <c r="O7196" t="s">
        <v>19</v>
      </c>
    </row>
    <row r="7197" spans="1:15" x14ac:dyDescent="0.25">
      <c r="A7197" t="s">
        <v>5173</v>
      </c>
      <c r="B7197" t="s">
        <v>15</v>
      </c>
      <c r="C7197" t="s">
        <v>2582</v>
      </c>
      <c r="D7197" t="s">
        <v>17</v>
      </c>
      <c r="E7197" t="s">
        <v>18</v>
      </c>
      <c r="F7197" t="s">
        <v>19</v>
      </c>
      <c r="G7197" t="s">
        <v>20</v>
      </c>
      <c r="H7197" t="s">
        <v>5003</v>
      </c>
      <c r="J7197" t="s">
        <v>17</v>
      </c>
      <c r="K7197" t="str">
        <f>"762514204"</f>
        <v>762514204</v>
      </c>
      <c r="L7197" t="str">
        <f>"762514204"</f>
        <v>762514204</v>
      </c>
      <c r="M7197" t="s">
        <v>84</v>
      </c>
      <c r="N7197" s="1">
        <v>43409.886805555558</v>
      </c>
      <c r="O7197" t="s">
        <v>19</v>
      </c>
    </row>
    <row r="7198" spans="1:15" x14ac:dyDescent="0.25">
      <c r="A7198" t="s">
        <v>5173</v>
      </c>
      <c r="B7198" t="s">
        <v>15</v>
      </c>
      <c r="C7198" t="s">
        <v>2582</v>
      </c>
      <c r="D7198" t="s">
        <v>17</v>
      </c>
      <c r="E7198" t="s">
        <v>18</v>
      </c>
      <c r="F7198" t="s">
        <v>19</v>
      </c>
      <c r="G7198" t="s">
        <v>20</v>
      </c>
      <c r="H7198" t="s">
        <v>5003</v>
      </c>
      <c r="J7198" t="s">
        <v>17</v>
      </c>
      <c r="K7198" t="str">
        <f>"2019047700109"</f>
        <v>2019047700109</v>
      </c>
      <c r="L7198" t="str">
        <f>"183114204"</f>
        <v>183114204</v>
      </c>
      <c r="M7198" t="s">
        <v>21</v>
      </c>
      <c r="N7198" s="1">
        <v>43595.921527777777</v>
      </c>
      <c r="O7198" t="s">
        <v>19</v>
      </c>
    </row>
    <row r="7199" spans="1:15" x14ac:dyDescent="0.25">
      <c r="A7199" t="s">
        <v>5173</v>
      </c>
      <c r="B7199" t="s">
        <v>15</v>
      </c>
      <c r="C7199" t="s">
        <v>2582</v>
      </c>
      <c r="D7199" t="s">
        <v>17</v>
      </c>
      <c r="E7199" t="s">
        <v>18</v>
      </c>
      <c r="F7199" t="s">
        <v>19</v>
      </c>
      <c r="G7199" t="s">
        <v>20</v>
      </c>
      <c r="H7199" t="s">
        <v>5028</v>
      </c>
      <c r="J7199" t="s">
        <v>17</v>
      </c>
      <c r="K7199" t="str">
        <f>"1908070123690"</f>
        <v>1908070123690</v>
      </c>
      <c r="L7199" t="str">
        <f>"343114204"</f>
        <v>343114204</v>
      </c>
      <c r="M7199" t="s">
        <v>84</v>
      </c>
      <c r="N7199" s="1">
        <v>43231.888888888891</v>
      </c>
      <c r="O7199" t="s">
        <v>19</v>
      </c>
    </row>
    <row r="7200" spans="1:15" x14ac:dyDescent="0.25">
      <c r="A7200" t="s">
        <v>5173</v>
      </c>
      <c r="B7200" t="s">
        <v>15</v>
      </c>
      <c r="C7200" t="s">
        <v>2582</v>
      </c>
      <c r="D7200" t="s">
        <v>17</v>
      </c>
      <c r="E7200" t="s">
        <v>18</v>
      </c>
      <c r="F7200" t="s">
        <v>19</v>
      </c>
      <c r="G7200" t="s">
        <v>20</v>
      </c>
      <c r="H7200" t="s">
        <v>5165</v>
      </c>
      <c r="J7200" t="s">
        <v>17</v>
      </c>
      <c r="K7200" t="str">
        <f>"862914203"</f>
        <v>862914203</v>
      </c>
      <c r="L7200" t="str">
        <f>"862914203"</f>
        <v>862914203</v>
      </c>
      <c r="M7200" t="s">
        <v>84</v>
      </c>
      <c r="N7200" s="1">
        <v>43367.833333333336</v>
      </c>
      <c r="O7200" t="s">
        <v>19</v>
      </c>
    </row>
    <row r="7201" spans="1:15" x14ac:dyDescent="0.25">
      <c r="A7201" t="s">
        <v>5173</v>
      </c>
      <c r="B7201" t="s">
        <v>15</v>
      </c>
      <c r="C7201" t="s">
        <v>2582</v>
      </c>
      <c r="D7201" t="s">
        <v>17</v>
      </c>
      <c r="E7201" t="s">
        <v>18</v>
      </c>
      <c r="F7201" t="s">
        <v>19</v>
      </c>
      <c r="G7201" t="s">
        <v>20</v>
      </c>
      <c r="H7201" t="s">
        <v>5165</v>
      </c>
      <c r="J7201" t="s">
        <v>17</v>
      </c>
      <c r="K7201" t="str">
        <f>"862914204"</f>
        <v>862914204</v>
      </c>
      <c r="L7201" t="str">
        <f>"862914204"</f>
        <v>862914204</v>
      </c>
      <c r="M7201" t="s">
        <v>84</v>
      </c>
      <c r="N7201" s="1">
        <v>43367.834027777775</v>
      </c>
      <c r="O7201" t="s">
        <v>19</v>
      </c>
    </row>
    <row r="7202" spans="1:15" x14ac:dyDescent="0.25">
      <c r="A7202" t="s">
        <v>5174</v>
      </c>
      <c r="B7202" t="s">
        <v>15</v>
      </c>
      <c r="C7202" t="s">
        <v>2582</v>
      </c>
      <c r="D7202" t="s">
        <v>17</v>
      </c>
      <c r="E7202" t="s">
        <v>18</v>
      </c>
      <c r="F7202" t="s">
        <v>19</v>
      </c>
      <c r="G7202" t="s">
        <v>20</v>
      </c>
      <c r="J7202" t="s">
        <v>17</v>
      </c>
      <c r="K7202" t="str">
        <f>"1908070122433"</f>
        <v>1908070122433</v>
      </c>
      <c r="L7202" t="str">
        <f>"343415270"</f>
        <v>343415270</v>
      </c>
      <c r="M7202" t="s">
        <v>84</v>
      </c>
      <c r="N7202" s="1">
        <v>43306.717361111114</v>
      </c>
      <c r="O7202" t="s">
        <v>19</v>
      </c>
    </row>
    <row r="7203" spans="1:15" x14ac:dyDescent="0.25">
      <c r="A7203" t="s">
        <v>5175</v>
      </c>
      <c r="B7203" t="s">
        <v>15</v>
      </c>
      <c r="C7203" t="s">
        <v>2582</v>
      </c>
      <c r="D7203" t="s">
        <v>17</v>
      </c>
      <c r="E7203" t="s">
        <v>18</v>
      </c>
      <c r="F7203" t="s">
        <v>19</v>
      </c>
      <c r="G7203" t="s">
        <v>20</v>
      </c>
      <c r="J7203" t="s">
        <v>17</v>
      </c>
      <c r="K7203" t="str">
        <f>"613415268"</f>
        <v>613415268</v>
      </c>
      <c r="L7203" t="str">
        <f>"613415268"</f>
        <v>613415268</v>
      </c>
      <c r="M7203" t="s">
        <v>84</v>
      </c>
      <c r="N7203" s="1">
        <v>43320.681250000001</v>
      </c>
      <c r="O7203" t="s">
        <v>19</v>
      </c>
    </row>
    <row r="7204" spans="1:15" x14ac:dyDescent="0.25">
      <c r="A7204" t="s">
        <v>5176</v>
      </c>
      <c r="B7204" t="s">
        <v>15</v>
      </c>
      <c r="C7204" t="s">
        <v>2582</v>
      </c>
      <c r="D7204" t="s">
        <v>17</v>
      </c>
      <c r="E7204" t="s">
        <v>18</v>
      </c>
      <c r="F7204" t="s">
        <v>19</v>
      </c>
      <c r="G7204" t="s">
        <v>20</v>
      </c>
      <c r="J7204" t="s">
        <v>17</v>
      </c>
      <c r="K7204" t="str">
        <f>"61340218"</f>
        <v>61340218</v>
      </c>
      <c r="L7204" t="str">
        <f>"61340218"</f>
        <v>61340218</v>
      </c>
      <c r="M7204" t="s">
        <v>21</v>
      </c>
      <c r="N7204" s="1">
        <v>44253.677777777775</v>
      </c>
      <c r="O7204" t="s">
        <v>19</v>
      </c>
    </row>
    <row r="7205" spans="1:15" x14ac:dyDescent="0.25">
      <c r="A7205" t="s">
        <v>5177</v>
      </c>
      <c r="B7205" t="s">
        <v>15</v>
      </c>
      <c r="C7205" t="s">
        <v>2582</v>
      </c>
      <c r="D7205" t="s">
        <v>17</v>
      </c>
      <c r="E7205" t="s">
        <v>18</v>
      </c>
      <c r="F7205" t="s">
        <v>19</v>
      </c>
      <c r="G7205" t="s">
        <v>20</v>
      </c>
      <c r="J7205" t="s">
        <v>17</v>
      </c>
      <c r="K7205" t="str">
        <f>"34310201"</f>
        <v>34310201</v>
      </c>
      <c r="L7205" t="str">
        <f>"34310201"</f>
        <v>34310201</v>
      </c>
      <c r="M7205" t="s">
        <v>84</v>
      </c>
      <c r="N7205" s="1">
        <v>43257.795138888891</v>
      </c>
      <c r="O7205" t="s">
        <v>19</v>
      </c>
    </row>
    <row r="7206" spans="1:15" x14ac:dyDescent="0.25">
      <c r="A7206" t="s">
        <v>5178</v>
      </c>
      <c r="B7206" t="s">
        <v>15</v>
      </c>
      <c r="C7206" t="s">
        <v>2582</v>
      </c>
      <c r="D7206" t="s">
        <v>17</v>
      </c>
      <c r="E7206" t="s">
        <v>18</v>
      </c>
      <c r="F7206" t="s">
        <v>19</v>
      </c>
      <c r="G7206" t="s">
        <v>20</v>
      </c>
      <c r="J7206" t="s">
        <v>17</v>
      </c>
      <c r="K7206" t="str">
        <f>"61340220"</f>
        <v>61340220</v>
      </c>
      <c r="L7206" t="str">
        <f>"61340220"</f>
        <v>61340220</v>
      </c>
      <c r="M7206" t="s">
        <v>21</v>
      </c>
      <c r="N7206" s="1">
        <v>44253.681944444441</v>
      </c>
      <c r="O7206" t="s">
        <v>19</v>
      </c>
    </row>
    <row r="7207" spans="1:15" x14ac:dyDescent="0.25">
      <c r="A7207" t="s">
        <v>5179</v>
      </c>
      <c r="B7207" t="s">
        <v>15</v>
      </c>
      <c r="C7207" t="s">
        <v>2582</v>
      </c>
      <c r="D7207" t="s">
        <v>17</v>
      </c>
      <c r="E7207" t="s">
        <v>18</v>
      </c>
      <c r="F7207" t="s">
        <v>19</v>
      </c>
      <c r="G7207" t="s">
        <v>20</v>
      </c>
      <c r="J7207" t="s">
        <v>17</v>
      </c>
      <c r="K7207" t="str">
        <f>"61340215"</f>
        <v>61340215</v>
      </c>
      <c r="L7207" t="str">
        <f>"61340215"</f>
        <v>61340215</v>
      </c>
      <c r="M7207" t="s">
        <v>21</v>
      </c>
      <c r="N7207" s="1">
        <v>44253.672222222223</v>
      </c>
      <c r="O7207" t="s">
        <v>19</v>
      </c>
    </row>
    <row r="7208" spans="1:15" x14ac:dyDescent="0.25">
      <c r="A7208" t="s">
        <v>5180</v>
      </c>
      <c r="B7208" t="s">
        <v>15</v>
      </c>
      <c r="C7208" t="s">
        <v>2582</v>
      </c>
      <c r="D7208" t="s">
        <v>17</v>
      </c>
      <c r="E7208" t="s">
        <v>18</v>
      </c>
      <c r="F7208" t="s">
        <v>19</v>
      </c>
      <c r="G7208" t="s">
        <v>20</v>
      </c>
      <c r="J7208" t="s">
        <v>17</v>
      </c>
      <c r="K7208" t="str">
        <f>"61340219"</f>
        <v>61340219</v>
      </c>
      <c r="L7208" t="str">
        <f>"61340219"</f>
        <v>61340219</v>
      </c>
      <c r="M7208" t="s">
        <v>21</v>
      </c>
      <c r="N7208" s="1">
        <v>44253.681250000001</v>
      </c>
      <c r="O7208" t="s">
        <v>19</v>
      </c>
    </row>
    <row r="7209" spans="1:15" x14ac:dyDescent="0.25">
      <c r="A7209" t="s">
        <v>5180</v>
      </c>
      <c r="B7209" t="s">
        <v>15</v>
      </c>
      <c r="C7209" t="s">
        <v>2582</v>
      </c>
      <c r="D7209" t="s">
        <v>17</v>
      </c>
      <c r="E7209" t="s">
        <v>18</v>
      </c>
      <c r="F7209" t="s">
        <v>19</v>
      </c>
      <c r="G7209" t="s">
        <v>20</v>
      </c>
      <c r="J7209" t="s">
        <v>17</v>
      </c>
      <c r="K7209" t="str">
        <f>"1908070129753"</f>
        <v>1908070129753</v>
      </c>
      <c r="L7209" t="str">
        <f>"34310219"</f>
        <v>34310219</v>
      </c>
      <c r="M7209" t="s">
        <v>21</v>
      </c>
      <c r="N7209" s="1">
        <v>44285.90347222222</v>
      </c>
      <c r="O7209" t="s">
        <v>19</v>
      </c>
    </row>
    <row r="7210" spans="1:15" x14ac:dyDescent="0.25">
      <c r="A7210" t="s">
        <v>5181</v>
      </c>
      <c r="B7210" t="s">
        <v>15</v>
      </c>
      <c r="C7210" t="s">
        <v>2582</v>
      </c>
      <c r="D7210" t="s">
        <v>17</v>
      </c>
      <c r="E7210" t="s">
        <v>18</v>
      </c>
      <c r="F7210" t="s">
        <v>19</v>
      </c>
      <c r="G7210" t="s">
        <v>20</v>
      </c>
      <c r="J7210" t="s">
        <v>17</v>
      </c>
      <c r="K7210" t="str">
        <f>"61340216"</f>
        <v>61340216</v>
      </c>
      <c r="L7210" t="str">
        <f>"61340216"</f>
        <v>61340216</v>
      </c>
      <c r="M7210" t="s">
        <v>21</v>
      </c>
      <c r="N7210" s="1">
        <v>44253.673611111109</v>
      </c>
      <c r="O7210" t="s">
        <v>19</v>
      </c>
    </row>
    <row r="7211" spans="1:15" x14ac:dyDescent="0.25">
      <c r="A7211" t="s">
        <v>5181</v>
      </c>
      <c r="B7211" t="s">
        <v>15</v>
      </c>
      <c r="C7211" t="s">
        <v>2582</v>
      </c>
      <c r="D7211" t="s">
        <v>17</v>
      </c>
      <c r="E7211" t="s">
        <v>18</v>
      </c>
      <c r="F7211" t="s">
        <v>19</v>
      </c>
      <c r="G7211" t="s">
        <v>20</v>
      </c>
      <c r="J7211" t="s">
        <v>17</v>
      </c>
      <c r="K7211" t="str">
        <f>"1908070129333"</f>
        <v>1908070129333</v>
      </c>
      <c r="L7211" t="str">
        <f>"34310221"</f>
        <v>34310221</v>
      </c>
      <c r="M7211" t="s">
        <v>21</v>
      </c>
      <c r="N7211" s="1">
        <v>44285.90347222222</v>
      </c>
      <c r="O7211" t="s">
        <v>19</v>
      </c>
    </row>
    <row r="7212" spans="1:15" x14ac:dyDescent="0.25">
      <c r="A7212" t="s">
        <v>5182</v>
      </c>
      <c r="B7212" t="s">
        <v>15</v>
      </c>
      <c r="C7212" t="s">
        <v>2582</v>
      </c>
      <c r="D7212" t="s">
        <v>17</v>
      </c>
      <c r="E7212" t="s">
        <v>18</v>
      </c>
      <c r="F7212" t="s">
        <v>19</v>
      </c>
      <c r="G7212" t="s">
        <v>20</v>
      </c>
      <c r="J7212" t="s">
        <v>17</v>
      </c>
      <c r="K7212" t="str">
        <f>"61340217"</f>
        <v>61340217</v>
      </c>
      <c r="L7212" t="str">
        <f>"61340217"</f>
        <v>61340217</v>
      </c>
      <c r="M7212" t="s">
        <v>21</v>
      </c>
      <c r="N7212" s="1">
        <v>44253.677083333336</v>
      </c>
      <c r="O7212" t="s">
        <v>19</v>
      </c>
    </row>
    <row r="7213" spans="1:15" x14ac:dyDescent="0.25">
      <c r="A7213" t="s">
        <v>5183</v>
      </c>
      <c r="B7213" t="s">
        <v>15</v>
      </c>
      <c r="C7213" t="s">
        <v>2582</v>
      </c>
      <c r="D7213" t="s">
        <v>17</v>
      </c>
      <c r="E7213" t="s">
        <v>18</v>
      </c>
      <c r="F7213" t="s">
        <v>19</v>
      </c>
      <c r="G7213" t="s">
        <v>20</v>
      </c>
      <c r="J7213" t="s">
        <v>17</v>
      </c>
      <c r="K7213" t="str">
        <f>"13310213"</f>
        <v>13310213</v>
      </c>
      <c r="L7213" t="str">
        <f>"13310213"</f>
        <v>13310213</v>
      </c>
      <c r="M7213" t="s">
        <v>21</v>
      </c>
      <c r="N7213" s="1">
        <v>44414.944444444445</v>
      </c>
      <c r="O7213" t="s">
        <v>19</v>
      </c>
    </row>
    <row r="7214" spans="1:15" x14ac:dyDescent="0.25">
      <c r="A7214" t="s">
        <v>5184</v>
      </c>
      <c r="B7214" t="s">
        <v>15</v>
      </c>
      <c r="C7214" t="s">
        <v>2582</v>
      </c>
      <c r="D7214" t="s">
        <v>17</v>
      </c>
      <c r="E7214" t="s">
        <v>18</v>
      </c>
      <c r="F7214" t="s">
        <v>19</v>
      </c>
      <c r="G7214" t="s">
        <v>20</v>
      </c>
      <c r="J7214" t="s">
        <v>17</v>
      </c>
      <c r="K7214" t="str">
        <f>"76340214"</f>
        <v>76340214</v>
      </c>
      <c r="L7214" t="str">
        <f>"76340214"</f>
        <v>76340214</v>
      </c>
      <c r="M7214" t="s">
        <v>21</v>
      </c>
      <c r="N7214" s="1">
        <v>44210.847222222219</v>
      </c>
      <c r="O7214" t="s">
        <v>19</v>
      </c>
    </row>
    <row r="7215" spans="1:15" x14ac:dyDescent="0.25">
      <c r="A7215" t="s">
        <v>5185</v>
      </c>
      <c r="B7215" t="s">
        <v>15</v>
      </c>
      <c r="C7215" t="s">
        <v>2582</v>
      </c>
      <c r="D7215" t="s">
        <v>17</v>
      </c>
      <c r="E7215" t="s">
        <v>18</v>
      </c>
      <c r="F7215" t="s">
        <v>19</v>
      </c>
      <c r="G7215" t="s">
        <v>20</v>
      </c>
      <c r="J7215" t="s">
        <v>17</v>
      </c>
      <c r="K7215" t="str">
        <f>"76340213"</f>
        <v>76340213</v>
      </c>
      <c r="L7215" t="str">
        <f>"76340213"</f>
        <v>76340213</v>
      </c>
      <c r="M7215" t="s">
        <v>21</v>
      </c>
      <c r="N7215" s="1">
        <v>44210.848611111112</v>
      </c>
      <c r="O7215" t="s">
        <v>19</v>
      </c>
    </row>
    <row r="7216" spans="1:15" x14ac:dyDescent="0.25">
      <c r="A7216" t="s">
        <v>5186</v>
      </c>
      <c r="B7216" t="s">
        <v>15</v>
      </c>
      <c r="C7216" t="s">
        <v>2582</v>
      </c>
      <c r="D7216" t="s">
        <v>17</v>
      </c>
      <c r="E7216" t="s">
        <v>18</v>
      </c>
      <c r="F7216" t="s">
        <v>19</v>
      </c>
      <c r="G7216" t="s">
        <v>20</v>
      </c>
      <c r="J7216" t="s">
        <v>17</v>
      </c>
      <c r="K7216" t="str">
        <f>"13310223"</f>
        <v>13310223</v>
      </c>
      <c r="L7216" t="str">
        <f>"13310223"</f>
        <v>13310223</v>
      </c>
      <c r="M7216" t="s">
        <v>21</v>
      </c>
      <c r="N7216" s="1">
        <v>44414.945138888892</v>
      </c>
      <c r="O7216" t="s">
        <v>19</v>
      </c>
    </row>
    <row r="7217" spans="1:15" x14ac:dyDescent="0.25">
      <c r="A7217" t="s">
        <v>5187</v>
      </c>
      <c r="B7217" t="s">
        <v>15</v>
      </c>
      <c r="C7217" t="s">
        <v>2582</v>
      </c>
      <c r="D7217" t="s">
        <v>17</v>
      </c>
      <c r="E7217" t="s">
        <v>18</v>
      </c>
      <c r="F7217" t="s">
        <v>19</v>
      </c>
      <c r="G7217" t="s">
        <v>20</v>
      </c>
      <c r="J7217" t="s">
        <v>17</v>
      </c>
      <c r="K7217" t="str">
        <f>"76310716"</f>
        <v>76310716</v>
      </c>
      <c r="L7217" t="str">
        <f>"76310716"</f>
        <v>76310716</v>
      </c>
      <c r="M7217" t="s">
        <v>75</v>
      </c>
      <c r="N7217" s="1">
        <v>43195.868055555555</v>
      </c>
      <c r="O7217" t="s">
        <v>19</v>
      </c>
    </row>
    <row r="7218" spans="1:15" x14ac:dyDescent="0.25">
      <c r="A7218" t="s">
        <v>5188</v>
      </c>
      <c r="B7218" t="s">
        <v>15</v>
      </c>
      <c r="C7218" t="s">
        <v>2582</v>
      </c>
      <c r="D7218" t="s">
        <v>17</v>
      </c>
      <c r="E7218" t="s">
        <v>18</v>
      </c>
      <c r="F7218" t="s">
        <v>19</v>
      </c>
      <c r="G7218" t="s">
        <v>20</v>
      </c>
      <c r="J7218" t="s">
        <v>17</v>
      </c>
      <c r="K7218" t="str">
        <f>"342614208"</f>
        <v>342614208</v>
      </c>
      <c r="L7218" t="str">
        <f>"342614208"</f>
        <v>342614208</v>
      </c>
      <c r="M7218" t="s">
        <v>75</v>
      </c>
      <c r="N7218" s="1">
        <v>43066.763888888891</v>
      </c>
      <c r="O7218" t="s">
        <v>19</v>
      </c>
    </row>
    <row r="7219" spans="1:15" x14ac:dyDescent="0.25">
      <c r="A7219" t="s">
        <v>5189</v>
      </c>
      <c r="B7219" t="s">
        <v>15</v>
      </c>
      <c r="C7219" t="s">
        <v>2582</v>
      </c>
      <c r="D7219" t="s">
        <v>17</v>
      </c>
      <c r="E7219" t="s">
        <v>18</v>
      </c>
      <c r="F7219" t="s">
        <v>19</v>
      </c>
      <c r="G7219" t="s">
        <v>20</v>
      </c>
      <c r="H7219" t="s">
        <v>5028</v>
      </c>
      <c r="J7219" t="s">
        <v>17</v>
      </c>
      <c r="K7219" t="str">
        <f>"342614178"</f>
        <v>342614178</v>
      </c>
      <c r="L7219" t="str">
        <f>"342614178"</f>
        <v>342614178</v>
      </c>
      <c r="M7219" t="s">
        <v>84</v>
      </c>
      <c r="N7219" s="1">
        <v>43116.683333333334</v>
      </c>
      <c r="O7219" t="s">
        <v>19</v>
      </c>
    </row>
    <row r="7220" spans="1:15" x14ac:dyDescent="0.25">
      <c r="A7220" t="s">
        <v>5190</v>
      </c>
      <c r="B7220" t="s">
        <v>15</v>
      </c>
      <c r="C7220" t="s">
        <v>2582</v>
      </c>
      <c r="D7220" t="s">
        <v>17</v>
      </c>
      <c r="E7220" t="s">
        <v>18</v>
      </c>
      <c r="F7220" t="s">
        <v>19</v>
      </c>
      <c r="G7220" t="s">
        <v>20</v>
      </c>
      <c r="J7220" t="s">
        <v>17</v>
      </c>
      <c r="K7220" t="str">
        <f>"342614191"</f>
        <v>342614191</v>
      </c>
      <c r="L7220" t="str">
        <f>"342614191"</f>
        <v>342614191</v>
      </c>
      <c r="M7220" t="s">
        <v>75</v>
      </c>
      <c r="N7220" s="1">
        <v>43066.761111111111</v>
      </c>
      <c r="O7220" t="s">
        <v>19</v>
      </c>
    </row>
    <row r="7221" spans="1:15" x14ac:dyDescent="0.25">
      <c r="A7221" t="s">
        <v>5191</v>
      </c>
      <c r="B7221" t="s">
        <v>15</v>
      </c>
      <c r="C7221" t="s">
        <v>2582</v>
      </c>
      <c r="D7221" t="s">
        <v>17</v>
      </c>
      <c r="E7221" t="s">
        <v>18</v>
      </c>
      <c r="F7221" t="s">
        <v>19</v>
      </c>
      <c r="G7221" t="s">
        <v>20</v>
      </c>
      <c r="J7221" t="s">
        <v>17</v>
      </c>
      <c r="K7221" t="str">
        <f>"342614200"</f>
        <v>342614200</v>
      </c>
      <c r="L7221" t="str">
        <f>"342614200"</f>
        <v>342614200</v>
      </c>
      <c r="M7221" t="s">
        <v>75</v>
      </c>
      <c r="N7221" s="1">
        <v>43066.761805555558</v>
      </c>
      <c r="O7221" t="s">
        <v>19</v>
      </c>
    </row>
    <row r="7222" spans="1:15" x14ac:dyDescent="0.25">
      <c r="A7222" t="s">
        <v>5192</v>
      </c>
      <c r="B7222" t="s">
        <v>15</v>
      </c>
      <c r="C7222" t="s">
        <v>2582</v>
      </c>
      <c r="D7222" t="s">
        <v>17</v>
      </c>
      <c r="E7222" t="s">
        <v>18</v>
      </c>
      <c r="F7222" t="s">
        <v>19</v>
      </c>
      <c r="G7222" t="s">
        <v>20</v>
      </c>
      <c r="J7222" t="s">
        <v>17</v>
      </c>
      <c r="K7222" t="str">
        <f>"342614201"</f>
        <v>342614201</v>
      </c>
      <c r="L7222" t="str">
        <f>"342614201"</f>
        <v>342614201</v>
      </c>
      <c r="M7222" t="s">
        <v>75</v>
      </c>
      <c r="N7222" s="1">
        <v>43066.762499999997</v>
      </c>
      <c r="O7222" t="s">
        <v>19</v>
      </c>
    </row>
    <row r="7223" spans="1:15" x14ac:dyDescent="0.25">
      <c r="A7223" t="s">
        <v>5193</v>
      </c>
      <c r="B7223" t="s">
        <v>15</v>
      </c>
      <c r="C7223" t="s">
        <v>25</v>
      </c>
      <c r="D7223" t="s">
        <v>17</v>
      </c>
      <c r="E7223" t="s">
        <v>18</v>
      </c>
      <c r="F7223" t="s">
        <v>19</v>
      </c>
      <c r="G7223" t="s">
        <v>20</v>
      </c>
      <c r="J7223" t="s">
        <v>17</v>
      </c>
      <c r="K7223" t="str">
        <f>"17530111"</f>
        <v>17530111</v>
      </c>
      <c r="L7223" t="str">
        <f>"17530111"</f>
        <v>17530111</v>
      </c>
      <c r="M7223" t="s">
        <v>75</v>
      </c>
      <c r="N7223" s="1">
        <v>42872.839583333334</v>
      </c>
      <c r="O7223" t="s">
        <v>19</v>
      </c>
    </row>
    <row r="7224" spans="1:15" x14ac:dyDescent="0.25">
      <c r="A7224" t="s">
        <v>5194</v>
      </c>
      <c r="B7224" t="s">
        <v>15</v>
      </c>
      <c r="C7224" t="s">
        <v>25</v>
      </c>
      <c r="D7224" t="s">
        <v>17</v>
      </c>
      <c r="E7224" t="s">
        <v>18</v>
      </c>
      <c r="F7224" t="s">
        <v>19</v>
      </c>
      <c r="G7224" t="s">
        <v>20</v>
      </c>
      <c r="J7224" t="s">
        <v>17</v>
      </c>
      <c r="K7224" t="str">
        <f>"765301115"</f>
        <v>765301115</v>
      </c>
      <c r="L7224" t="str">
        <f>"765301115"</f>
        <v>765301115</v>
      </c>
      <c r="M7224" t="s">
        <v>75</v>
      </c>
      <c r="N7224" s="1">
        <v>42872.849305555559</v>
      </c>
      <c r="O7224" t="s">
        <v>19</v>
      </c>
    </row>
    <row r="7225" spans="1:15" x14ac:dyDescent="0.25">
      <c r="A7225" t="s">
        <v>5195</v>
      </c>
      <c r="B7225" t="s">
        <v>15</v>
      </c>
      <c r="C7225" t="s">
        <v>25</v>
      </c>
      <c r="D7225" t="s">
        <v>17</v>
      </c>
      <c r="E7225" t="s">
        <v>18</v>
      </c>
      <c r="F7225" t="s">
        <v>19</v>
      </c>
      <c r="G7225" t="s">
        <v>20</v>
      </c>
      <c r="J7225" t="s">
        <v>17</v>
      </c>
      <c r="K7225" t="str">
        <f>"765301251"</f>
        <v>765301251</v>
      </c>
      <c r="L7225" t="str">
        <f>"765301251"</f>
        <v>765301251</v>
      </c>
      <c r="M7225" t="s">
        <v>75</v>
      </c>
      <c r="N7225" s="1">
        <v>42872.849305555559</v>
      </c>
      <c r="O7225" t="s">
        <v>19</v>
      </c>
    </row>
    <row r="7226" spans="1:15" x14ac:dyDescent="0.25">
      <c r="A7226" t="s">
        <v>5196</v>
      </c>
      <c r="B7226" t="s">
        <v>15</v>
      </c>
      <c r="C7226" t="s">
        <v>25</v>
      </c>
      <c r="D7226" t="s">
        <v>17</v>
      </c>
      <c r="E7226" t="s">
        <v>18</v>
      </c>
      <c r="F7226" t="s">
        <v>19</v>
      </c>
      <c r="G7226" t="s">
        <v>20</v>
      </c>
      <c r="J7226" t="s">
        <v>17</v>
      </c>
      <c r="K7226" t="str">
        <f>"17530105"</f>
        <v>17530105</v>
      </c>
      <c r="L7226" t="str">
        <f>"17530105"</f>
        <v>17530105</v>
      </c>
      <c r="M7226" t="s">
        <v>75</v>
      </c>
      <c r="N7226" s="1">
        <v>42872.839583333334</v>
      </c>
      <c r="O7226" t="s">
        <v>19</v>
      </c>
    </row>
    <row r="7227" spans="1:15" x14ac:dyDescent="0.25">
      <c r="A7227" t="s">
        <v>5196</v>
      </c>
      <c r="B7227" t="s">
        <v>15</v>
      </c>
      <c r="C7227" t="s">
        <v>25</v>
      </c>
      <c r="D7227" t="s">
        <v>17</v>
      </c>
      <c r="E7227" t="s">
        <v>18</v>
      </c>
      <c r="F7227" t="s">
        <v>19</v>
      </c>
      <c r="G7227" t="s">
        <v>20</v>
      </c>
      <c r="J7227" t="s">
        <v>17</v>
      </c>
      <c r="K7227" t="str">
        <f>"34530105"</f>
        <v>34530105</v>
      </c>
      <c r="L7227" t="str">
        <f>"34530105"</f>
        <v>34530105</v>
      </c>
      <c r="M7227" t="s">
        <v>75</v>
      </c>
      <c r="N7227" s="1">
        <v>42872.839583333334</v>
      </c>
      <c r="O7227" t="s">
        <v>19</v>
      </c>
    </row>
    <row r="7228" spans="1:15" x14ac:dyDescent="0.25">
      <c r="A7228" t="s">
        <v>5196</v>
      </c>
      <c r="B7228" t="s">
        <v>15</v>
      </c>
      <c r="C7228" t="s">
        <v>25</v>
      </c>
      <c r="D7228" t="s">
        <v>17</v>
      </c>
      <c r="E7228" t="s">
        <v>18</v>
      </c>
      <c r="F7228" t="s">
        <v>19</v>
      </c>
      <c r="G7228" t="s">
        <v>20</v>
      </c>
      <c r="J7228" t="s">
        <v>17</v>
      </c>
      <c r="K7228" t="str">
        <f>"175301105"</f>
        <v>175301105</v>
      </c>
      <c r="L7228" t="str">
        <f>"175301105"</f>
        <v>175301105</v>
      </c>
      <c r="M7228" t="s">
        <v>75</v>
      </c>
      <c r="N7228" s="1">
        <v>42872.849305555559</v>
      </c>
      <c r="O7228" t="s">
        <v>19</v>
      </c>
    </row>
    <row r="7229" spans="1:15" x14ac:dyDescent="0.25">
      <c r="A7229" t="s">
        <v>5196</v>
      </c>
      <c r="B7229" t="s">
        <v>15</v>
      </c>
      <c r="C7229" t="s">
        <v>25</v>
      </c>
      <c r="D7229" t="s">
        <v>17</v>
      </c>
      <c r="E7229" t="s">
        <v>18</v>
      </c>
      <c r="F7229" t="s">
        <v>19</v>
      </c>
      <c r="G7229" t="s">
        <v>20</v>
      </c>
      <c r="J7229" t="s">
        <v>17</v>
      </c>
      <c r="K7229" t="str">
        <f>"345301105"</f>
        <v>345301105</v>
      </c>
      <c r="L7229" t="str">
        <f>"345301105"</f>
        <v>345301105</v>
      </c>
      <c r="M7229" t="s">
        <v>75</v>
      </c>
      <c r="N7229" s="1">
        <v>42872.849305555559</v>
      </c>
      <c r="O7229" t="s">
        <v>19</v>
      </c>
    </row>
    <row r="7230" spans="1:15" x14ac:dyDescent="0.25">
      <c r="A7230" t="s">
        <v>5196</v>
      </c>
      <c r="B7230" t="s">
        <v>15</v>
      </c>
      <c r="C7230" t="s">
        <v>25</v>
      </c>
      <c r="D7230" t="s">
        <v>17</v>
      </c>
      <c r="E7230" t="s">
        <v>18</v>
      </c>
      <c r="F7230" t="s">
        <v>19</v>
      </c>
      <c r="G7230" t="s">
        <v>20</v>
      </c>
      <c r="J7230" t="s">
        <v>17</v>
      </c>
      <c r="K7230" t="str">
        <f>"765301105"</f>
        <v>765301105</v>
      </c>
      <c r="L7230" t="str">
        <f>"765301105"</f>
        <v>765301105</v>
      </c>
      <c r="M7230" t="s">
        <v>75</v>
      </c>
      <c r="N7230" s="1">
        <v>42872.849305555559</v>
      </c>
      <c r="O7230" t="s">
        <v>19</v>
      </c>
    </row>
    <row r="7231" spans="1:15" x14ac:dyDescent="0.25">
      <c r="A7231" t="s">
        <v>5197</v>
      </c>
      <c r="B7231" t="s">
        <v>15</v>
      </c>
      <c r="C7231" t="s">
        <v>25</v>
      </c>
      <c r="D7231" t="s">
        <v>17</v>
      </c>
      <c r="E7231" t="s">
        <v>18</v>
      </c>
      <c r="F7231" t="s">
        <v>19</v>
      </c>
      <c r="G7231" t="s">
        <v>20</v>
      </c>
      <c r="J7231" t="s">
        <v>17</v>
      </c>
      <c r="K7231" t="str">
        <f>"765301201"</f>
        <v>765301201</v>
      </c>
      <c r="L7231" t="str">
        <f>"765301201"</f>
        <v>765301201</v>
      </c>
      <c r="M7231" t="s">
        <v>75</v>
      </c>
      <c r="N7231" s="1">
        <v>42872.849305555559</v>
      </c>
      <c r="O7231" t="s">
        <v>19</v>
      </c>
    </row>
    <row r="7232" spans="1:15" x14ac:dyDescent="0.25">
      <c r="A7232" t="s">
        <v>5198</v>
      </c>
      <c r="B7232" t="s">
        <v>15</v>
      </c>
      <c r="C7232" t="s">
        <v>25</v>
      </c>
      <c r="D7232" t="s">
        <v>17</v>
      </c>
      <c r="E7232" t="s">
        <v>18</v>
      </c>
      <c r="F7232" t="s">
        <v>19</v>
      </c>
      <c r="G7232" t="s">
        <v>20</v>
      </c>
      <c r="J7232" t="s">
        <v>17</v>
      </c>
      <c r="K7232" t="str">
        <f>"76530105"</f>
        <v>76530105</v>
      </c>
      <c r="L7232" t="str">
        <f>"76530105"</f>
        <v>76530105</v>
      </c>
      <c r="M7232" t="s">
        <v>75</v>
      </c>
      <c r="N7232" s="1">
        <v>42872.847222222219</v>
      </c>
      <c r="O7232" t="s">
        <v>19</v>
      </c>
    </row>
    <row r="7233" spans="1:15" x14ac:dyDescent="0.25">
      <c r="A7233" t="s">
        <v>5199</v>
      </c>
      <c r="B7233" t="s">
        <v>15</v>
      </c>
      <c r="C7233" t="s">
        <v>25</v>
      </c>
      <c r="D7233" t="s">
        <v>17</v>
      </c>
      <c r="E7233" t="s">
        <v>18</v>
      </c>
      <c r="F7233" t="s">
        <v>19</v>
      </c>
      <c r="G7233" t="s">
        <v>20</v>
      </c>
      <c r="J7233" t="s">
        <v>17</v>
      </c>
      <c r="K7233" t="str">
        <f>"34530111"</f>
        <v>34530111</v>
      </c>
      <c r="L7233" t="str">
        <f>"34530111"</f>
        <v>34530111</v>
      </c>
      <c r="M7233" t="s">
        <v>75</v>
      </c>
      <c r="N7233" s="1">
        <v>42872.839583333334</v>
      </c>
      <c r="O7233" t="s">
        <v>19</v>
      </c>
    </row>
    <row r="7234" spans="1:15" x14ac:dyDescent="0.25">
      <c r="A7234" t="s">
        <v>5199</v>
      </c>
      <c r="B7234" t="s">
        <v>15</v>
      </c>
      <c r="C7234" t="s">
        <v>25</v>
      </c>
      <c r="D7234" t="s">
        <v>17</v>
      </c>
      <c r="E7234" t="s">
        <v>18</v>
      </c>
      <c r="F7234" t="s">
        <v>19</v>
      </c>
      <c r="G7234" t="s">
        <v>20</v>
      </c>
      <c r="J7234" t="s">
        <v>17</v>
      </c>
      <c r="K7234" t="str">
        <f>"76330111"</f>
        <v>76330111</v>
      </c>
      <c r="L7234" t="str">
        <f>"76330111"</f>
        <v>76330111</v>
      </c>
      <c r="M7234" t="s">
        <v>75</v>
      </c>
      <c r="N7234" s="1">
        <v>42872.847222222219</v>
      </c>
      <c r="O7234" t="s">
        <v>19</v>
      </c>
    </row>
    <row r="7235" spans="1:15" x14ac:dyDescent="0.25">
      <c r="A7235" t="s">
        <v>5199</v>
      </c>
      <c r="B7235" t="s">
        <v>15</v>
      </c>
      <c r="C7235" t="s">
        <v>25</v>
      </c>
      <c r="D7235" t="s">
        <v>17</v>
      </c>
      <c r="E7235" t="s">
        <v>18</v>
      </c>
      <c r="F7235" t="s">
        <v>19</v>
      </c>
      <c r="G7235" t="s">
        <v>20</v>
      </c>
      <c r="J7235" t="s">
        <v>17</v>
      </c>
      <c r="K7235" t="str">
        <f>"76530111"</f>
        <v>76530111</v>
      </c>
      <c r="L7235" t="str">
        <f>"76530111"</f>
        <v>76530111</v>
      </c>
      <c r="M7235" t="s">
        <v>75</v>
      </c>
      <c r="N7235" s="1">
        <v>42872.847222222219</v>
      </c>
      <c r="O7235" t="s">
        <v>19</v>
      </c>
    </row>
    <row r="7236" spans="1:15" x14ac:dyDescent="0.25">
      <c r="A7236" t="s">
        <v>5199</v>
      </c>
      <c r="B7236" t="s">
        <v>15</v>
      </c>
      <c r="C7236" t="s">
        <v>25</v>
      </c>
      <c r="D7236" t="s">
        <v>17</v>
      </c>
      <c r="E7236" t="s">
        <v>18</v>
      </c>
      <c r="F7236" t="s">
        <v>19</v>
      </c>
      <c r="G7236" t="s">
        <v>20</v>
      </c>
      <c r="J7236" t="s">
        <v>17</v>
      </c>
      <c r="K7236" t="str">
        <f>"76530200"</f>
        <v>76530200</v>
      </c>
      <c r="L7236" t="str">
        <f>"76530200"</f>
        <v>76530200</v>
      </c>
      <c r="M7236" t="s">
        <v>75</v>
      </c>
      <c r="N7236" s="1">
        <v>42872.847222222219</v>
      </c>
      <c r="O7236" t="s">
        <v>19</v>
      </c>
    </row>
    <row r="7237" spans="1:15" x14ac:dyDescent="0.25">
      <c r="A7237" t="s">
        <v>5199</v>
      </c>
      <c r="B7237" t="s">
        <v>15</v>
      </c>
      <c r="C7237" t="s">
        <v>25</v>
      </c>
      <c r="D7237" t="s">
        <v>17</v>
      </c>
      <c r="E7237" t="s">
        <v>18</v>
      </c>
      <c r="F7237" t="s">
        <v>19</v>
      </c>
      <c r="G7237" t="s">
        <v>20</v>
      </c>
      <c r="J7237" t="s">
        <v>17</v>
      </c>
      <c r="K7237" t="str">
        <f>"174800111"</f>
        <v>174800111</v>
      </c>
      <c r="L7237" t="str">
        <f>"174800111"</f>
        <v>174800111</v>
      </c>
      <c r="M7237" t="s">
        <v>75</v>
      </c>
      <c r="N7237" s="1">
        <v>42872.849305555559</v>
      </c>
      <c r="O7237" t="s">
        <v>19</v>
      </c>
    </row>
    <row r="7238" spans="1:15" x14ac:dyDescent="0.25">
      <c r="A7238" t="s">
        <v>5199</v>
      </c>
      <c r="B7238" t="s">
        <v>15</v>
      </c>
      <c r="C7238" t="s">
        <v>25</v>
      </c>
      <c r="D7238" t="s">
        <v>17</v>
      </c>
      <c r="E7238" t="s">
        <v>18</v>
      </c>
      <c r="F7238" t="s">
        <v>19</v>
      </c>
      <c r="G7238" t="s">
        <v>20</v>
      </c>
      <c r="J7238" t="s">
        <v>17</v>
      </c>
      <c r="K7238" t="str">
        <f>"765310111"</f>
        <v>765310111</v>
      </c>
      <c r="L7238" t="str">
        <f>"765310111"</f>
        <v>765310111</v>
      </c>
      <c r="M7238" t="s">
        <v>75</v>
      </c>
      <c r="N7238" s="1">
        <v>42872.849305555559</v>
      </c>
      <c r="O7238" t="s">
        <v>19</v>
      </c>
    </row>
    <row r="7239" spans="1:15" x14ac:dyDescent="0.25">
      <c r="A7239" t="s">
        <v>5199</v>
      </c>
      <c r="B7239" t="s">
        <v>15</v>
      </c>
      <c r="C7239" t="s">
        <v>25</v>
      </c>
      <c r="D7239" t="s">
        <v>17</v>
      </c>
      <c r="E7239" t="s">
        <v>18</v>
      </c>
      <c r="F7239" t="s">
        <v>19</v>
      </c>
      <c r="G7239" t="s">
        <v>20</v>
      </c>
      <c r="J7239" t="s">
        <v>17</v>
      </c>
      <c r="K7239" t="str">
        <f>"345301200"</f>
        <v>345301200</v>
      </c>
      <c r="L7239" t="str">
        <f>"345301200"</f>
        <v>345301200</v>
      </c>
      <c r="M7239" t="s">
        <v>75</v>
      </c>
      <c r="N7239" s="1">
        <v>42872.849305555559</v>
      </c>
      <c r="O7239" t="s">
        <v>19</v>
      </c>
    </row>
    <row r="7240" spans="1:15" x14ac:dyDescent="0.25">
      <c r="A7240" t="s">
        <v>5199</v>
      </c>
      <c r="B7240" t="s">
        <v>15</v>
      </c>
      <c r="C7240" t="s">
        <v>25</v>
      </c>
      <c r="D7240" t="s">
        <v>17</v>
      </c>
      <c r="E7240" t="s">
        <v>18</v>
      </c>
      <c r="F7240" t="s">
        <v>19</v>
      </c>
      <c r="G7240" t="s">
        <v>20</v>
      </c>
      <c r="J7240" t="s">
        <v>17</v>
      </c>
      <c r="K7240" t="str">
        <f>"765301200"</f>
        <v>765301200</v>
      </c>
      <c r="L7240" t="str">
        <f>"765301200"</f>
        <v>765301200</v>
      </c>
      <c r="M7240" t="s">
        <v>75</v>
      </c>
      <c r="N7240" s="1">
        <v>42872.849305555559</v>
      </c>
      <c r="O7240" t="s">
        <v>19</v>
      </c>
    </row>
    <row r="7241" spans="1:15" x14ac:dyDescent="0.25">
      <c r="A7241" t="s">
        <v>5200</v>
      </c>
      <c r="B7241" t="s">
        <v>15</v>
      </c>
      <c r="C7241" t="s">
        <v>25</v>
      </c>
      <c r="D7241" t="s">
        <v>17</v>
      </c>
      <c r="E7241" t="s">
        <v>18</v>
      </c>
      <c r="F7241" t="s">
        <v>19</v>
      </c>
      <c r="G7241" t="s">
        <v>20</v>
      </c>
      <c r="J7241" t="s">
        <v>17</v>
      </c>
      <c r="K7241" t="str">
        <f>"34530112"</f>
        <v>34530112</v>
      </c>
      <c r="L7241" t="str">
        <f>"34530112"</f>
        <v>34530112</v>
      </c>
      <c r="M7241" t="s">
        <v>75</v>
      </c>
      <c r="N7241" s="1">
        <v>42872.839583333334</v>
      </c>
      <c r="O7241" t="s">
        <v>19</v>
      </c>
    </row>
    <row r="7242" spans="1:15" x14ac:dyDescent="0.25">
      <c r="A7242" t="s">
        <v>5200</v>
      </c>
      <c r="B7242" t="s">
        <v>15</v>
      </c>
      <c r="C7242" t="s">
        <v>25</v>
      </c>
      <c r="D7242" t="s">
        <v>17</v>
      </c>
      <c r="E7242" t="s">
        <v>18</v>
      </c>
      <c r="F7242" t="s">
        <v>19</v>
      </c>
      <c r="G7242" t="s">
        <v>20</v>
      </c>
      <c r="J7242" t="s">
        <v>17</v>
      </c>
      <c r="K7242" t="str">
        <f>"76330112"</f>
        <v>76330112</v>
      </c>
      <c r="L7242" t="str">
        <f>"76330112"</f>
        <v>76330112</v>
      </c>
      <c r="M7242" t="s">
        <v>75</v>
      </c>
      <c r="N7242" s="1">
        <v>42872.847222222219</v>
      </c>
      <c r="O7242" t="s">
        <v>19</v>
      </c>
    </row>
    <row r="7243" spans="1:15" x14ac:dyDescent="0.25">
      <c r="A7243" t="s">
        <v>5200</v>
      </c>
      <c r="B7243" t="s">
        <v>15</v>
      </c>
      <c r="C7243" t="s">
        <v>25</v>
      </c>
      <c r="D7243" t="s">
        <v>17</v>
      </c>
      <c r="E7243" t="s">
        <v>18</v>
      </c>
      <c r="F7243" t="s">
        <v>19</v>
      </c>
      <c r="G7243" t="s">
        <v>20</v>
      </c>
      <c r="J7243" t="s">
        <v>17</v>
      </c>
      <c r="K7243" t="str">
        <f>"76530112"</f>
        <v>76530112</v>
      </c>
      <c r="L7243" t="str">
        <f>"76530112"</f>
        <v>76530112</v>
      </c>
      <c r="M7243" t="s">
        <v>75</v>
      </c>
      <c r="N7243" s="1">
        <v>42872.847222222219</v>
      </c>
      <c r="O7243" t="s">
        <v>19</v>
      </c>
    </row>
    <row r="7244" spans="1:15" x14ac:dyDescent="0.25">
      <c r="A7244" t="s">
        <v>5201</v>
      </c>
      <c r="B7244" t="s">
        <v>15</v>
      </c>
      <c r="C7244" t="s">
        <v>25</v>
      </c>
      <c r="D7244" t="s">
        <v>17</v>
      </c>
      <c r="E7244" t="s">
        <v>18</v>
      </c>
      <c r="F7244" t="s">
        <v>19</v>
      </c>
      <c r="G7244" t="s">
        <v>20</v>
      </c>
      <c r="J7244" t="s">
        <v>17</v>
      </c>
      <c r="K7244" t="str">
        <f>"17330178"</f>
        <v>17330178</v>
      </c>
      <c r="L7244" t="str">
        <f>"17330178"</f>
        <v>17330178</v>
      </c>
      <c r="M7244" t="s">
        <v>75</v>
      </c>
      <c r="N7244" s="1">
        <v>42872.839583333334</v>
      </c>
      <c r="O7244" t="s">
        <v>19</v>
      </c>
    </row>
    <row r="7245" spans="1:15" x14ac:dyDescent="0.25">
      <c r="A7245" t="s">
        <v>5201</v>
      </c>
      <c r="B7245" t="s">
        <v>15</v>
      </c>
      <c r="C7245" t="s">
        <v>25</v>
      </c>
      <c r="D7245" t="s">
        <v>17</v>
      </c>
      <c r="E7245" t="s">
        <v>18</v>
      </c>
      <c r="F7245" t="s">
        <v>19</v>
      </c>
      <c r="G7245" t="s">
        <v>20</v>
      </c>
      <c r="J7245" t="s">
        <v>17</v>
      </c>
      <c r="K7245" t="str">
        <f>"17530178"</f>
        <v>17530178</v>
      </c>
      <c r="L7245" t="str">
        <f>"17530178"</f>
        <v>17530178</v>
      </c>
      <c r="M7245" t="s">
        <v>75</v>
      </c>
      <c r="N7245" s="1">
        <v>42872.839583333334</v>
      </c>
      <c r="O7245" t="s">
        <v>19</v>
      </c>
    </row>
    <row r="7246" spans="1:15" x14ac:dyDescent="0.25">
      <c r="A7246" t="s">
        <v>5201</v>
      </c>
      <c r="B7246" t="s">
        <v>15</v>
      </c>
      <c r="C7246" t="s">
        <v>25</v>
      </c>
      <c r="D7246" t="s">
        <v>17</v>
      </c>
      <c r="E7246" t="s">
        <v>18</v>
      </c>
      <c r="F7246" t="s">
        <v>19</v>
      </c>
      <c r="G7246" t="s">
        <v>20</v>
      </c>
      <c r="J7246" t="s">
        <v>17</v>
      </c>
      <c r="K7246" t="str">
        <f>"34530178"</f>
        <v>34530178</v>
      </c>
      <c r="L7246" t="str">
        <f>"34530178"</f>
        <v>34530178</v>
      </c>
      <c r="M7246" t="s">
        <v>75</v>
      </c>
      <c r="N7246" s="1">
        <v>42872.839583333334</v>
      </c>
      <c r="O7246" t="s">
        <v>19</v>
      </c>
    </row>
    <row r="7247" spans="1:15" x14ac:dyDescent="0.25">
      <c r="A7247" t="s">
        <v>5202</v>
      </c>
      <c r="B7247" t="s">
        <v>15</v>
      </c>
      <c r="C7247" t="s">
        <v>25</v>
      </c>
      <c r="D7247" t="s">
        <v>17</v>
      </c>
      <c r="E7247" t="s">
        <v>18</v>
      </c>
      <c r="F7247" t="s">
        <v>19</v>
      </c>
      <c r="G7247" t="s">
        <v>20</v>
      </c>
      <c r="J7247" t="s">
        <v>17</v>
      </c>
      <c r="K7247" t="str">
        <f>"345301112"</f>
        <v>345301112</v>
      </c>
      <c r="L7247" t="str">
        <f>"345301112"</f>
        <v>345301112</v>
      </c>
      <c r="M7247" t="s">
        <v>75</v>
      </c>
      <c r="N7247" s="1">
        <v>42872.849305555559</v>
      </c>
      <c r="O7247" t="s">
        <v>19</v>
      </c>
    </row>
    <row r="7248" spans="1:15" x14ac:dyDescent="0.25">
      <c r="A7248" t="s">
        <v>5203</v>
      </c>
      <c r="B7248" t="s">
        <v>15</v>
      </c>
      <c r="C7248" t="s">
        <v>25</v>
      </c>
      <c r="D7248" t="s">
        <v>17</v>
      </c>
      <c r="E7248" t="s">
        <v>18</v>
      </c>
      <c r="F7248" t="s">
        <v>19</v>
      </c>
      <c r="G7248" t="s">
        <v>20</v>
      </c>
      <c r="J7248" t="s">
        <v>17</v>
      </c>
      <c r="K7248" t="str">
        <f>"173301108"</f>
        <v>173301108</v>
      </c>
      <c r="L7248" t="str">
        <f>"173301108"</f>
        <v>173301108</v>
      </c>
      <c r="M7248" t="s">
        <v>75</v>
      </c>
      <c r="N7248" s="1">
        <v>42872.849305555559</v>
      </c>
      <c r="O7248" t="s">
        <v>19</v>
      </c>
    </row>
    <row r="7249" spans="1:15" x14ac:dyDescent="0.25">
      <c r="A7249" t="s">
        <v>5204</v>
      </c>
      <c r="B7249" t="s">
        <v>15</v>
      </c>
      <c r="C7249" t="s">
        <v>25</v>
      </c>
      <c r="D7249" t="s">
        <v>17</v>
      </c>
      <c r="E7249" t="s">
        <v>18</v>
      </c>
      <c r="F7249" t="s">
        <v>19</v>
      </c>
      <c r="G7249" t="s">
        <v>20</v>
      </c>
      <c r="J7249" t="s">
        <v>17</v>
      </c>
      <c r="K7249" t="str">
        <f>"345301108"</f>
        <v>345301108</v>
      </c>
      <c r="L7249" t="str">
        <f>"345301108"</f>
        <v>345301108</v>
      </c>
      <c r="M7249" t="s">
        <v>75</v>
      </c>
      <c r="N7249" s="1">
        <v>42872.849305555559</v>
      </c>
      <c r="O7249" t="s">
        <v>19</v>
      </c>
    </row>
    <row r="7250" spans="1:15" x14ac:dyDescent="0.25">
      <c r="A7250" t="s">
        <v>5204</v>
      </c>
      <c r="B7250" t="s">
        <v>15</v>
      </c>
      <c r="C7250" t="s">
        <v>25</v>
      </c>
      <c r="D7250" t="s">
        <v>17</v>
      </c>
      <c r="E7250" t="s">
        <v>18</v>
      </c>
      <c r="F7250" t="s">
        <v>19</v>
      </c>
      <c r="G7250" t="s">
        <v>20</v>
      </c>
      <c r="J7250" t="s">
        <v>17</v>
      </c>
      <c r="K7250" t="str">
        <f>"765301108"</f>
        <v>765301108</v>
      </c>
      <c r="L7250" t="str">
        <f>"765301108"</f>
        <v>765301108</v>
      </c>
      <c r="M7250" t="s">
        <v>75</v>
      </c>
      <c r="N7250" s="1">
        <v>42872.849305555559</v>
      </c>
      <c r="O7250" t="s">
        <v>19</v>
      </c>
    </row>
    <row r="7251" spans="1:15" x14ac:dyDescent="0.25">
      <c r="A7251" t="s">
        <v>5205</v>
      </c>
      <c r="B7251" t="s">
        <v>15</v>
      </c>
      <c r="C7251" t="s">
        <v>25</v>
      </c>
      <c r="D7251" t="s">
        <v>17</v>
      </c>
      <c r="E7251" t="s">
        <v>18</v>
      </c>
      <c r="F7251" t="s">
        <v>19</v>
      </c>
      <c r="G7251" t="s">
        <v>20</v>
      </c>
      <c r="J7251" t="s">
        <v>17</v>
      </c>
      <c r="K7251" t="str">
        <f>"345301115"</f>
        <v>345301115</v>
      </c>
      <c r="L7251" t="str">
        <f>"345301115"</f>
        <v>345301115</v>
      </c>
      <c r="M7251" t="s">
        <v>75</v>
      </c>
      <c r="N7251" s="1">
        <v>42872.849305555559</v>
      </c>
      <c r="O7251" t="s">
        <v>19</v>
      </c>
    </row>
    <row r="7252" spans="1:15" x14ac:dyDescent="0.25">
      <c r="A7252" t="s">
        <v>5205</v>
      </c>
      <c r="B7252" t="s">
        <v>15</v>
      </c>
      <c r="C7252" t="s">
        <v>25</v>
      </c>
      <c r="D7252" t="s">
        <v>17</v>
      </c>
      <c r="E7252" t="s">
        <v>18</v>
      </c>
      <c r="F7252" t="s">
        <v>19</v>
      </c>
      <c r="G7252" t="s">
        <v>20</v>
      </c>
      <c r="J7252" t="s">
        <v>17</v>
      </c>
      <c r="K7252" t="str">
        <f>"173301112"</f>
        <v>173301112</v>
      </c>
      <c r="L7252" t="str">
        <f>"173301112"</f>
        <v>173301112</v>
      </c>
      <c r="M7252" t="s">
        <v>75</v>
      </c>
      <c r="N7252" s="1">
        <v>42895.965277777781</v>
      </c>
      <c r="O7252" t="s">
        <v>19</v>
      </c>
    </row>
    <row r="7253" spans="1:15" x14ac:dyDescent="0.25">
      <c r="A7253" t="s">
        <v>5206</v>
      </c>
      <c r="B7253" t="s">
        <v>15</v>
      </c>
      <c r="C7253" t="s">
        <v>25</v>
      </c>
      <c r="D7253" t="s">
        <v>17</v>
      </c>
      <c r="E7253" t="s">
        <v>18</v>
      </c>
      <c r="F7253" t="s">
        <v>19</v>
      </c>
      <c r="G7253" t="s">
        <v>20</v>
      </c>
      <c r="J7253" t="s">
        <v>17</v>
      </c>
      <c r="K7253" t="str">
        <f>"345301290"</f>
        <v>345301290</v>
      </c>
      <c r="L7253" t="str">
        <f>"345301290"</f>
        <v>345301290</v>
      </c>
      <c r="M7253" t="s">
        <v>75</v>
      </c>
      <c r="N7253" s="1">
        <v>42872.849305555559</v>
      </c>
      <c r="O7253" t="s">
        <v>19</v>
      </c>
    </row>
    <row r="7254" spans="1:15" x14ac:dyDescent="0.25">
      <c r="A7254" t="s">
        <v>5207</v>
      </c>
      <c r="B7254" t="s">
        <v>15</v>
      </c>
      <c r="C7254" t="s">
        <v>25</v>
      </c>
      <c r="D7254" t="s">
        <v>17</v>
      </c>
      <c r="E7254" t="s">
        <v>18</v>
      </c>
      <c r="F7254" t="s">
        <v>19</v>
      </c>
      <c r="G7254" t="s">
        <v>20</v>
      </c>
      <c r="J7254" t="s">
        <v>17</v>
      </c>
      <c r="K7254" t="str">
        <f>"183301290"</f>
        <v>183301290</v>
      </c>
      <c r="L7254" t="str">
        <f>"183301290"</f>
        <v>183301290</v>
      </c>
      <c r="M7254" t="s">
        <v>75</v>
      </c>
      <c r="N7254" s="1">
        <v>42882.743055555555</v>
      </c>
      <c r="O7254" t="s">
        <v>19</v>
      </c>
    </row>
    <row r="7255" spans="1:15" x14ac:dyDescent="0.25">
      <c r="A7255" t="s">
        <v>5206</v>
      </c>
      <c r="B7255" t="s">
        <v>15</v>
      </c>
      <c r="C7255" t="s">
        <v>25</v>
      </c>
      <c r="D7255" t="s">
        <v>17</v>
      </c>
      <c r="E7255" t="s">
        <v>18</v>
      </c>
      <c r="F7255" t="s">
        <v>19</v>
      </c>
      <c r="G7255" t="s">
        <v>20</v>
      </c>
      <c r="J7255" t="s">
        <v>17</v>
      </c>
      <c r="K7255" t="str">
        <f>"763301290"</f>
        <v>763301290</v>
      </c>
      <c r="L7255" t="str">
        <f>"763301290"</f>
        <v>763301290</v>
      </c>
      <c r="M7255" t="s">
        <v>75</v>
      </c>
      <c r="N7255" s="1">
        <v>42941.947222222225</v>
      </c>
      <c r="O7255" t="s">
        <v>19</v>
      </c>
    </row>
    <row r="7256" spans="1:15" x14ac:dyDescent="0.25">
      <c r="A7256" t="s">
        <v>5206</v>
      </c>
      <c r="B7256" t="s">
        <v>15</v>
      </c>
      <c r="C7256" t="s">
        <v>25</v>
      </c>
      <c r="D7256" t="s">
        <v>17</v>
      </c>
      <c r="E7256" t="s">
        <v>18</v>
      </c>
      <c r="F7256" t="s">
        <v>19</v>
      </c>
      <c r="G7256" t="s">
        <v>20</v>
      </c>
      <c r="J7256" t="s">
        <v>17</v>
      </c>
      <c r="K7256" t="str">
        <f>"343301290"</f>
        <v>343301290</v>
      </c>
      <c r="L7256" t="str">
        <f>"343301290"</f>
        <v>343301290</v>
      </c>
      <c r="M7256" t="s">
        <v>75</v>
      </c>
      <c r="N7256" s="1">
        <v>43006.853472222225</v>
      </c>
      <c r="O7256" t="s">
        <v>19</v>
      </c>
    </row>
    <row r="7257" spans="1:15" x14ac:dyDescent="0.25">
      <c r="A7257" t="s">
        <v>5208</v>
      </c>
      <c r="B7257" t="s">
        <v>15</v>
      </c>
      <c r="C7257" t="s">
        <v>25</v>
      </c>
      <c r="D7257" t="s">
        <v>17</v>
      </c>
      <c r="E7257" t="s">
        <v>18</v>
      </c>
      <c r="F7257" t="s">
        <v>19</v>
      </c>
      <c r="G7257" t="s">
        <v>20</v>
      </c>
      <c r="J7257" t="s">
        <v>17</v>
      </c>
      <c r="K7257" t="str">
        <f>"76530192"</f>
        <v>76530192</v>
      </c>
      <c r="L7257" t="str">
        <f>"76530192"</f>
        <v>76530192</v>
      </c>
      <c r="M7257" t="s">
        <v>75</v>
      </c>
      <c r="N7257" s="1">
        <v>42872.847222222219</v>
      </c>
      <c r="O7257" t="s">
        <v>19</v>
      </c>
    </row>
    <row r="7258" spans="1:15" x14ac:dyDescent="0.25">
      <c r="A7258" t="s">
        <v>5208</v>
      </c>
      <c r="B7258" t="s">
        <v>15</v>
      </c>
      <c r="C7258" t="s">
        <v>25</v>
      </c>
      <c r="D7258" t="s">
        <v>17</v>
      </c>
      <c r="E7258" t="s">
        <v>18</v>
      </c>
      <c r="F7258" t="s">
        <v>19</v>
      </c>
      <c r="G7258" t="s">
        <v>20</v>
      </c>
      <c r="J7258" t="s">
        <v>17</v>
      </c>
      <c r="K7258" t="str">
        <f>"175301115"</f>
        <v>175301115</v>
      </c>
      <c r="L7258" t="str">
        <f>"175301115"</f>
        <v>175301115</v>
      </c>
      <c r="M7258" t="s">
        <v>75</v>
      </c>
      <c r="N7258" s="1">
        <v>42872.849305555559</v>
      </c>
      <c r="O7258" t="s">
        <v>19</v>
      </c>
    </row>
    <row r="7259" spans="1:15" x14ac:dyDescent="0.25">
      <c r="A7259" t="s">
        <v>5209</v>
      </c>
      <c r="B7259" t="s">
        <v>15</v>
      </c>
      <c r="C7259" t="s">
        <v>25</v>
      </c>
      <c r="D7259" t="s">
        <v>17</v>
      </c>
      <c r="E7259" t="s">
        <v>18</v>
      </c>
      <c r="F7259" t="s">
        <v>19</v>
      </c>
      <c r="G7259" t="s">
        <v>20</v>
      </c>
      <c r="J7259" t="s">
        <v>17</v>
      </c>
      <c r="K7259" t="str">
        <f>"175301124"</f>
        <v>175301124</v>
      </c>
      <c r="L7259" t="str">
        <f>"175301124"</f>
        <v>175301124</v>
      </c>
      <c r="M7259" t="s">
        <v>75</v>
      </c>
      <c r="N7259" s="1">
        <v>42872.849305555559</v>
      </c>
      <c r="O7259" t="s">
        <v>19</v>
      </c>
    </row>
    <row r="7260" spans="1:15" x14ac:dyDescent="0.25">
      <c r="A7260" t="s">
        <v>5209</v>
      </c>
      <c r="B7260" t="s">
        <v>15</v>
      </c>
      <c r="C7260" t="s">
        <v>25</v>
      </c>
      <c r="D7260" t="s">
        <v>17</v>
      </c>
      <c r="E7260" t="s">
        <v>18</v>
      </c>
      <c r="F7260" t="s">
        <v>19</v>
      </c>
      <c r="G7260" t="s">
        <v>20</v>
      </c>
      <c r="J7260" t="s">
        <v>17</v>
      </c>
      <c r="K7260" t="str">
        <f>"345301124"</f>
        <v>345301124</v>
      </c>
      <c r="L7260" t="str">
        <f>"345301124"</f>
        <v>345301124</v>
      </c>
      <c r="M7260" t="s">
        <v>75</v>
      </c>
      <c r="N7260" s="1">
        <v>42872.849305555559</v>
      </c>
      <c r="O7260" t="s">
        <v>19</v>
      </c>
    </row>
    <row r="7261" spans="1:15" x14ac:dyDescent="0.25">
      <c r="A7261" t="s">
        <v>5210</v>
      </c>
      <c r="B7261" t="s">
        <v>15</v>
      </c>
      <c r="C7261" t="s">
        <v>25</v>
      </c>
      <c r="D7261" t="s">
        <v>17</v>
      </c>
      <c r="E7261" t="s">
        <v>18</v>
      </c>
      <c r="F7261" t="s">
        <v>19</v>
      </c>
      <c r="G7261" t="s">
        <v>20</v>
      </c>
      <c r="J7261" t="s">
        <v>17</v>
      </c>
      <c r="K7261" t="str">
        <f>"765301124"</f>
        <v>765301124</v>
      </c>
      <c r="L7261" t="str">
        <f>"765301124"</f>
        <v>765301124</v>
      </c>
      <c r="M7261" t="s">
        <v>75</v>
      </c>
      <c r="N7261" s="1">
        <v>42872.849305555559</v>
      </c>
      <c r="O7261" t="s">
        <v>19</v>
      </c>
    </row>
    <row r="7262" spans="1:15" x14ac:dyDescent="0.25">
      <c r="A7262" t="s">
        <v>5211</v>
      </c>
      <c r="B7262" t="s">
        <v>15</v>
      </c>
      <c r="C7262" t="s">
        <v>25</v>
      </c>
      <c r="D7262" t="s">
        <v>17</v>
      </c>
      <c r="E7262" t="s">
        <v>18</v>
      </c>
      <c r="F7262" t="s">
        <v>19</v>
      </c>
      <c r="G7262" t="s">
        <v>20</v>
      </c>
      <c r="J7262" t="s">
        <v>17</v>
      </c>
      <c r="K7262" t="str">
        <f>"345201129"</f>
        <v>345201129</v>
      </c>
      <c r="L7262" t="str">
        <f>"345201129"</f>
        <v>345201129</v>
      </c>
      <c r="M7262" t="s">
        <v>75</v>
      </c>
      <c r="N7262" s="1">
        <v>42872.849305555559</v>
      </c>
      <c r="O7262" t="s">
        <v>19</v>
      </c>
    </row>
    <row r="7263" spans="1:15" x14ac:dyDescent="0.25">
      <c r="A7263" t="s">
        <v>5212</v>
      </c>
      <c r="B7263" t="s">
        <v>15</v>
      </c>
      <c r="C7263" t="s">
        <v>25</v>
      </c>
      <c r="D7263" t="s">
        <v>17</v>
      </c>
      <c r="E7263" t="s">
        <v>18</v>
      </c>
      <c r="F7263" t="s">
        <v>19</v>
      </c>
      <c r="G7263" t="s">
        <v>20</v>
      </c>
      <c r="J7263" t="s">
        <v>17</v>
      </c>
      <c r="K7263" t="str">
        <f>"763301129"</f>
        <v>763301129</v>
      </c>
      <c r="L7263" t="str">
        <f>"763301129"</f>
        <v>763301129</v>
      </c>
      <c r="M7263" t="s">
        <v>75</v>
      </c>
      <c r="N7263" s="1">
        <v>42872.849305555559</v>
      </c>
      <c r="O7263" t="s">
        <v>19</v>
      </c>
    </row>
    <row r="7264" spans="1:15" x14ac:dyDescent="0.25">
      <c r="A7264" t="s">
        <v>5213</v>
      </c>
      <c r="B7264" t="s">
        <v>15</v>
      </c>
      <c r="C7264" t="s">
        <v>25</v>
      </c>
      <c r="D7264" t="s">
        <v>17</v>
      </c>
      <c r="E7264" t="s">
        <v>18</v>
      </c>
      <c r="F7264" t="s">
        <v>19</v>
      </c>
      <c r="G7264" t="s">
        <v>20</v>
      </c>
      <c r="J7264" t="s">
        <v>17</v>
      </c>
      <c r="K7264" t="str">
        <f>"763301134"</f>
        <v>763301134</v>
      </c>
      <c r="L7264" t="str">
        <f>"763301134"</f>
        <v>763301134</v>
      </c>
      <c r="M7264" t="s">
        <v>75</v>
      </c>
      <c r="N7264" s="1">
        <v>42872.849305555559</v>
      </c>
      <c r="O7264" t="s">
        <v>19</v>
      </c>
    </row>
    <row r="7265" spans="1:15" x14ac:dyDescent="0.25">
      <c r="A7265" t="s">
        <v>5214</v>
      </c>
      <c r="B7265" t="s">
        <v>15</v>
      </c>
      <c r="C7265" t="s">
        <v>25</v>
      </c>
      <c r="D7265" t="s">
        <v>17</v>
      </c>
      <c r="E7265" t="s">
        <v>18</v>
      </c>
      <c r="F7265" t="s">
        <v>19</v>
      </c>
      <c r="G7265" t="s">
        <v>20</v>
      </c>
      <c r="J7265" t="s">
        <v>17</v>
      </c>
      <c r="K7265" t="str">
        <f>"763301128"</f>
        <v>763301128</v>
      </c>
      <c r="L7265" t="str">
        <f>"763301128"</f>
        <v>763301128</v>
      </c>
      <c r="M7265" t="s">
        <v>75</v>
      </c>
      <c r="N7265" s="1">
        <v>42872.849305555559</v>
      </c>
      <c r="O7265" t="s">
        <v>19</v>
      </c>
    </row>
    <row r="7266" spans="1:15" x14ac:dyDescent="0.25">
      <c r="A7266" t="s">
        <v>5215</v>
      </c>
      <c r="B7266" t="s">
        <v>15</v>
      </c>
      <c r="C7266" t="s">
        <v>25</v>
      </c>
      <c r="D7266" t="s">
        <v>17</v>
      </c>
      <c r="E7266" t="s">
        <v>18</v>
      </c>
      <c r="F7266" t="s">
        <v>19</v>
      </c>
      <c r="G7266" t="s">
        <v>20</v>
      </c>
      <c r="J7266" t="s">
        <v>17</v>
      </c>
      <c r="K7266" t="str">
        <f>"343301211"</f>
        <v>343301211</v>
      </c>
      <c r="L7266" t="str">
        <f>"343301211"</f>
        <v>343301211</v>
      </c>
      <c r="M7266" t="s">
        <v>75</v>
      </c>
      <c r="N7266" s="1">
        <v>42872.849305555559</v>
      </c>
      <c r="O7266" t="s">
        <v>19</v>
      </c>
    </row>
    <row r="7267" spans="1:15" x14ac:dyDescent="0.25">
      <c r="A7267" t="s">
        <v>5215</v>
      </c>
      <c r="B7267" t="s">
        <v>15</v>
      </c>
      <c r="C7267" t="s">
        <v>25</v>
      </c>
      <c r="D7267" t="s">
        <v>17</v>
      </c>
      <c r="E7267" t="s">
        <v>18</v>
      </c>
      <c r="F7267" t="s">
        <v>19</v>
      </c>
      <c r="G7267" t="s">
        <v>20</v>
      </c>
      <c r="J7267" t="s">
        <v>17</v>
      </c>
      <c r="K7267" t="str">
        <f>"345301211"</f>
        <v>345301211</v>
      </c>
      <c r="L7267" t="str">
        <f>"345301211"</f>
        <v>345301211</v>
      </c>
      <c r="M7267" t="s">
        <v>75</v>
      </c>
      <c r="N7267" s="1">
        <v>42872.849305555559</v>
      </c>
      <c r="O7267" t="s">
        <v>19</v>
      </c>
    </row>
    <row r="7268" spans="1:15" x14ac:dyDescent="0.25">
      <c r="A7268" t="s">
        <v>5215</v>
      </c>
      <c r="B7268" t="s">
        <v>15</v>
      </c>
      <c r="C7268" t="s">
        <v>25</v>
      </c>
      <c r="D7268" t="s">
        <v>17</v>
      </c>
      <c r="E7268" t="s">
        <v>18</v>
      </c>
      <c r="F7268" t="s">
        <v>19</v>
      </c>
      <c r="G7268" t="s">
        <v>20</v>
      </c>
      <c r="J7268" t="s">
        <v>17</v>
      </c>
      <c r="K7268" t="str">
        <f>"765301211"</f>
        <v>765301211</v>
      </c>
      <c r="L7268" t="str">
        <f>"765301211"</f>
        <v>765301211</v>
      </c>
      <c r="M7268" t="s">
        <v>75</v>
      </c>
      <c r="N7268" s="1">
        <v>42872.849305555559</v>
      </c>
      <c r="O7268" t="s">
        <v>19</v>
      </c>
    </row>
    <row r="7269" spans="1:15" x14ac:dyDescent="0.25">
      <c r="A7269" t="s">
        <v>5215</v>
      </c>
      <c r="B7269" t="s">
        <v>15</v>
      </c>
      <c r="C7269" t="s">
        <v>25</v>
      </c>
      <c r="D7269" t="s">
        <v>17</v>
      </c>
      <c r="E7269" t="s">
        <v>18</v>
      </c>
      <c r="F7269" t="s">
        <v>19</v>
      </c>
      <c r="G7269" t="s">
        <v>20</v>
      </c>
      <c r="J7269" t="s">
        <v>17</v>
      </c>
      <c r="K7269" t="str">
        <f>"183301211"</f>
        <v>183301211</v>
      </c>
      <c r="L7269" t="str">
        <f>"183301211"</f>
        <v>183301211</v>
      </c>
      <c r="M7269" t="s">
        <v>75</v>
      </c>
      <c r="N7269" s="1">
        <v>42882.741666666669</v>
      </c>
      <c r="O7269" t="s">
        <v>19</v>
      </c>
    </row>
    <row r="7270" spans="1:15" x14ac:dyDescent="0.25">
      <c r="A7270" t="s">
        <v>5216</v>
      </c>
      <c r="B7270" t="s">
        <v>15</v>
      </c>
      <c r="C7270" t="s">
        <v>25</v>
      </c>
      <c r="D7270" t="s">
        <v>17</v>
      </c>
      <c r="E7270" t="s">
        <v>18</v>
      </c>
      <c r="F7270" t="s">
        <v>19</v>
      </c>
      <c r="G7270" t="s">
        <v>20</v>
      </c>
      <c r="J7270" t="s">
        <v>17</v>
      </c>
      <c r="K7270" t="str">
        <f>"343301129"</f>
        <v>343301129</v>
      </c>
      <c r="L7270" t="str">
        <f>"343301129"</f>
        <v>343301129</v>
      </c>
      <c r="M7270" t="s">
        <v>75</v>
      </c>
      <c r="N7270" s="1">
        <v>42872.849305555559</v>
      </c>
      <c r="O7270" t="s">
        <v>19</v>
      </c>
    </row>
    <row r="7271" spans="1:15" x14ac:dyDescent="0.25">
      <c r="A7271" t="s">
        <v>5216</v>
      </c>
      <c r="B7271" t="s">
        <v>15</v>
      </c>
      <c r="C7271" t="s">
        <v>25</v>
      </c>
      <c r="D7271" t="s">
        <v>17</v>
      </c>
      <c r="E7271" t="s">
        <v>18</v>
      </c>
      <c r="F7271" t="s">
        <v>19</v>
      </c>
      <c r="G7271" t="s">
        <v>20</v>
      </c>
      <c r="J7271" t="s">
        <v>17</v>
      </c>
      <c r="K7271" t="str">
        <f>"765301129"</f>
        <v>765301129</v>
      </c>
      <c r="L7271" t="str">
        <f>"765301129"</f>
        <v>765301129</v>
      </c>
      <c r="M7271" t="s">
        <v>75</v>
      </c>
      <c r="N7271" s="1">
        <v>42872.849305555559</v>
      </c>
      <c r="O7271" t="s">
        <v>19</v>
      </c>
    </row>
    <row r="7272" spans="1:15" x14ac:dyDescent="0.25">
      <c r="A7272" t="s">
        <v>5217</v>
      </c>
      <c r="B7272" t="s">
        <v>15</v>
      </c>
      <c r="C7272" t="s">
        <v>25</v>
      </c>
      <c r="D7272" t="s">
        <v>17</v>
      </c>
      <c r="E7272" t="s">
        <v>18</v>
      </c>
      <c r="F7272" t="s">
        <v>19</v>
      </c>
      <c r="G7272" t="s">
        <v>20</v>
      </c>
      <c r="J7272" t="s">
        <v>17</v>
      </c>
      <c r="K7272" t="str">
        <f>"34530185"</f>
        <v>34530185</v>
      </c>
      <c r="L7272" t="str">
        <f>"34530185"</f>
        <v>34530185</v>
      </c>
      <c r="M7272" t="s">
        <v>75</v>
      </c>
      <c r="N7272" s="1">
        <v>43165.87777777778</v>
      </c>
      <c r="O7272" t="s">
        <v>19</v>
      </c>
    </row>
    <row r="7273" spans="1:15" x14ac:dyDescent="0.25">
      <c r="A7273" t="s">
        <v>5218</v>
      </c>
      <c r="B7273" t="s">
        <v>15</v>
      </c>
      <c r="C7273" t="s">
        <v>25</v>
      </c>
      <c r="D7273" t="s">
        <v>17</v>
      </c>
      <c r="E7273" t="s">
        <v>18</v>
      </c>
      <c r="F7273" t="s">
        <v>19</v>
      </c>
      <c r="G7273" t="s">
        <v>20</v>
      </c>
      <c r="J7273" t="s">
        <v>17</v>
      </c>
      <c r="K7273" t="str">
        <f>"343301209"</f>
        <v>343301209</v>
      </c>
      <c r="L7273" t="str">
        <f>"343301209"</f>
        <v>343301209</v>
      </c>
      <c r="M7273" t="s">
        <v>75</v>
      </c>
      <c r="N7273" s="1">
        <v>42872.849305555559</v>
      </c>
      <c r="O7273" t="s">
        <v>19</v>
      </c>
    </row>
    <row r="7274" spans="1:15" x14ac:dyDescent="0.25">
      <c r="A7274" t="s">
        <v>5218</v>
      </c>
      <c r="B7274" t="s">
        <v>15</v>
      </c>
      <c r="C7274" t="s">
        <v>25</v>
      </c>
      <c r="D7274" t="s">
        <v>17</v>
      </c>
      <c r="E7274" t="s">
        <v>18</v>
      </c>
      <c r="F7274" t="s">
        <v>19</v>
      </c>
      <c r="G7274" t="s">
        <v>20</v>
      </c>
      <c r="J7274" t="s">
        <v>17</v>
      </c>
      <c r="K7274" t="str">
        <f>"8002015001356"</f>
        <v>8002015001356</v>
      </c>
      <c r="L7274" t="str">
        <f>"183301209"</f>
        <v>183301209</v>
      </c>
      <c r="M7274" t="s">
        <v>75</v>
      </c>
      <c r="N7274" s="1">
        <v>42882.736805555556</v>
      </c>
      <c r="O7274" t="s">
        <v>19</v>
      </c>
    </row>
    <row r="7275" spans="1:15" x14ac:dyDescent="0.25">
      <c r="A7275" t="s">
        <v>5218</v>
      </c>
      <c r="B7275" t="s">
        <v>15</v>
      </c>
      <c r="C7275" t="s">
        <v>25</v>
      </c>
      <c r="D7275" t="s">
        <v>17</v>
      </c>
      <c r="E7275" t="s">
        <v>18</v>
      </c>
      <c r="F7275" t="s">
        <v>19</v>
      </c>
      <c r="G7275" t="s">
        <v>20</v>
      </c>
      <c r="J7275" t="s">
        <v>17</v>
      </c>
      <c r="K7275" t="str">
        <f>"763301209"</f>
        <v>763301209</v>
      </c>
      <c r="L7275" t="str">
        <f>"763301209"</f>
        <v>763301209</v>
      </c>
      <c r="M7275" t="s">
        <v>75</v>
      </c>
      <c r="N7275" s="1">
        <v>43005.943749999999</v>
      </c>
      <c r="O7275" t="s">
        <v>19</v>
      </c>
    </row>
    <row r="7276" spans="1:15" x14ac:dyDescent="0.25">
      <c r="A7276" t="s">
        <v>5219</v>
      </c>
      <c r="B7276" t="s">
        <v>15</v>
      </c>
      <c r="C7276" t="s">
        <v>25</v>
      </c>
      <c r="D7276" t="s">
        <v>17</v>
      </c>
      <c r="E7276" t="s">
        <v>18</v>
      </c>
      <c r="F7276" t="s">
        <v>19</v>
      </c>
      <c r="G7276" t="s">
        <v>20</v>
      </c>
      <c r="J7276" t="s">
        <v>17</v>
      </c>
      <c r="K7276" t="str">
        <f>"345301236"</f>
        <v>345301236</v>
      </c>
      <c r="L7276" t="str">
        <f>"345301236"</f>
        <v>345301236</v>
      </c>
      <c r="M7276" t="s">
        <v>75</v>
      </c>
      <c r="N7276" s="1">
        <v>42872.849305555559</v>
      </c>
      <c r="O7276" t="s">
        <v>19</v>
      </c>
    </row>
    <row r="7277" spans="1:15" x14ac:dyDescent="0.25">
      <c r="A7277" t="s">
        <v>5220</v>
      </c>
      <c r="B7277" t="s">
        <v>15</v>
      </c>
      <c r="C7277" t="s">
        <v>25</v>
      </c>
      <c r="D7277" t="s">
        <v>17</v>
      </c>
      <c r="E7277" t="s">
        <v>18</v>
      </c>
      <c r="F7277" t="s">
        <v>19</v>
      </c>
      <c r="G7277" t="s">
        <v>20</v>
      </c>
      <c r="J7277" t="s">
        <v>17</v>
      </c>
      <c r="K7277" t="str">
        <f>"173301135"</f>
        <v>173301135</v>
      </c>
      <c r="L7277" t="str">
        <f>"173301135"</f>
        <v>173301135</v>
      </c>
      <c r="M7277" t="s">
        <v>75</v>
      </c>
      <c r="N7277" s="1">
        <v>42872.849305555559</v>
      </c>
      <c r="O7277" t="s">
        <v>19</v>
      </c>
    </row>
    <row r="7278" spans="1:15" x14ac:dyDescent="0.25">
      <c r="A7278" t="s">
        <v>5220</v>
      </c>
      <c r="B7278" t="s">
        <v>15</v>
      </c>
      <c r="C7278" t="s">
        <v>25</v>
      </c>
      <c r="D7278" t="s">
        <v>17</v>
      </c>
      <c r="E7278" t="s">
        <v>18</v>
      </c>
      <c r="F7278" t="s">
        <v>19</v>
      </c>
      <c r="G7278" t="s">
        <v>20</v>
      </c>
      <c r="J7278" t="s">
        <v>17</v>
      </c>
      <c r="K7278" t="str">
        <f>"325301135"</f>
        <v>325301135</v>
      </c>
      <c r="L7278" t="str">
        <f>"325301135"</f>
        <v>325301135</v>
      </c>
      <c r="M7278" t="s">
        <v>75</v>
      </c>
      <c r="N7278" s="1">
        <v>42872.849305555559</v>
      </c>
      <c r="O7278" t="s">
        <v>19</v>
      </c>
    </row>
    <row r="7279" spans="1:15" x14ac:dyDescent="0.25">
      <c r="A7279" t="s">
        <v>5220</v>
      </c>
      <c r="B7279" t="s">
        <v>15</v>
      </c>
      <c r="C7279" t="s">
        <v>25</v>
      </c>
      <c r="D7279" t="s">
        <v>17</v>
      </c>
      <c r="E7279" t="s">
        <v>18</v>
      </c>
      <c r="F7279" t="s">
        <v>19</v>
      </c>
      <c r="G7279" t="s">
        <v>20</v>
      </c>
      <c r="J7279" t="s">
        <v>17</v>
      </c>
      <c r="K7279" t="str">
        <f>"765301135"</f>
        <v>765301135</v>
      </c>
      <c r="L7279" t="str">
        <f>"765301135"</f>
        <v>765301135</v>
      </c>
      <c r="M7279" t="s">
        <v>75</v>
      </c>
      <c r="N7279" s="1">
        <v>42872.849305555559</v>
      </c>
      <c r="O7279" t="s">
        <v>19</v>
      </c>
    </row>
    <row r="7280" spans="1:15" x14ac:dyDescent="0.25">
      <c r="A7280" t="s">
        <v>5221</v>
      </c>
      <c r="B7280" t="s">
        <v>15</v>
      </c>
      <c r="C7280" t="s">
        <v>25</v>
      </c>
      <c r="D7280" t="s">
        <v>17</v>
      </c>
      <c r="E7280" t="s">
        <v>18</v>
      </c>
      <c r="F7280" t="s">
        <v>19</v>
      </c>
      <c r="G7280" t="s">
        <v>20</v>
      </c>
      <c r="J7280" t="s">
        <v>17</v>
      </c>
      <c r="K7280" t="str">
        <f>"763301136"</f>
        <v>763301136</v>
      </c>
      <c r="L7280" t="str">
        <f>"763301136"</f>
        <v>763301136</v>
      </c>
      <c r="M7280" t="s">
        <v>75</v>
      </c>
      <c r="N7280" s="1">
        <v>42872.849305555559</v>
      </c>
      <c r="O7280" t="s">
        <v>19</v>
      </c>
    </row>
    <row r="7281" spans="1:15" x14ac:dyDescent="0.25">
      <c r="A7281" t="s">
        <v>5222</v>
      </c>
      <c r="B7281" t="s">
        <v>15</v>
      </c>
      <c r="C7281" t="s">
        <v>25</v>
      </c>
      <c r="D7281" t="s">
        <v>17</v>
      </c>
      <c r="E7281" t="s">
        <v>18</v>
      </c>
      <c r="F7281" t="s">
        <v>19</v>
      </c>
      <c r="G7281" t="s">
        <v>20</v>
      </c>
      <c r="J7281" t="s">
        <v>17</v>
      </c>
      <c r="K7281" t="str">
        <f>"345301240"</f>
        <v>345301240</v>
      </c>
      <c r="L7281" t="str">
        <f>"345301240"</f>
        <v>345301240</v>
      </c>
      <c r="M7281" t="s">
        <v>75</v>
      </c>
      <c r="N7281" s="1">
        <v>42872.849305555559</v>
      </c>
      <c r="O7281" t="s">
        <v>19</v>
      </c>
    </row>
    <row r="7282" spans="1:15" x14ac:dyDescent="0.25">
      <c r="A7282" t="s">
        <v>5222</v>
      </c>
      <c r="B7282" t="s">
        <v>15</v>
      </c>
      <c r="C7282" t="s">
        <v>25</v>
      </c>
      <c r="D7282" t="s">
        <v>17</v>
      </c>
      <c r="E7282" t="s">
        <v>18</v>
      </c>
      <c r="F7282" t="s">
        <v>19</v>
      </c>
      <c r="G7282" t="s">
        <v>20</v>
      </c>
      <c r="J7282" t="s">
        <v>17</v>
      </c>
      <c r="K7282" t="str">
        <f>"763301240"</f>
        <v>763301240</v>
      </c>
      <c r="L7282" t="str">
        <f>"763301240"</f>
        <v>763301240</v>
      </c>
      <c r="M7282" t="s">
        <v>75</v>
      </c>
      <c r="N7282" s="1">
        <v>42872.849305555559</v>
      </c>
      <c r="O7282" t="s">
        <v>19</v>
      </c>
    </row>
    <row r="7283" spans="1:15" x14ac:dyDescent="0.25">
      <c r="A7283" t="s">
        <v>5222</v>
      </c>
      <c r="B7283" t="s">
        <v>15</v>
      </c>
      <c r="C7283" t="s">
        <v>25</v>
      </c>
      <c r="D7283" t="s">
        <v>17</v>
      </c>
      <c r="E7283" t="s">
        <v>18</v>
      </c>
      <c r="F7283" t="s">
        <v>19</v>
      </c>
      <c r="G7283" t="s">
        <v>20</v>
      </c>
      <c r="J7283" t="s">
        <v>17</v>
      </c>
      <c r="K7283" t="str">
        <f>"933301240"</f>
        <v>933301240</v>
      </c>
      <c r="L7283" t="str">
        <f>"933301240"</f>
        <v>933301240</v>
      </c>
      <c r="M7283" t="s">
        <v>75</v>
      </c>
      <c r="N7283" s="1">
        <v>42872.849305555559</v>
      </c>
      <c r="O7283" t="s">
        <v>19</v>
      </c>
    </row>
    <row r="7284" spans="1:15" x14ac:dyDescent="0.25">
      <c r="A7284" t="s">
        <v>5222</v>
      </c>
      <c r="B7284" t="s">
        <v>15</v>
      </c>
      <c r="C7284" t="s">
        <v>25</v>
      </c>
      <c r="D7284" t="s">
        <v>17</v>
      </c>
      <c r="E7284" t="s">
        <v>18</v>
      </c>
      <c r="F7284" t="s">
        <v>19</v>
      </c>
      <c r="G7284" t="s">
        <v>20</v>
      </c>
      <c r="J7284" t="s">
        <v>17</v>
      </c>
      <c r="K7284" t="str">
        <f>"183301240"</f>
        <v>183301240</v>
      </c>
      <c r="L7284" t="str">
        <f>"183301240"</f>
        <v>183301240</v>
      </c>
      <c r="M7284" t="s">
        <v>75</v>
      </c>
      <c r="N7284" s="1">
        <v>42882.738194444442</v>
      </c>
      <c r="O7284" t="s">
        <v>19</v>
      </c>
    </row>
    <row r="7285" spans="1:15" x14ac:dyDescent="0.25">
      <c r="A7285" t="s">
        <v>5222</v>
      </c>
      <c r="B7285" t="s">
        <v>15</v>
      </c>
      <c r="C7285" t="s">
        <v>25</v>
      </c>
      <c r="D7285" t="s">
        <v>17</v>
      </c>
      <c r="E7285" t="s">
        <v>18</v>
      </c>
      <c r="F7285" t="s">
        <v>19</v>
      </c>
      <c r="G7285" t="s">
        <v>20</v>
      </c>
      <c r="J7285" t="s">
        <v>17</v>
      </c>
      <c r="K7285" t="str">
        <f>"173301240"</f>
        <v>173301240</v>
      </c>
      <c r="L7285" t="str">
        <f>"173301240"</f>
        <v>173301240</v>
      </c>
      <c r="M7285" t="s">
        <v>75</v>
      </c>
      <c r="N7285" s="1">
        <v>43096.717361111114</v>
      </c>
      <c r="O7285" t="s">
        <v>19</v>
      </c>
    </row>
    <row r="7286" spans="1:15" x14ac:dyDescent="0.25">
      <c r="A7286" t="s">
        <v>5223</v>
      </c>
      <c r="B7286" t="s">
        <v>15</v>
      </c>
      <c r="C7286" t="s">
        <v>25</v>
      </c>
      <c r="D7286" t="s">
        <v>17</v>
      </c>
      <c r="E7286" t="s">
        <v>18</v>
      </c>
      <c r="F7286" t="s">
        <v>19</v>
      </c>
      <c r="G7286" t="s">
        <v>20</v>
      </c>
      <c r="J7286" t="s">
        <v>17</v>
      </c>
      <c r="K7286" t="str">
        <f>"765301236"</f>
        <v>765301236</v>
      </c>
      <c r="L7286" t="str">
        <f>"765301236"</f>
        <v>765301236</v>
      </c>
      <c r="M7286" t="s">
        <v>75</v>
      </c>
      <c r="N7286" s="1">
        <v>42872.849305555559</v>
      </c>
      <c r="O7286" t="s">
        <v>19</v>
      </c>
    </row>
    <row r="7287" spans="1:15" x14ac:dyDescent="0.25">
      <c r="A7287" t="s">
        <v>5224</v>
      </c>
      <c r="B7287" t="s">
        <v>15</v>
      </c>
      <c r="C7287" t="s">
        <v>25</v>
      </c>
      <c r="D7287" t="s">
        <v>17</v>
      </c>
      <c r="E7287" t="s">
        <v>18</v>
      </c>
      <c r="F7287" t="s">
        <v>19</v>
      </c>
      <c r="G7287" t="s">
        <v>20</v>
      </c>
      <c r="J7287" t="s">
        <v>17</v>
      </c>
      <c r="K7287" t="str">
        <f>"173301236"</f>
        <v>173301236</v>
      </c>
      <c r="L7287" t="str">
        <f>"173301236"</f>
        <v>173301236</v>
      </c>
      <c r="M7287" t="s">
        <v>75</v>
      </c>
      <c r="N7287" s="1">
        <v>43096.716666666667</v>
      </c>
      <c r="O7287" t="s">
        <v>19</v>
      </c>
    </row>
    <row r="7288" spans="1:15" x14ac:dyDescent="0.25">
      <c r="A7288" t="s">
        <v>5225</v>
      </c>
      <c r="B7288" t="s">
        <v>15</v>
      </c>
      <c r="C7288" t="s">
        <v>25</v>
      </c>
      <c r="D7288" t="s">
        <v>17</v>
      </c>
      <c r="E7288" t="s">
        <v>18</v>
      </c>
      <c r="F7288" t="s">
        <v>19</v>
      </c>
      <c r="G7288" t="s">
        <v>20</v>
      </c>
      <c r="J7288" t="s">
        <v>17</v>
      </c>
      <c r="K7288" t="str">
        <f>"34530191"</f>
        <v>34530191</v>
      </c>
      <c r="L7288" t="str">
        <f>"34530191"</f>
        <v>34530191</v>
      </c>
      <c r="M7288" t="s">
        <v>75</v>
      </c>
      <c r="N7288" s="1">
        <v>42872.839583333334</v>
      </c>
      <c r="O7288" t="s">
        <v>19</v>
      </c>
    </row>
    <row r="7289" spans="1:15" x14ac:dyDescent="0.25">
      <c r="A7289" t="s">
        <v>5226</v>
      </c>
      <c r="B7289" t="s">
        <v>15</v>
      </c>
      <c r="C7289" t="s">
        <v>25</v>
      </c>
      <c r="D7289" t="s">
        <v>17</v>
      </c>
      <c r="E7289" t="s">
        <v>18</v>
      </c>
      <c r="F7289" t="s">
        <v>19</v>
      </c>
      <c r="G7289" t="s">
        <v>20</v>
      </c>
      <c r="J7289" t="s">
        <v>17</v>
      </c>
      <c r="K7289" t="str">
        <f>"765301240"</f>
        <v>765301240</v>
      </c>
      <c r="L7289" t="str">
        <f>"765301240"</f>
        <v>765301240</v>
      </c>
      <c r="M7289" t="s">
        <v>75</v>
      </c>
      <c r="N7289" s="1">
        <v>42872.849305555559</v>
      </c>
      <c r="O7289" t="s">
        <v>19</v>
      </c>
    </row>
    <row r="7290" spans="1:15" x14ac:dyDescent="0.25">
      <c r="A7290" t="s">
        <v>5227</v>
      </c>
      <c r="B7290" t="s">
        <v>15</v>
      </c>
      <c r="C7290" t="s">
        <v>25</v>
      </c>
      <c r="D7290" t="s">
        <v>17</v>
      </c>
      <c r="E7290" t="s">
        <v>18</v>
      </c>
      <c r="F7290" t="s">
        <v>19</v>
      </c>
      <c r="G7290" t="s">
        <v>20</v>
      </c>
      <c r="J7290" t="s">
        <v>17</v>
      </c>
      <c r="K7290" t="str">
        <f>"765301241"</f>
        <v>765301241</v>
      </c>
      <c r="L7290" t="str">
        <f>"765301241"</f>
        <v>765301241</v>
      </c>
      <c r="M7290" t="s">
        <v>75</v>
      </c>
      <c r="N7290" s="1">
        <v>42872.849305555559</v>
      </c>
      <c r="O7290" t="s">
        <v>19</v>
      </c>
    </row>
    <row r="7291" spans="1:15" x14ac:dyDescent="0.25">
      <c r="A7291" t="s">
        <v>5228</v>
      </c>
      <c r="B7291" t="s">
        <v>15</v>
      </c>
      <c r="C7291" t="s">
        <v>25</v>
      </c>
      <c r="D7291" t="s">
        <v>17</v>
      </c>
      <c r="E7291" t="s">
        <v>18</v>
      </c>
      <c r="F7291" t="s">
        <v>19</v>
      </c>
      <c r="G7291" t="s">
        <v>20</v>
      </c>
      <c r="J7291" t="s">
        <v>17</v>
      </c>
      <c r="K7291" t="str">
        <f>"765301162"</f>
        <v>765301162</v>
      </c>
      <c r="L7291" t="str">
        <f>"765301162"</f>
        <v>765301162</v>
      </c>
      <c r="M7291" t="s">
        <v>75</v>
      </c>
      <c r="N7291" s="1">
        <v>42872.849305555559</v>
      </c>
      <c r="O7291" t="s">
        <v>19</v>
      </c>
    </row>
    <row r="7292" spans="1:15" x14ac:dyDescent="0.25">
      <c r="A7292" t="s">
        <v>5228</v>
      </c>
      <c r="B7292" t="s">
        <v>15</v>
      </c>
      <c r="C7292" t="s">
        <v>25</v>
      </c>
      <c r="D7292" t="s">
        <v>17</v>
      </c>
      <c r="E7292" t="s">
        <v>18</v>
      </c>
      <c r="F7292" t="s">
        <v>19</v>
      </c>
      <c r="G7292" t="s">
        <v>20</v>
      </c>
      <c r="J7292" t="s">
        <v>17</v>
      </c>
      <c r="K7292" t="str">
        <f>"765301198"</f>
        <v>765301198</v>
      </c>
      <c r="L7292" t="str">
        <f>"765301198"</f>
        <v>765301198</v>
      </c>
      <c r="M7292" t="s">
        <v>75</v>
      </c>
      <c r="N7292" s="1">
        <v>42872.849305555559</v>
      </c>
      <c r="O7292" t="s">
        <v>19</v>
      </c>
    </row>
    <row r="7293" spans="1:15" x14ac:dyDescent="0.25">
      <c r="A7293" t="s">
        <v>5229</v>
      </c>
      <c r="B7293" t="s">
        <v>15</v>
      </c>
      <c r="C7293" t="s">
        <v>25</v>
      </c>
      <c r="D7293" t="s">
        <v>17</v>
      </c>
      <c r="E7293" t="s">
        <v>18</v>
      </c>
      <c r="F7293" t="s">
        <v>19</v>
      </c>
      <c r="G7293" t="s">
        <v>20</v>
      </c>
      <c r="J7293" t="s">
        <v>17</v>
      </c>
      <c r="K7293" t="str">
        <f>"175301198"</f>
        <v>175301198</v>
      </c>
      <c r="L7293" t="str">
        <f>"175301198"</f>
        <v>175301198</v>
      </c>
      <c r="M7293" t="s">
        <v>75</v>
      </c>
      <c r="N7293" s="1">
        <v>42872.847222222219</v>
      </c>
      <c r="O7293" t="s">
        <v>19</v>
      </c>
    </row>
    <row r="7294" spans="1:15" x14ac:dyDescent="0.25">
      <c r="A7294" t="s">
        <v>5230</v>
      </c>
      <c r="B7294" t="s">
        <v>15</v>
      </c>
      <c r="C7294" t="s">
        <v>25</v>
      </c>
      <c r="D7294" t="s">
        <v>17</v>
      </c>
      <c r="E7294" t="s">
        <v>18</v>
      </c>
      <c r="F7294" t="s">
        <v>19</v>
      </c>
      <c r="G7294" t="s">
        <v>20</v>
      </c>
      <c r="J7294" t="s">
        <v>17</v>
      </c>
      <c r="K7294" t="str">
        <f>"345301222"</f>
        <v>345301222</v>
      </c>
      <c r="L7294" t="str">
        <f>"345301222"</f>
        <v>345301222</v>
      </c>
      <c r="M7294" t="s">
        <v>75</v>
      </c>
      <c r="N7294" s="1">
        <v>42872.849305555559</v>
      </c>
      <c r="O7294" t="s">
        <v>19</v>
      </c>
    </row>
    <row r="7295" spans="1:15" x14ac:dyDescent="0.25">
      <c r="A7295" t="s">
        <v>5230</v>
      </c>
      <c r="B7295" t="s">
        <v>15</v>
      </c>
      <c r="C7295" t="s">
        <v>25</v>
      </c>
      <c r="D7295" t="s">
        <v>17</v>
      </c>
      <c r="E7295" t="s">
        <v>18</v>
      </c>
      <c r="F7295" t="s">
        <v>19</v>
      </c>
      <c r="G7295" t="s">
        <v>20</v>
      </c>
      <c r="J7295" t="s">
        <v>17</v>
      </c>
      <c r="K7295" t="str">
        <f>"765301222"</f>
        <v>765301222</v>
      </c>
      <c r="L7295" t="str">
        <f>"765301222"</f>
        <v>765301222</v>
      </c>
      <c r="M7295" t="s">
        <v>75</v>
      </c>
      <c r="N7295" s="1">
        <v>42872.849305555559</v>
      </c>
      <c r="O7295" t="s">
        <v>19</v>
      </c>
    </row>
    <row r="7296" spans="1:15" x14ac:dyDescent="0.25">
      <c r="A7296" t="s">
        <v>5231</v>
      </c>
      <c r="B7296" t="s">
        <v>15</v>
      </c>
      <c r="C7296" t="s">
        <v>25</v>
      </c>
      <c r="D7296" t="s">
        <v>17</v>
      </c>
      <c r="E7296" t="s">
        <v>18</v>
      </c>
      <c r="F7296" t="s">
        <v>19</v>
      </c>
      <c r="G7296" t="s">
        <v>20</v>
      </c>
      <c r="J7296" t="s">
        <v>17</v>
      </c>
      <c r="K7296" t="str">
        <f>"765301111"</f>
        <v>765301111</v>
      </c>
      <c r="L7296" t="str">
        <f>"765301111"</f>
        <v>765301111</v>
      </c>
      <c r="M7296" t="s">
        <v>75</v>
      </c>
      <c r="N7296" s="1">
        <v>42872.849305555559</v>
      </c>
      <c r="O7296" t="s">
        <v>19</v>
      </c>
    </row>
    <row r="7297" spans="1:15" x14ac:dyDescent="0.25">
      <c r="A7297" t="s">
        <v>5232</v>
      </c>
      <c r="B7297" t="s">
        <v>15</v>
      </c>
      <c r="C7297" t="s">
        <v>25</v>
      </c>
      <c r="D7297" t="s">
        <v>17</v>
      </c>
      <c r="E7297" t="s">
        <v>18</v>
      </c>
      <c r="F7297" t="s">
        <v>19</v>
      </c>
      <c r="G7297" t="s">
        <v>20</v>
      </c>
      <c r="J7297" t="s">
        <v>17</v>
      </c>
      <c r="K7297" t="str">
        <f>"345301212"</f>
        <v>345301212</v>
      </c>
      <c r="L7297" t="str">
        <f>"345301212"</f>
        <v>345301212</v>
      </c>
      <c r="M7297" t="s">
        <v>75</v>
      </c>
      <c r="N7297" s="1">
        <v>42872.849305555559</v>
      </c>
      <c r="O7297" t="s">
        <v>19</v>
      </c>
    </row>
    <row r="7298" spans="1:15" x14ac:dyDescent="0.25">
      <c r="A7298" t="s">
        <v>5233</v>
      </c>
      <c r="B7298" t="s">
        <v>15</v>
      </c>
      <c r="C7298" t="s">
        <v>25</v>
      </c>
      <c r="D7298" t="s">
        <v>17</v>
      </c>
      <c r="E7298" t="s">
        <v>18</v>
      </c>
      <c r="F7298" t="s">
        <v>19</v>
      </c>
      <c r="G7298" t="s">
        <v>20</v>
      </c>
      <c r="J7298" t="s">
        <v>17</v>
      </c>
      <c r="K7298" t="str">
        <f>"763301212"</f>
        <v>763301212</v>
      </c>
      <c r="L7298" t="str">
        <f>"763301212"</f>
        <v>763301212</v>
      </c>
      <c r="M7298" t="s">
        <v>75</v>
      </c>
      <c r="N7298" s="1">
        <v>42872.849305555559</v>
      </c>
      <c r="O7298" t="s">
        <v>19</v>
      </c>
    </row>
    <row r="7299" spans="1:15" x14ac:dyDescent="0.25">
      <c r="A7299" t="s">
        <v>5234</v>
      </c>
      <c r="B7299" t="s">
        <v>15</v>
      </c>
      <c r="C7299" t="s">
        <v>25</v>
      </c>
      <c r="D7299" t="s">
        <v>17</v>
      </c>
      <c r="E7299" t="s">
        <v>18</v>
      </c>
      <c r="F7299" t="s">
        <v>19</v>
      </c>
      <c r="G7299" t="s">
        <v>20</v>
      </c>
      <c r="J7299" t="s">
        <v>17</v>
      </c>
      <c r="K7299" t="str">
        <f>"173301244"</f>
        <v>173301244</v>
      </c>
      <c r="L7299" t="str">
        <f>"173301244"</f>
        <v>173301244</v>
      </c>
      <c r="M7299" t="s">
        <v>75</v>
      </c>
      <c r="N7299" s="1">
        <v>42872.849305555559</v>
      </c>
      <c r="O7299" t="s">
        <v>19</v>
      </c>
    </row>
    <row r="7300" spans="1:15" x14ac:dyDescent="0.25">
      <c r="A7300" t="s">
        <v>5234</v>
      </c>
      <c r="B7300" t="s">
        <v>15</v>
      </c>
      <c r="C7300" t="s">
        <v>25</v>
      </c>
      <c r="D7300" t="s">
        <v>17</v>
      </c>
      <c r="E7300" t="s">
        <v>18</v>
      </c>
      <c r="F7300" t="s">
        <v>19</v>
      </c>
      <c r="G7300" t="s">
        <v>20</v>
      </c>
      <c r="J7300" t="s">
        <v>17</v>
      </c>
      <c r="K7300" t="str">
        <f>"343301244"</f>
        <v>343301244</v>
      </c>
      <c r="L7300" t="str">
        <f>"343301244"</f>
        <v>343301244</v>
      </c>
      <c r="M7300" t="s">
        <v>75</v>
      </c>
      <c r="N7300" s="1">
        <v>42872.849305555559</v>
      </c>
      <c r="O7300" t="s">
        <v>19</v>
      </c>
    </row>
    <row r="7301" spans="1:15" x14ac:dyDescent="0.25">
      <c r="A7301" t="s">
        <v>5234</v>
      </c>
      <c r="B7301" t="s">
        <v>15</v>
      </c>
      <c r="C7301" t="s">
        <v>25</v>
      </c>
      <c r="D7301" t="s">
        <v>17</v>
      </c>
      <c r="E7301" t="s">
        <v>18</v>
      </c>
      <c r="F7301" t="s">
        <v>19</v>
      </c>
      <c r="G7301" t="s">
        <v>20</v>
      </c>
      <c r="J7301" t="s">
        <v>17</v>
      </c>
      <c r="K7301" t="str">
        <f>"763301244"</f>
        <v>763301244</v>
      </c>
      <c r="L7301" t="str">
        <f>"763301244"</f>
        <v>763301244</v>
      </c>
      <c r="M7301" t="s">
        <v>75</v>
      </c>
      <c r="N7301" s="1">
        <v>42872.849305555559</v>
      </c>
      <c r="O7301" t="s">
        <v>19</v>
      </c>
    </row>
    <row r="7302" spans="1:15" x14ac:dyDescent="0.25">
      <c r="A7302" t="s">
        <v>5234</v>
      </c>
      <c r="B7302" t="s">
        <v>15</v>
      </c>
      <c r="C7302" t="s">
        <v>25</v>
      </c>
      <c r="D7302" t="s">
        <v>17</v>
      </c>
      <c r="E7302" t="s">
        <v>18</v>
      </c>
      <c r="F7302" t="s">
        <v>19</v>
      </c>
      <c r="G7302" t="s">
        <v>20</v>
      </c>
      <c r="J7302" t="s">
        <v>17</v>
      </c>
      <c r="K7302" t="str">
        <f>"765301244"</f>
        <v>765301244</v>
      </c>
      <c r="L7302" t="str">
        <f>"765301244"</f>
        <v>765301244</v>
      </c>
      <c r="M7302" t="s">
        <v>75</v>
      </c>
      <c r="N7302" s="1">
        <v>42872.849305555559</v>
      </c>
      <c r="O7302" t="s">
        <v>19</v>
      </c>
    </row>
    <row r="7303" spans="1:15" x14ac:dyDescent="0.25">
      <c r="A7303" t="s">
        <v>5234</v>
      </c>
      <c r="B7303" t="s">
        <v>15</v>
      </c>
      <c r="C7303" t="s">
        <v>25</v>
      </c>
      <c r="D7303" t="s">
        <v>17</v>
      </c>
      <c r="E7303" t="s">
        <v>18</v>
      </c>
      <c r="F7303" t="s">
        <v>19</v>
      </c>
      <c r="G7303" t="s">
        <v>20</v>
      </c>
      <c r="J7303" t="s">
        <v>17</v>
      </c>
      <c r="K7303" t="str">
        <f>"345301244"</f>
        <v>345301244</v>
      </c>
      <c r="L7303" t="str">
        <f>"345301244"</f>
        <v>345301244</v>
      </c>
      <c r="M7303" t="s">
        <v>75</v>
      </c>
      <c r="N7303" s="1">
        <v>42872.849305555559</v>
      </c>
      <c r="O7303" t="s">
        <v>19</v>
      </c>
    </row>
    <row r="7304" spans="1:15" x14ac:dyDescent="0.25">
      <c r="A7304" t="s">
        <v>5235</v>
      </c>
      <c r="B7304" t="s">
        <v>15</v>
      </c>
      <c r="C7304" t="s">
        <v>25</v>
      </c>
      <c r="D7304" t="s">
        <v>17</v>
      </c>
      <c r="E7304" t="s">
        <v>18</v>
      </c>
      <c r="F7304" t="s">
        <v>19</v>
      </c>
      <c r="G7304" t="s">
        <v>20</v>
      </c>
      <c r="J7304" t="s">
        <v>17</v>
      </c>
      <c r="K7304" t="str">
        <f>"345301228"</f>
        <v>345301228</v>
      </c>
      <c r="L7304" t="str">
        <f>"345301228"</f>
        <v>345301228</v>
      </c>
      <c r="M7304" t="s">
        <v>75</v>
      </c>
      <c r="N7304" s="1">
        <v>42872.849305555559</v>
      </c>
      <c r="O7304" t="s">
        <v>19</v>
      </c>
    </row>
    <row r="7305" spans="1:15" x14ac:dyDescent="0.25">
      <c r="A7305" t="s">
        <v>5235</v>
      </c>
      <c r="B7305" t="s">
        <v>15</v>
      </c>
      <c r="C7305" t="s">
        <v>25</v>
      </c>
      <c r="D7305" t="s">
        <v>17</v>
      </c>
      <c r="E7305" t="s">
        <v>18</v>
      </c>
      <c r="F7305" t="s">
        <v>19</v>
      </c>
      <c r="G7305" t="s">
        <v>20</v>
      </c>
      <c r="J7305" t="s">
        <v>17</v>
      </c>
      <c r="K7305" t="str">
        <f>"345301237"</f>
        <v>345301237</v>
      </c>
      <c r="L7305" t="str">
        <f>"345301237"</f>
        <v>345301237</v>
      </c>
      <c r="M7305" t="s">
        <v>75</v>
      </c>
      <c r="N7305" s="1">
        <v>42872.849305555559</v>
      </c>
      <c r="O7305" t="s">
        <v>19</v>
      </c>
    </row>
    <row r="7306" spans="1:15" x14ac:dyDescent="0.25">
      <c r="A7306" t="s">
        <v>5236</v>
      </c>
      <c r="B7306" t="s">
        <v>15</v>
      </c>
      <c r="C7306" t="s">
        <v>25</v>
      </c>
      <c r="D7306" t="s">
        <v>17</v>
      </c>
      <c r="E7306" t="s">
        <v>18</v>
      </c>
      <c r="F7306" t="s">
        <v>19</v>
      </c>
      <c r="G7306" t="s">
        <v>20</v>
      </c>
      <c r="J7306" t="s">
        <v>17</v>
      </c>
      <c r="K7306" t="str">
        <f>"765323188"</f>
        <v>765323188</v>
      </c>
      <c r="L7306" t="str">
        <f>"765323188"</f>
        <v>765323188</v>
      </c>
      <c r="M7306" t="s">
        <v>75</v>
      </c>
      <c r="N7306" s="1">
        <v>42872.849305555559</v>
      </c>
      <c r="O7306" t="s">
        <v>19</v>
      </c>
    </row>
    <row r="7307" spans="1:15" x14ac:dyDescent="0.25">
      <c r="A7307" t="s">
        <v>5237</v>
      </c>
      <c r="B7307" t="s">
        <v>15</v>
      </c>
      <c r="C7307" t="s">
        <v>25</v>
      </c>
      <c r="D7307" t="s">
        <v>17</v>
      </c>
      <c r="E7307" t="s">
        <v>18</v>
      </c>
      <c r="F7307" t="s">
        <v>19</v>
      </c>
      <c r="G7307" t="s">
        <v>20</v>
      </c>
      <c r="J7307" t="s">
        <v>17</v>
      </c>
      <c r="K7307" t="str">
        <f>"765323116"</f>
        <v>765323116</v>
      </c>
      <c r="L7307" t="str">
        <f>"765323116"</f>
        <v>765323116</v>
      </c>
      <c r="M7307" t="s">
        <v>75</v>
      </c>
      <c r="N7307" s="1">
        <v>42872.849305555559</v>
      </c>
      <c r="O7307" t="s">
        <v>19</v>
      </c>
    </row>
    <row r="7308" spans="1:15" x14ac:dyDescent="0.25">
      <c r="A7308" t="s">
        <v>5238</v>
      </c>
      <c r="B7308" t="s">
        <v>15</v>
      </c>
      <c r="C7308" t="s">
        <v>25</v>
      </c>
      <c r="D7308" t="s">
        <v>17</v>
      </c>
      <c r="E7308" t="s">
        <v>18</v>
      </c>
      <c r="F7308" t="s">
        <v>19</v>
      </c>
      <c r="G7308" t="s">
        <v>20</v>
      </c>
      <c r="J7308" t="s">
        <v>17</v>
      </c>
      <c r="K7308" t="str">
        <f>"765323140"</f>
        <v>765323140</v>
      </c>
      <c r="L7308" t="str">
        <f>"765323140"</f>
        <v>765323140</v>
      </c>
      <c r="M7308" t="s">
        <v>75</v>
      </c>
      <c r="N7308" s="1">
        <v>42872.849305555559</v>
      </c>
      <c r="O7308" t="s">
        <v>19</v>
      </c>
    </row>
    <row r="7309" spans="1:15" x14ac:dyDescent="0.25">
      <c r="A7309" t="s">
        <v>5239</v>
      </c>
      <c r="B7309" t="s">
        <v>15</v>
      </c>
      <c r="C7309" t="s">
        <v>25</v>
      </c>
      <c r="D7309" t="s">
        <v>17</v>
      </c>
      <c r="E7309" t="s">
        <v>18</v>
      </c>
      <c r="F7309" t="s">
        <v>19</v>
      </c>
      <c r="G7309" t="s">
        <v>20</v>
      </c>
      <c r="J7309" t="s">
        <v>17</v>
      </c>
      <c r="K7309" t="str">
        <f>"345323218"</f>
        <v>345323218</v>
      </c>
      <c r="L7309" t="str">
        <f>"345323218"</f>
        <v>345323218</v>
      </c>
      <c r="M7309" t="s">
        <v>75</v>
      </c>
      <c r="N7309" s="1">
        <v>42872.849305555559</v>
      </c>
      <c r="O7309" t="s">
        <v>19</v>
      </c>
    </row>
    <row r="7310" spans="1:15" x14ac:dyDescent="0.25">
      <c r="A7310" t="s">
        <v>5239</v>
      </c>
      <c r="B7310" t="s">
        <v>15</v>
      </c>
      <c r="C7310" t="s">
        <v>25</v>
      </c>
      <c r="D7310" t="s">
        <v>17</v>
      </c>
      <c r="E7310" t="s">
        <v>18</v>
      </c>
      <c r="F7310" t="s">
        <v>19</v>
      </c>
      <c r="G7310" t="s">
        <v>20</v>
      </c>
      <c r="J7310" t="s">
        <v>17</v>
      </c>
      <c r="K7310" t="str">
        <f>"765323218"</f>
        <v>765323218</v>
      </c>
      <c r="L7310" t="str">
        <f>"765323218"</f>
        <v>765323218</v>
      </c>
      <c r="M7310" t="s">
        <v>75</v>
      </c>
      <c r="N7310" s="1">
        <v>42872.849305555559</v>
      </c>
      <c r="O7310" t="s">
        <v>19</v>
      </c>
    </row>
    <row r="7311" spans="1:15" x14ac:dyDescent="0.25">
      <c r="A7311" t="s">
        <v>5240</v>
      </c>
      <c r="B7311" t="s">
        <v>15</v>
      </c>
      <c r="C7311" t="s">
        <v>25</v>
      </c>
      <c r="D7311" t="s">
        <v>17</v>
      </c>
      <c r="E7311" t="s">
        <v>18</v>
      </c>
      <c r="F7311" t="s">
        <v>19</v>
      </c>
      <c r="G7311" t="s">
        <v>20</v>
      </c>
      <c r="J7311" t="s">
        <v>17</v>
      </c>
      <c r="K7311" t="str">
        <f>"343323132"</f>
        <v>343323132</v>
      </c>
      <c r="L7311" t="str">
        <f>"343323132"</f>
        <v>343323132</v>
      </c>
      <c r="M7311" t="s">
        <v>75</v>
      </c>
      <c r="N7311" s="1">
        <v>42872.849305555559</v>
      </c>
      <c r="O7311" t="s">
        <v>19</v>
      </c>
    </row>
    <row r="7312" spans="1:15" x14ac:dyDescent="0.25">
      <c r="A7312" t="s">
        <v>5240</v>
      </c>
      <c r="B7312" t="s">
        <v>15</v>
      </c>
      <c r="C7312" t="s">
        <v>25</v>
      </c>
      <c r="D7312" t="s">
        <v>17</v>
      </c>
      <c r="E7312" t="s">
        <v>18</v>
      </c>
      <c r="F7312" t="s">
        <v>19</v>
      </c>
      <c r="G7312" t="s">
        <v>20</v>
      </c>
      <c r="J7312" t="s">
        <v>17</v>
      </c>
      <c r="K7312" t="str">
        <f>"345323132"</f>
        <v>345323132</v>
      </c>
      <c r="L7312" t="str">
        <f>"345323132"</f>
        <v>345323132</v>
      </c>
      <c r="M7312" t="s">
        <v>75</v>
      </c>
      <c r="N7312" s="1">
        <v>42872.849305555559</v>
      </c>
      <c r="O7312" t="s">
        <v>19</v>
      </c>
    </row>
    <row r="7313" spans="1:15" x14ac:dyDescent="0.25">
      <c r="A7313" t="s">
        <v>5240</v>
      </c>
      <c r="B7313" t="s">
        <v>15</v>
      </c>
      <c r="C7313" t="s">
        <v>25</v>
      </c>
      <c r="D7313" t="s">
        <v>17</v>
      </c>
      <c r="E7313" t="s">
        <v>18</v>
      </c>
      <c r="F7313" t="s">
        <v>19</v>
      </c>
      <c r="G7313" t="s">
        <v>20</v>
      </c>
      <c r="J7313" t="s">
        <v>17</v>
      </c>
      <c r="K7313" t="str">
        <f>"765323132"</f>
        <v>765323132</v>
      </c>
      <c r="L7313" t="str">
        <f>"765323132"</f>
        <v>765323132</v>
      </c>
      <c r="M7313" t="s">
        <v>75</v>
      </c>
      <c r="N7313" s="1">
        <v>42872.849305555559</v>
      </c>
      <c r="O7313" t="s">
        <v>19</v>
      </c>
    </row>
    <row r="7314" spans="1:15" x14ac:dyDescent="0.25">
      <c r="A7314" t="s">
        <v>5241</v>
      </c>
      <c r="B7314" t="s">
        <v>15</v>
      </c>
      <c r="C7314" t="s">
        <v>25</v>
      </c>
      <c r="D7314" t="s">
        <v>17</v>
      </c>
      <c r="E7314" t="s">
        <v>18</v>
      </c>
      <c r="F7314" t="s">
        <v>19</v>
      </c>
      <c r="G7314" t="s">
        <v>20</v>
      </c>
      <c r="J7314" t="s">
        <v>17</v>
      </c>
      <c r="K7314" t="str">
        <f>"765323246"</f>
        <v>765323246</v>
      </c>
      <c r="L7314" t="str">
        <f>"765323246"</f>
        <v>765323246</v>
      </c>
      <c r="M7314" t="s">
        <v>75</v>
      </c>
      <c r="N7314" s="1">
        <v>42872.849305555559</v>
      </c>
      <c r="O7314" t="s">
        <v>19</v>
      </c>
    </row>
    <row r="7315" spans="1:15" x14ac:dyDescent="0.25">
      <c r="A7315" t="s">
        <v>5242</v>
      </c>
      <c r="B7315" t="s">
        <v>15</v>
      </c>
      <c r="C7315" t="s">
        <v>25</v>
      </c>
      <c r="D7315" t="s">
        <v>17</v>
      </c>
      <c r="E7315" t="s">
        <v>18</v>
      </c>
      <c r="F7315" t="s">
        <v>19</v>
      </c>
      <c r="G7315" t="s">
        <v>20</v>
      </c>
      <c r="J7315" t="s">
        <v>17</v>
      </c>
      <c r="K7315" t="str">
        <f>"345323232"</f>
        <v>345323232</v>
      </c>
      <c r="L7315" t="str">
        <f>"345323232"</f>
        <v>345323232</v>
      </c>
      <c r="M7315" t="s">
        <v>75</v>
      </c>
      <c r="N7315" s="1">
        <v>42872.849305555559</v>
      </c>
      <c r="O7315" t="s">
        <v>19</v>
      </c>
    </row>
    <row r="7316" spans="1:15" x14ac:dyDescent="0.25">
      <c r="A7316" t="s">
        <v>5243</v>
      </c>
      <c r="B7316" t="s">
        <v>15</v>
      </c>
      <c r="C7316" t="s">
        <v>25</v>
      </c>
      <c r="D7316" t="s">
        <v>17</v>
      </c>
      <c r="E7316" t="s">
        <v>18</v>
      </c>
      <c r="F7316" t="s">
        <v>19</v>
      </c>
      <c r="G7316" t="s">
        <v>20</v>
      </c>
      <c r="J7316" t="s">
        <v>17</v>
      </c>
      <c r="K7316" t="str">
        <f>"763323232"</f>
        <v>763323232</v>
      </c>
      <c r="L7316" t="str">
        <f>"763323232"</f>
        <v>763323232</v>
      </c>
      <c r="M7316" t="s">
        <v>75</v>
      </c>
      <c r="N7316" s="1">
        <v>42872.849305555559</v>
      </c>
      <c r="O7316" t="s">
        <v>19</v>
      </c>
    </row>
    <row r="7317" spans="1:15" x14ac:dyDescent="0.25">
      <c r="A7317" t="s">
        <v>5243</v>
      </c>
      <c r="B7317" t="s">
        <v>15</v>
      </c>
      <c r="C7317" t="s">
        <v>25</v>
      </c>
      <c r="D7317" t="s">
        <v>17</v>
      </c>
      <c r="E7317" t="s">
        <v>18</v>
      </c>
      <c r="F7317" t="s">
        <v>19</v>
      </c>
      <c r="G7317" t="s">
        <v>20</v>
      </c>
      <c r="J7317" t="s">
        <v>17</v>
      </c>
      <c r="K7317" t="str">
        <f>"765323232"</f>
        <v>765323232</v>
      </c>
      <c r="L7317" t="str">
        <f>"765323232"</f>
        <v>765323232</v>
      </c>
      <c r="M7317" t="s">
        <v>75</v>
      </c>
      <c r="N7317" s="1">
        <v>42872.849305555559</v>
      </c>
      <c r="O7317" t="s">
        <v>19</v>
      </c>
    </row>
    <row r="7318" spans="1:15" x14ac:dyDescent="0.25">
      <c r="A7318" t="s">
        <v>5244</v>
      </c>
      <c r="B7318" t="s">
        <v>15</v>
      </c>
      <c r="C7318" t="s">
        <v>25</v>
      </c>
      <c r="D7318" t="s">
        <v>17</v>
      </c>
      <c r="E7318" t="s">
        <v>18</v>
      </c>
      <c r="F7318" t="s">
        <v>19</v>
      </c>
      <c r="G7318" t="s">
        <v>20</v>
      </c>
      <c r="J7318" t="s">
        <v>17</v>
      </c>
      <c r="K7318" t="str">
        <f>"345323267"</f>
        <v>345323267</v>
      </c>
      <c r="L7318" t="str">
        <f>"345323267"</f>
        <v>345323267</v>
      </c>
      <c r="M7318" t="s">
        <v>75</v>
      </c>
      <c r="N7318" s="1">
        <v>42872.849305555559</v>
      </c>
      <c r="O7318" t="s">
        <v>19</v>
      </c>
    </row>
    <row r="7319" spans="1:15" x14ac:dyDescent="0.25">
      <c r="A7319" t="s">
        <v>5245</v>
      </c>
      <c r="B7319" t="s">
        <v>15</v>
      </c>
      <c r="C7319" t="s">
        <v>25</v>
      </c>
      <c r="D7319" t="s">
        <v>17</v>
      </c>
      <c r="E7319" t="s">
        <v>18</v>
      </c>
      <c r="F7319" t="s">
        <v>19</v>
      </c>
      <c r="G7319" t="s">
        <v>20</v>
      </c>
      <c r="J7319" t="s">
        <v>17</v>
      </c>
      <c r="K7319" t="str">
        <f>"3345321255"</f>
        <v>3345321255</v>
      </c>
      <c r="L7319" t="str">
        <f>"3345321255"</f>
        <v>3345321255</v>
      </c>
      <c r="M7319" t="s">
        <v>75</v>
      </c>
      <c r="N7319" s="1">
        <v>42872.849305555559</v>
      </c>
      <c r="O7319" t="s">
        <v>19</v>
      </c>
    </row>
    <row r="7320" spans="1:15" x14ac:dyDescent="0.25">
      <c r="A7320" t="s">
        <v>5246</v>
      </c>
      <c r="B7320" t="s">
        <v>15</v>
      </c>
      <c r="C7320" t="s">
        <v>25</v>
      </c>
      <c r="D7320" t="s">
        <v>17</v>
      </c>
      <c r="E7320" t="s">
        <v>18</v>
      </c>
      <c r="F7320" t="s">
        <v>19</v>
      </c>
      <c r="G7320" t="s">
        <v>20</v>
      </c>
      <c r="J7320" t="s">
        <v>17</v>
      </c>
      <c r="K7320" t="str">
        <f>"175321160"</f>
        <v>175321160</v>
      </c>
      <c r="L7320" t="str">
        <f>"175321160"</f>
        <v>175321160</v>
      </c>
      <c r="M7320" t="s">
        <v>75</v>
      </c>
      <c r="N7320" s="1">
        <v>42872.849305555559</v>
      </c>
      <c r="O7320" t="s">
        <v>19</v>
      </c>
    </row>
    <row r="7321" spans="1:15" x14ac:dyDescent="0.25">
      <c r="A7321" t="s">
        <v>5246</v>
      </c>
      <c r="B7321" t="s">
        <v>15</v>
      </c>
      <c r="C7321" t="s">
        <v>25</v>
      </c>
      <c r="D7321" t="s">
        <v>17</v>
      </c>
      <c r="E7321" t="s">
        <v>18</v>
      </c>
      <c r="F7321" t="s">
        <v>19</v>
      </c>
      <c r="G7321" t="s">
        <v>20</v>
      </c>
      <c r="J7321" t="s">
        <v>17</v>
      </c>
      <c r="K7321" t="str">
        <f>"765321160"</f>
        <v>765321160</v>
      </c>
      <c r="L7321" t="str">
        <f>"765321160"</f>
        <v>765321160</v>
      </c>
      <c r="M7321" t="s">
        <v>75</v>
      </c>
      <c r="N7321" s="1">
        <v>42872.849305555559</v>
      </c>
      <c r="O7321" t="s">
        <v>19</v>
      </c>
    </row>
    <row r="7322" spans="1:15" x14ac:dyDescent="0.25">
      <c r="A7322" t="s">
        <v>5246</v>
      </c>
      <c r="B7322" t="s">
        <v>15</v>
      </c>
      <c r="C7322" t="s">
        <v>25</v>
      </c>
      <c r="D7322" t="s">
        <v>17</v>
      </c>
      <c r="E7322" t="s">
        <v>18</v>
      </c>
      <c r="F7322" t="s">
        <v>19</v>
      </c>
      <c r="G7322" t="s">
        <v>20</v>
      </c>
      <c r="J7322" t="s">
        <v>17</v>
      </c>
      <c r="K7322" t="str">
        <f>"343321160"</f>
        <v>343321160</v>
      </c>
      <c r="L7322" t="str">
        <f>"343321160"</f>
        <v>343321160</v>
      </c>
      <c r="M7322" t="s">
        <v>75</v>
      </c>
      <c r="N7322" s="1">
        <v>42872.849305555559</v>
      </c>
      <c r="O7322" t="s">
        <v>19</v>
      </c>
    </row>
    <row r="7323" spans="1:15" x14ac:dyDescent="0.25">
      <c r="A7323" t="s">
        <v>5246</v>
      </c>
      <c r="B7323" t="s">
        <v>15</v>
      </c>
      <c r="C7323" t="s">
        <v>25</v>
      </c>
      <c r="D7323" t="s">
        <v>17</v>
      </c>
      <c r="E7323" t="s">
        <v>18</v>
      </c>
      <c r="F7323" t="s">
        <v>19</v>
      </c>
      <c r="G7323" t="s">
        <v>20</v>
      </c>
      <c r="J7323" t="s">
        <v>17</v>
      </c>
      <c r="K7323" t="str">
        <f>"345321160"</f>
        <v>345321160</v>
      </c>
      <c r="L7323" t="str">
        <f>"345321160"</f>
        <v>345321160</v>
      </c>
      <c r="M7323" t="s">
        <v>75</v>
      </c>
      <c r="N7323" s="1">
        <v>42872.849305555559</v>
      </c>
      <c r="O7323" t="s">
        <v>19</v>
      </c>
    </row>
    <row r="7324" spans="1:15" x14ac:dyDescent="0.25">
      <c r="A7324" t="s">
        <v>5247</v>
      </c>
      <c r="B7324" t="s">
        <v>15</v>
      </c>
      <c r="C7324" t="s">
        <v>25</v>
      </c>
      <c r="D7324" t="s">
        <v>17</v>
      </c>
      <c r="E7324" t="s">
        <v>18</v>
      </c>
      <c r="F7324" t="s">
        <v>19</v>
      </c>
      <c r="G7324" t="s">
        <v>20</v>
      </c>
      <c r="J7324" t="s">
        <v>17</v>
      </c>
      <c r="K7324" t="str">
        <f>"345321203"</f>
        <v>345321203</v>
      </c>
      <c r="L7324" t="str">
        <f>"345321203"</f>
        <v>345321203</v>
      </c>
      <c r="M7324" t="s">
        <v>75</v>
      </c>
      <c r="N7324" s="1">
        <v>42872.849305555559</v>
      </c>
      <c r="O7324" t="s">
        <v>19</v>
      </c>
    </row>
    <row r="7325" spans="1:15" x14ac:dyDescent="0.25">
      <c r="A7325" t="s">
        <v>5248</v>
      </c>
      <c r="B7325" t="s">
        <v>15</v>
      </c>
      <c r="C7325" t="s">
        <v>25</v>
      </c>
      <c r="D7325" t="s">
        <v>17</v>
      </c>
      <c r="E7325" t="s">
        <v>18</v>
      </c>
      <c r="F7325" t="s">
        <v>19</v>
      </c>
      <c r="G7325" t="s">
        <v>20</v>
      </c>
      <c r="J7325" t="s">
        <v>17</v>
      </c>
      <c r="K7325" t="str">
        <f>"345321255"</f>
        <v>345321255</v>
      </c>
      <c r="L7325" t="str">
        <f>"345321255"</f>
        <v>345321255</v>
      </c>
      <c r="M7325" t="s">
        <v>75</v>
      </c>
      <c r="N7325" s="1">
        <v>42872.849305555559</v>
      </c>
      <c r="O7325" t="s">
        <v>19</v>
      </c>
    </row>
    <row r="7326" spans="1:15" x14ac:dyDescent="0.25">
      <c r="A7326" t="s">
        <v>5249</v>
      </c>
      <c r="B7326" t="s">
        <v>15</v>
      </c>
      <c r="C7326" t="s">
        <v>25</v>
      </c>
      <c r="D7326" t="s">
        <v>17</v>
      </c>
      <c r="E7326" t="s">
        <v>18</v>
      </c>
      <c r="F7326" t="s">
        <v>19</v>
      </c>
      <c r="G7326" t="s">
        <v>20</v>
      </c>
      <c r="J7326" t="s">
        <v>17</v>
      </c>
      <c r="K7326" t="str">
        <f>"345321120"</f>
        <v>345321120</v>
      </c>
      <c r="L7326" t="str">
        <f>"345321120"</f>
        <v>345321120</v>
      </c>
      <c r="M7326" t="s">
        <v>75</v>
      </c>
      <c r="N7326" s="1">
        <v>42872.849305555559</v>
      </c>
      <c r="O7326" t="s">
        <v>19</v>
      </c>
    </row>
    <row r="7327" spans="1:15" x14ac:dyDescent="0.25">
      <c r="A7327" t="s">
        <v>5250</v>
      </c>
      <c r="B7327" t="s">
        <v>15</v>
      </c>
      <c r="C7327" t="s">
        <v>25</v>
      </c>
      <c r="D7327" t="s">
        <v>17</v>
      </c>
      <c r="E7327" t="s">
        <v>18</v>
      </c>
      <c r="F7327" t="s">
        <v>19</v>
      </c>
      <c r="G7327" t="s">
        <v>20</v>
      </c>
      <c r="J7327" t="s">
        <v>17</v>
      </c>
      <c r="K7327" t="str">
        <f>"765321122"</f>
        <v>765321122</v>
      </c>
      <c r="L7327" t="str">
        <f>"765321122"</f>
        <v>765321122</v>
      </c>
      <c r="M7327" t="s">
        <v>75</v>
      </c>
      <c r="N7327" s="1">
        <v>42872.849305555559</v>
      </c>
      <c r="O7327" t="s">
        <v>19</v>
      </c>
    </row>
    <row r="7328" spans="1:15" x14ac:dyDescent="0.25">
      <c r="A7328" t="s">
        <v>5251</v>
      </c>
      <c r="B7328" t="s">
        <v>15</v>
      </c>
      <c r="C7328" t="s">
        <v>25</v>
      </c>
      <c r="D7328" t="s">
        <v>17</v>
      </c>
      <c r="E7328" t="s">
        <v>18</v>
      </c>
      <c r="F7328" t="s">
        <v>19</v>
      </c>
      <c r="G7328" t="s">
        <v>20</v>
      </c>
      <c r="J7328" t="s">
        <v>17</v>
      </c>
      <c r="K7328" t="str">
        <f>"175321126"</f>
        <v>175321126</v>
      </c>
      <c r="L7328" t="str">
        <f>"175321126"</f>
        <v>175321126</v>
      </c>
      <c r="M7328" t="s">
        <v>75</v>
      </c>
      <c r="N7328" s="1">
        <v>42872.849305555559</v>
      </c>
      <c r="O7328" t="s">
        <v>19</v>
      </c>
    </row>
    <row r="7329" spans="1:15" x14ac:dyDescent="0.25">
      <c r="A7329" t="s">
        <v>5251</v>
      </c>
      <c r="B7329" t="s">
        <v>15</v>
      </c>
      <c r="C7329" t="s">
        <v>25</v>
      </c>
      <c r="D7329" t="s">
        <v>17</v>
      </c>
      <c r="E7329" t="s">
        <v>18</v>
      </c>
      <c r="F7329" t="s">
        <v>19</v>
      </c>
      <c r="G7329" t="s">
        <v>20</v>
      </c>
      <c r="J7329" t="s">
        <v>17</v>
      </c>
      <c r="K7329" t="str">
        <f>"345321243"</f>
        <v>345321243</v>
      </c>
      <c r="L7329" t="str">
        <f>"345321243"</f>
        <v>345321243</v>
      </c>
      <c r="M7329" t="s">
        <v>75</v>
      </c>
      <c r="N7329" s="1">
        <v>42872.849305555559</v>
      </c>
      <c r="O7329" t="s">
        <v>19</v>
      </c>
    </row>
    <row r="7330" spans="1:15" x14ac:dyDescent="0.25">
      <c r="A7330" t="s">
        <v>5251</v>
      </c>
      <c r="B7330" t="s">
        <v>15</v>
      </c>
      <c r="C7330" t="s">
        <v>25</v>
      </c>
      <c r="D7330" t="s">
        <v>17</v>
      </c>
      <c r="E7330" t="s">
        <v>18</v>
      </c>
      <c r="F7330" t="s">
        <v>19</v>
      </c>
      <c r="G7330" t="s">
        <v>20</v>
      </c>
      <c r="J7330" t="s">
        <v>17</v>
      </c>
      <c r="K7330" t="str">
        <f>"765321243"</f>
        <v>765321243</v>
      </c>
      <c r="L7330" t="str">
        <f>"765321243"</f>
        <v>765321243</v>
      </c>
      <c r="M7330" t="s">
        <v>75</v>
      </c>
      <c r="N7330" s="1">
        <v>42872.849305555559</v>
      </c>
      <c r="O7330" t="s">
        <v>19</v>
      </c>
    </row>
    <row r="7331" spans="1:15" x14ac:dyDescent="0.25">
      <c r="A7331" t="s">
        <v>5252</v>
      </c>
      <c r="B7331" t="s">
        <v>15</v>
      </c>
      <c r="C7331" t="s">
        <v>25</v>
      </c>
      <c r="D7331" t="s">
        <v>17</v>
      </c>
      <c r="E7331" t="s">
        <v>18</v>
      </c>
      <c r="F7331" t="s">
        <v>19</v>
      </c>
      <c r="G7331" t="s">
        <v>20</v>
      </c>
      <c r="J7331" t="s">
        <v>17</v>
      </c>
      <c r="K7331" t="str">
        <f>"345321267"</f>
        <v>345321267</v>
      </c>
      <c r="L7331" t="str">
        <f>"345321267"</f>
        <v>345321267</v>
      </c>
      <c r="M7331" t="s">
        <v>75</v>
      </c>
      <c r="N7331" s="1">
        <v>42872.849305555559</v>
      </c>
      <c r="O7331" t="s">
        <v>19</v>
      </c>
    </row>
    <row r="7332" spans="1:15" x14ac:dyDescent="0.25">
      <c r="A7332" t="s">
        <v>5253</v>
      </c>
      <c r="B7332" t="s">
        <v>15</v>
      </c>
      <c r="C7332" t="s">
        <v>25</v>
      </c>
      <c r="D7332" t="s">
        <v>17</v>
      </c>
      <c r="E7332" t="s">
        <v>18</v>
      </c>
      <c r="F7332" t="s">
        <v>19</v>
      </c>
      <c r="G7332" t="s">
        <v>20</v>
      </c>
      <c r="J7332" t="s">
        <v>17</v>
      </c>
      <c r="K7332" t="str">
        <f>"345305157"</f>
        <v>345305157</v>
      </c>
      <c r="L7332" t="str">
        <f>"345305157"</f>
        <v>345305157</v>
      </c>
      <c r="M7332" t="s">
        <v>75</v>
      </c>
      <c r="N7332" s="1">
        <v>42872.849305555559</v>
      </c>
      <c r="O7332" t="s">
        <v>19</v>
      </c>
    </row>
    <row r="7333" spans="1:15" x14ac:dyDescent="0.25">
      <c r="A7333" t="s">
        <v>5254</v>
      </c>
      <c r="B7333" t="s">
        <v>15</v>
      </c>
      <c r="C7333" t="s">
        <v>25</v>
      </c>
      <c r="D7333" t="s">
        <v>17</v>
      </c>
      <c r="E7333" t="s">
        <v>18</v>
      </c>
      <c r="F7333" t="s">
        <v>19</v>
      </c>
      <c r="G7333" t="s">
        <v>20</v>
      </c>
      <c r="J7333" t="s">
        <v>17</v>
      </c>
      <c r="K7333" t="str">
        <f>"17530568"</f>
        <v>17530568</v>
      </c>
      <c r="L7333" t="str">
        <f>"17530568"</f>
        <v>17530568</v>
      </c>
      <c r="M7333" t="s">
        <v>75</v>
      </c>
      <c r="N7333" s="1">
        <v>42872.839583333334</v>
      </c>
      <c r="O7333" t="s">
        <v>19</v>
      </c>
    </row>
    <row r="7334" spans="1:15" x14ac:dyDescent="0.25">
      <c r="A7334" t="s">
        <v>5254</v>
      </c>
      <c r="B7334" t="s">
        <v>15</v>
      </c>
      <c r="C7334" t="s">
        <v>25</v>
      </c>
      <c r="D7334" t="s">
        <v>17</v>
      </c>
      <c r="E7334" t="s">
        <v>18</v>
      </c>
      <c r="F7334" t="s">
        <v>19</v>
      </c>
      <c r="G7334" t="s">
        <v>20</v>
      </c>
      <c r="J7334" t="s">
        <v>17</v>
      </c>
      <c r="K7334" t="str">
        <f>"34330568"</f>
        <v>34330568</v>
      </c>
      <c r="L7334" t="str">
        <f>"34330568"</f>
        <v>34330568</v>
      </c>
      <c r="M7334" t="s">
        <v>75</v>
      </c>
      <c r="N7334" s="1">
        <v>43116.693055555559</v>
      </c>
      <c r="O7334" t="s">
        <v>19</v>
      </c>
    </row>
    <row r="7335" spans="1:15" x14ac:dyDescent="0.25">
      <c r="A7335" t="s">
        <v>5254</v>
      </c>
      <c r="B7335" t="s">
        <v>15</v>
      </c>
      <c r="C7335" t="s">
        <v>25</v>
      </c>
      <c r="D7335" t="s">
        <v>17</v>
      </c>
      <c r="E7335" t="s">
        <v>18</v>
      </c>
      <c r="F7335" t="s">
        <v>19</v>
      </c>
      <c r="G7335" t="s">
        <v>20</v>
      </c>
      <c r="J7335" t="s">
        <v>17</v>
      </c>
      <c r="K7335" t="str">
        <f>"17330568"</f>
        <v>17330568</v>
      </c>
      <c r="L7335" t="str">
        <f>"17330568"</f>
        <v>17330568</v>
      </c>
      <c r="M7335" t="s">
        <v>84</v>
      </c>
      <c r="N7335" s="1">
        <v>43267.835416666669</v>
      </c>
      <c r="O7335" t="s">
        <v>19</v>
      </c>
    </row>
    <row r="7336" spans="1:15" x14ac:dyDescent="0.25">
      <c r="A7336" t="s">
        <v>5255</v>
      </c>
      <c r="B7336" t="s">
        <v>15</v>
      </c>
      <c r="C7336" t="s">
        <v>25</v>
      </c>
      <c r="D7336" t="s">
        <v>17</v>
      </c>
      <c r="E7336" t="s">
        <v>18</v>
      </c>
      <c r="F7336" t="s">
        <v>19</v>
      </c>
      <c r="G7336" t="s">
        <v>20</v>
      </c>
      <c r="J7336" t="s">
        <v>17</v>
      </c>
      <c r="K7336" t="str">
        <f>"34530568"</f>
        <v>34530568</v>
      </c>
      <c r="L7336" t="str">
        <f>"34530568"</f>
        <v>34530568</v>
      </c>
      <c r="M7336" t="s">
        <v>75</v>
      </c>
      <c r="N7336" s="1">
        <v>42872.839583333334</v>
      </c>
      <c r="O7336" t="s">
        <v>19</v>
      </c>
    </row>
    <row r="7337" spans="1:15" x14ac:dyDescent="0.25">
      <c r="A7337" t="s">
        <v>5255</v>
      </c>
      <c r="B7337" t="s">
        <v>15</v>
      </c>
      <c r="C7337" t="s">
        <v>25</v>
      </c>
      <c r="D7337" t="s">
        <v>17</v>
      </c>
      <c r="E7337" t="s">
        <v>18</v>
      </c>
      <c r="F7337" t="s">
        <v>19</v>
      </c>
      <c r="G7337" t="s">
        <v>20</v>
      </c>
      <c r="J7337" t="s">
        <v>17</v>
      </c>
      <c r="K7337" t="str">
        <f>"76330568"</f>
        <v>76330568</v>
      </c>
      <c r="L7337" t="str">
        <f>"76330568"</f>
        <v>76330568</v>
      </c>
      <c r="M7337" t="s">
        <v>75</v>
      </c>
      <c r="N7337" s="1">
        <v>42872.847222222219</v>
      </c>
      <c r="O7337" t="s">
        <v>19</v>
      </c>
    </row>
    <row r="7338" spans="1:15" x14ac:dyDescent="0.25">
      <c r="A7338" t="s">
        <v>5255</v>
      </c>
      <c r="B7338" t="s">
        <v>15</v>
      </c>
      <c r="C7338" t="s">
        <v>25</v>
      </c>
      <c r="D7338" t="s">
        <v>17</v>
      </c>
      <c r="E7338" t="s">
        <v>18</v>
      </c>
      <c r="F7338" t="s">
        <v>19</v>
      </c>
      <c r="G7338" t="s">
        <v>20</v>
      </c>
      <c r="J7338" t="s">
        <v>17</v>
      </c>
      <c r="K7338" t="str">
        <f>"76530568"</f>
        <v>76530568</v>
      </c>
      <c r="L7338" t="str">
        <f>"76530568"</f>
        <v>76530568</v>
      </c>
      <c r="M7338" t="s">
        <v>75</v>
      </c>
      <c r="N7338" s="1">
        <v>42872.847222222219</v>
      </c>
      <c r="O7338" t="s">
        <v>19</v>
      </c>
    </row>
    <row r="7339" spans="1:15" x14ac:dyDescent="0.25">
      <c r="A7339" t="s">
        <v>5256</v>
      </c>
      <c r="B7339" t="s">
        <v>15</v>
      </c>
      <c r="C7339" t="s">
        <v>25</v>
      </c>
      <c r="D7339" t="s">
        <v>17</v>
      </c>
      <c r="E7339" t="s">
        <v>18</v>
      </c>
      <c r="F7339" t="s">
        <v>19</v>
      </c>
      <c r="G7339" t="s">
        <v>20</v>
      </c>
      <c r="J7339" t="s">
        <v>17</v>
      </c>
      <c r="K7339" t="str">
        <f>"17530569"</f>
        <v>17530569</v>
      </c>
      <c r="L7339" t="str">
        <f>"17530569"</f>
        <v>17530569</v>
      </c>
      <c r="M7339" t="s">
        <v>75</v>
      </c>
      <c r="N7339" s="1">
        <v>42872.839583333334</v>
      </c>
      <c r="O7339" t="s">
        <v>19</v>
      </c>
    </row>
    <row r="7340" spans="1:15" x14ac:dyDescent="0.25">
      <c r="A7340" t="s">
        <v>5256</v>
      </c>
      <c r="B7340" t="s">
        <v>15</v>
      </c>
      <c r="C7340" t="s">
        <v>25</v>
      </c>
      <c r="D7340" t="s">
        <v>17</v>
      </c>
      <c r="E7340" t="s">
        <v>18</v>
      </c>
      <c r="F7340" t="s">
        <v>19</v>
      </c>
      <c r="G7340" t="s">
        <v>20</v>
      </c>
      <c r="J7340" t="s">
        <v>17</v>
      </c>
      <c r="K7340" t="str">
        <f>"34330569"</f>
        <v>34330569</v>
      </c>
      <c r="L7340" t="str">
        <f>"34330569"</f>
        <v>34330569</v>
      </c>
      <c r="M7340" t="s">
        <v>75</v>
      </c>
      <c r="N7340" s="1">
        <v>42872.839583333334</v>
      </c>
      <c r="O7340" t="s">
        <v>19</v>
      </c>
    </row>
    <row r="7341" spans="1:15" x14ac:dyDescent="0.25">
      <c r="A7341" t="s">
        <v>5256</v>
      </c>
      <c r="B7341" t="s">
        <v>15</v>
      </c>
      <c r="C7341" t="s">
        <v>25</v>
      </c>
      <c r="D7341" t="s">
        <v>17</v>
      </c>
      <c r="E7341" t="s">
        <v>18</v>
      </c>
      <c r="F7341" t="s">
        <v>19</v>
      </c>
      <c r="G7341" t="s">
        <v>20</v>
      </c>
      <c r="J7341" t="s">
        <v>17</v>
      </c>
      <c r="K7341" t="str">
        <f>"34530569"</f>
        <v>34530569</v>
      </c>
      <c r="L7341" t="str">
        <f>"34530569"</f>
        <v>34530569</v>
      </c>
      <c r="M7341" t="s">
        <v>75</v>
      </c>
      <c r="N7341" s="1">
        <v>42872.839583333334</v>
      </c>
      <c r="O7341" t="s">
        <v>19</v>
      </c>
    </row>
    <row r="7342" spans="1:15" x14ac:dyDescent="0.25">
      <c r="A7342" t="s">
        <v>5256</v>
      </c>
      <c r="B7342" t="s">
        <v>15</v>
      </c>
      <c r="C7342" t="s">
        <v>25</v>
      </c>
      <c r="D7342" t="s">
        <v>17</v>
      </c>
      <c r="E7342" t="s">
        <v>18</v>
      </c>
      <c r="F7342" t="s">
        <v>19</v>
      </c>
      <c r="G7342" t="s">
        <v>20</v>
      </c>
      <c r="J7342" t="s">
        <v>17</v>
      </c>
      <c r="K7342" t="str">
        <f>"76530569"</f>
        <v>76530569</v>
      </c>
      <c r="L7342" t="str">
        <f>"76530569"</f>
        <v>76530569</v>
      </c>
      <c r="M7342" t="s">
        <v>75</v>
      </c>
      <c r="N7342" s="1">
        <v>42872.847222222219</v>
      </c>
      <c r="O7342" t="s">
        <v>19</v>
      </c>
    </row>
    <row r="7343" spans="1:15" x14ac:dyDescent="0.25">
      <c r="A7343" t="s">
        <v>5256</v>
      </c>
      <c r="B7343" t="s">
        <v>15</v>
      </c>
      <c r="C7343" t="s">
        <v>25</v>
      </c>
      <c r="D7343" t="s">
        <v>17</v>
      </c>
      <c r="E7343" t="s">
        <v>18</v>
      </c>
      <c r="F7343" t="s">
        <v>19</v>
      </c>
      <c r="G7343" t="s">
        <v>20</v>
      </c>
      <c r="J7343" t="s">
        <v>17</v>
      </c>
      <c r="K7343" t="str">
        <f>"76330569"</f>
        <v>76330569</v>
      </c>
      <c r="L7343" t="str">
        <f>"76330569"</f>
        <v>76330569</v>
      </c>
      <c r="M7343" t="s">
        <v>75</v>
      </c>
      <c r="N7343" s="1">
        <v>42893.931944444441</v>
      </c>
      <c r="O7343" t="s">
        <v>19</v>
      </c>
    </row>
    <row r="7344" spans="1:15" x14ac:dyDescent="0.25">
      <c r="A7344" t="s">
        <v>5256</v>
      </c>
      <c r="B7344" t="s">
        <v>15</v>
      </c>
      <c r="C7344" t="s">
        <v>25</v>
      </c>
      <c r="D7344" t="s">
        <v>17</v>
      </c>
      <c r="E7344" t="s">
        <v>18</v>
      </c>
      <c r="F7344" t="s">
        <v>19</v>
      </c>
      <c r="G7344" t="s">
        <v>20</v>
      </c>
      <c r="J7344" t="s">
        <v>17</v>
      </c>
      <c r="K7344" t="str">
        <f>"17330569"</f>
        <v>17330569</v>
      </c>
      <c r="L7344" t="str">
        <f>"17330569"</f>
        <v>17330569</v>
      </c>
      <c r="M7344" t="s">
        <v>75</v>
      </c>
      <c r="N7344" s="1">
        <v>43131.929861111108</v>
      </c>
      <c r="O7344" t="s">
        <v>19</v>
      </c>
    </row>
    <row r="7345" spans="1:15" x14ac:dyDescent="0.25">
      <c r="A7345" t="s">
        <v>5257</v>
      </c>
      <c r="B7345" t="s">
        <v>15</v>
      </c>
      <c r="C7345" t="s">
        <v>25</v>
      </c>
      <c r="D7345" t="s">
        <v>17</v>
      </c>
      <c r="E7345" t="s">
        <v>18</v>
      </c>
      <c r="F7345" t="s">
        <v>19</v>
      </c>
      <c r="G7345" t="s">
        <v>20</v>
      </c>
      <c r="J7345" t="s">
        <v>17</v>
      </c>
      <c r="K7345" t="str">
        <f>"76530567"</f>
        <v>76530567</v>
      </c>
      <c r="L7345" t="str">
        <f>"76530567"</f>
        <v>76530567</v>
      </c>
      <c r="M7345" t="s">
        <v>75</v>
      </c>
      <c r="N7345" s="1">
        <v>42872.847222222219</v>
      </c>
      <c r="O7345" t="s">
        <v>19</v>
      </c>
    </row>
    <row r="7346" spans="1:15" x14ac:dyDescent="0.25">
      <c r="A7346" t="s">
        <v>5257</v>
      </c>
      <c r="B7346" t="s">
        <v>15</v>
      </c>
      <c r="C7346" t="s">
        <v>25</v>
      </c>
      <c r="D7346" t="s">
        <v>17</v>
      </c>
      <c r="E7346" t="s">
        <v>18</v>
      </c>
      <c r="F7346" t="s">
        <v>19</v>
      </c>
      <c r="G7346" t="s">
        <v>20</v>
      </c>
      <c r="J7346" t="s">
        <v>17</v>
      </c>
      <c r="K7346" t="str">
        <f>"765305119"</f>
        <v>765305119</v>
      </c>
      <c r="L7346" t="str">
        <f>"765305119"</f>
        <v>765305119</v>
      </c>
      <c r="M7346" t="s">
        <v>75</v>
      </c>
      <c r="N7346" s="1">
        <v>42872.849305555559</v>
      </c>
      <c r="O7346" t="s">
        <v>19</v>
      </c>
    </row>
    <row r="7347" spans="1:15" x14ac:dyDescent="0.25">
      <c r="A7347" t="s">
        <v>5258</v>
      </c>
      <c r="B7347" t="s">
        <v>15</v>
      </c>
      <c r="C7347" t="s">
        <v>25</v>
      </c>
      <c r="D7347" t="s">
        <v>17</v>
      </c>
      <c r="E7347" t="s">
        <v>18</v>
      </c>
      <c r="F7347" t="s">
        <v>19</v>
      </c>
      <c r="G7347" t="s">
        <v>20</v>
      </c>
      <c r="J7347" t="s">
        <v>17</v>
      </c>
      <c r="K7347" t="str">
        <f>"34530567"</f>
        <v>34530567</v>
      </c>
      <c r="L7347" t="str">
        <f>"34530567"</f>
        <v>34530567</v>
      </c>
      <c r="M7347" t="s">
        <v>75</v>
      </c>
      <c r="N7347" s="1">
        <v>42872.839583333334</v>
      </c>
      <c r="O7347" t="s">
        <v>19</v>
      </c>
    </row>
    <row r="7348" spans="1:15" x14ac:dyDescent="0.25">
      <c r="A7348" t="s">
        <v>5259</v>
      </c>
      <c r="B7348" t="s">
        <v>15</v>
      </c>
      <c r="C7348" t="s">
        <v>25</v>
      </c>
      <c r="D7348" t="s">
        <v>17</v>
      </c>
      <c r="E7348" t="s">
        <v>18</v>
      </c>
      <c r="F7348" t="s">
        <v>19</v>
      </c>
      <c r="G7348" t="s">
        <v>20</v>
      </c>
      <c r="J7348" t="s">
        <v>17</v>
      </c>
      <c r="K7348" t="str">
        <f>"765305157"</f>
        <v>765305157</v>
      </c>
      <c r="L7348" t="str">
        <f>"765305157"</f>
        <v>765305157</v>
      </c>
      <c r="M7348" t="s">
        <v>75</v>
      </c>
      <c r="N7348" s="1">
        <v>42872.849305555559</v>
      </c>
      <c r="O7348" t="s">
        <v>19</v>
      </c>
    </row>
    <row r="7349" spans="1:15" x14ac:dyDescent="0.25">
      <c r="A7349" t="s">
        <v>5260</v>
      </c>
      <c r="B7349" t="s">
        <v>15</v>
      </c>
      <c r="C7349" t="s">
        <v>25</v>
      </c>
      <c r="D7349" t="s">
        <v>17</v>
      </c>
      <c r="E7349" t="s">
        <v>18</v>
      </c>
      <c r="F7349" t="s">
        <v>19</v>
      </c>
      <c r="G7349" t="s">
        <v>20</v>
      </c>
      <c r="J7349" t="s">
        <v>17</v>
      </c>
      <c r="K7349" t="str">
        <f>"17530570"</f>
        <v>17530570</v>
      </c>
      <c r="L7349" t="str">
        <f>"17530570"</f>
        <v>17530570</v>
      </c>
      <c r="M7349" t="s">
        <v>75</v>
      </c>
      <c r="N7349" s="1">
        <v>42872.839583333334</v>
      </c>
      <c r="O7349" t="s">
        <v>19</v>
      </c>
    </row>
    <row r="7350" spans="1:15" x14ac:dyDescent="0.25">
      <c r="A7350" t="s">
        <v>5260</v>
      </c>
      <c r="B7350" t="s">
        <v>15</v>
      </c>
      <c r="C7350" t="s">
        <v>25</v>
      </c>
      <c r="D7350" t="s">
        <v>17</v>
      </c>
      <c r="E7350" t="s">
        <v>18</v>
      </c>
      <c r="F7350" t="s">
        <v>19</v>
      </c>
      <c r="G7350" t="s">
        <v>20</v>
      </c>
      <c r="J7350" t="s">
        <v>17</v>
      </c>
      <c r="K7350" t="str">
        <f>"34530570"</f>
        <v>34530570</v>
      </c>
      <c r="L7350" t="str">
        <f>"34530570"</f>
        <v>34530570</v>
      </c>
      <c r="M7350" t="s">
        <v>75</v>
      </c>
      <c r="N7350" s="1">
        <v>42872.839583333334</v>
      </c>
      <c r="O7350" t="s">
        <v>19</v>
      </c>
    </row>
    <row r="7351" spans="1:15" x14ac:dyDescent="0.25">
      <c r="A7351" t="s">
        <v>5260</v>
      </c>
      <c r="B7351" t="s">
        <v>15</v>
      </c>
      <c r="C7351" t="s">
        <v>25</v>
      </c>
      <c r="D7351" t="s">
        <v>17</v>
      </c>
      <c r="E7351" t="s">
        <v>18</v>
      </c>
      <c r="F7351" t="s">
        <v>19</v>
      </c>
      <c r="G7351" t="s">
        <v>20</v>
      </c>
      <c r="J7351" t="s">
        <v>17</v>
      </c>
      <c r="K7351" t="str">
        <f>"76330570"</f>
        <v>76330570</v>
      </c>
      <c r="L7351" t="str">
        <f>"76330570"</f>
        <v>76330570</v>
      </c>
      <c r="M7351" t="s">
        <v>75</v>
      </c>
      <c r="N7351" s="1">
        <v>42872.847222222219</v>
      </c>
      <c r="O7351" t="s">
        <v>19</v>
      </c>
    </row>
    <row r="7352" spans="1:15" x14ac:dyDescent="0.25">
      <c r="A7352" t="s">
        <v>5261</v>
      </c>
      <c r="B7352" t="s">
        <v>15</v>
      </c>
      <c r="C7352" t="s">
        <v>25</v>
      </c>
      <c r="D7352" t="s">
        <v>17</v>
      </c>
      <c r="E7352" t="s">
        <v>18</v>
      </c>
      <c r="F7352" t="s">
        <v>19</v>
      </c>
      <c r="G7352" t="s">
        <v>20</v>
      </c>
      <c r="J7352" t="s">
        <v>17</v>
      </c>
      <c r="K7352" t="str">
        <f>"76530570"</f>
        <v>76530570</v>
      </c>
      <c r="L7352" t="str">
        <f>"76530570"</f>
        <v>76530570</v>
      </c>
      <c r="M7352" t="s">
        <v>75</v>
      </c>
      <c r="N7352" s="1">
        <v>42872.847222222219</v>
      </c>
      <c r="O7352" t="s">
        <v>19</v>
      </c>
    </row>
    <row r="7353" spans="1:15" x14ac:dyDescent="0.25">
      <c r="A7353" t="s">
        <v>5260</v>
      </c>
      <c r="B7353" t="s">
        <v>15</v>
      </c>
      <c r="C7353" t="s">
        <v>25</v>
      </c>
      <c r="D7353" t="s">
        <v>17</v>
      </c>
      <c r="E7353" t="s">
        <v>18</v>
      </c>
      <c r="F7353" t="s">
        <v>19</v>
      </c>
      <c r="G7353" t="s">
        <v>20</v>
      </c>
      <c r="J7353" t="s">
        <v>17</v>
      </c>
      <c r="K7353" t="str">
        <f>"765305207"</f>
        <v>765305207</v>
      </c>
      <c r="L7353" t="str">
        <f>"765305207"</f>
        <v>765305207</v>
      </c>
      <c r="M7353" t="s">
        <v>75</v>
      </c>
      <c r="N7353" s="1">
        <v>42872.849305555559</v>
      </c>
      <c r="O7353" t="s">
        <v>19</v>
      </c>
    </row>
    <row r="7354" spans="1:15" x14ac:dyDescent="0.25">
      <c r="A7354" t="s">
        <v>5262</v>
      </c>
      <c r="B7354" t="s">
        <v>15</v>
      </c>
      <c r="C7354" t="s">
        <v>25</v>
      </c>
      <c r="D7354" t="s">
        <v>17</v>
      </c>
      <c r="E7354" t="s">
        <v>18</v>
      </c>
      <c r="F7354" t="s">
        <v>19</v>
      </c>
      <c r="G7354" t="s">
        <v>20</v>
      </c>
      <c r="J7354" t="s">
        <v>17</v>
      </c>
      <c r="K7354" t="str">
        <f>"34530550"</f>
        <v>34530550</v>
      </c>
      <c r="L7354" t="str">
        <f>"34530550"</f>
        <v>34530550</v>
      </c>
      <c r="M7354" t="s">
        <v>75</v>
      </c>
      <c r="N7354" s="1">
        <v>42872.839583333334</v>
      </c>
      <c r="O7354" t="s">
        <v>19</v>
      </c>
    </row>
    <row r="7355" spans="1:15" x14ac:dyDescent="0.25">
      <c r="A7355" t="s">
        <v>5263</v>
      </c>
      <c r="B7355" t="s">
        <v>15</v>
      </c>
      <c r="C7355" t="s">
        <v>25</v>
      </c>
      <c r="D7355" t="s">
        <v>17</v>
      </c>
      <c r="E7355" t="s">
        <v>18</v>
      </c>
      <c r="F7355" t="s">
        <v>19</v>
      </c>
      <c r="G7355" t="s">
        <v>20</v>
      </c>
      <c r="J7355" t="s">
        <v>17</v>
      </c>
      <c r="K7355" t="str">
        <f>"765305257"</f>
        <v>765305257</v>
      </c>
      <c r="L7355" t="str">
        <f>"765305257"</f>
        <v>765305257</v>
      </c>
      <c r="M7355" t="s">
        <v>75</v>
      </c>
      <c r="N7355" s="1">
        <v>42872.849305555559</v>
      </c>
      <c r="O7355" t="s">
        <v>19</v>
      </c>
    </row>
    <row r="7356" spans="1:15" x14ac:dyDescent="0.25">
      <c r="A7356" t="s">
        <v>5264</v>
      </c>
      <c r="B7356" t="s">
        <v>15</v>
      </c>
      <c r="C7356" t="s">
        <v>25</v>
      </c>
      <c r="D7356" t="s">
        <v>17</v>
      </c>
      <c r="E7356" t="s">
        <v>18</v>
      </c>
      <c r="F7356" t="s">
        <v>19</v>
      </c>
      <c r="G7356" t="s">
        <v>20</v>
      </c>
      <c r="J7356" t="s">
        <v>17</v>
      </c>
      <c r="K7356" t="str">
        <f>"76530521"</f>
        <v>76530521</v>
      </c>
      <c r="L7356" t="str">
        <f>"76530521"</f>
        <v>76530521</v>
      </c>
      <c r="M7356" t="s">
        <v>75</v>
      </c>
      <c r="N7356" s="1">
        <v>42872.847222222219</v>
      </c>
      <c r="O7356" t="s">
        <v>19</v>
      </c>
    </row>
    <row r="7357" spans="1:15" x14ac:dyDescent="0.25">
      <c r="A7357" t="s">
        <v>5264</v>
      </c>
      <c r="B7357" t="s">
        <v>15</v>
      </c>
      <c r="C7357" t="s">
        <v>25</v>
      </c>
      <c r="D7357" t="s">
        <v>17</v>
      </c>
      <c r="E7357" t="s">
        <v>18</v>
      </c>
      <c r="F7357" t="s">
        <v>19</v>
      </c>
      <c r="G7357" t="s">
        <v>20</v>
      </c>
      <c r="J7357" t="s">
        <v>17</v>
      </c>
      <c r="K7357" t="str">
        <f>"345305216"</f>
        <v>345305216</v>
      </c>
      <c r="L7357" t="str">
        <f>"345305216"</f>
        <v>345305216</v>
      </c>
      <c r="M7357" t="s">
        <v>75</v>
      </c>
      <c r="N7357" s="1">
        <v>42872.849305555559</v>
      </c>
      <c r="O7357" t="s">
        <v>19</v>
      </c>
    </row>
    <row r="7358" spans="1:15" x14ac:dyDescent="0.25">
      <c r="A7358" t="s">
        <v>5264</v>
      </c>
      <c r="B7358" t="s">
        <v>15</v>
      </c>
      <c r="C7358" t="s">
        <v>25</v>
      </c>
      <c r="D7358" t="s">
        <v>17</v>
      </c>
      <c r="E7358" t="s">
        <v>18</v>
      </c>
      <c r="F7358" t="s">
        <v>19</v>
      </c>
      <c r="G7358" t="s">
        <v>20</v>
      </c>
      <c r="J7358" t="s">
        <v>17</v>
      </c>
      <c r="K7358" t="str">
        <f>"763305216"</f>
        <v>763305216</v>
      </c>
      <c r="L7358" t="str">
        <f>"763305216"</f>
        <v>763305216</v>
      </c>
      <c r="M7358" t="s">
        <v>75</v>
      </c>
      <c r="N7358" s="1">
        <v>42872.849305555559</v>
      </c>
      <c r="O7358" t="s">
        <v>19</v>
      </c>
    </row>
    <row r="7359" spans="1:15" x14ac:dyDescent="0.25">
      <c r="A7359" t="s">
        <v>5264</v>
      </c>
      <c r="B7359" t="s">
        <v>15</v>
      </c>
      <c r="C7359" t="s">
        <v>25</v>
      </c>
      <c r="D7359" t="s">
        <v>17</v>
      </c>
      <c r="E7359" t="s">
        <v>18</v>
      </c>
      <c r="F7359" t="s">
        <v>19</v>
      </c>
      <c r="G7359" t="s">
        <v>20</v>
      </c>
      <c r="J7359" t="s">
        <v>17</v>
      </c>
      <c r="K7359" t="str">
        <f>"765305216"</f>
        <v>765305216</v>
      </c>
      <c r="L7359" t="str">
        <f>"765305216"</f>
        <v>765305216</v>
      </c>
      <c r="M7359" t="s">
        <v>75</v>
      </c>
      <c r="N7359" s="1">
        <v>42872.849305555559</v>
      </c>
      <c r="O7359" t="s">
        <v>19</v>
      </c>
    </row>
    <row r="7360" spans="1:15" x14ac:dyDescent="0.25">
      <c r="A7360" t="s">
        <v>5265</v>
      </c>
      <c r="B7360" t="s">
        <v>15</v>
      </c>
      <c r="C7360" t="s">
        <v>25</v>
      </c>
      <c r="D7360" t="s">
        <v>17</v>
      </c>
      <c r="E7360" t="s">
        <v>18</v>
      </c>
      <c r="F7360" t="s">
        <v>19</v>
      </c>
      <c r="G7360" t="s">
        <v>20</v>
      </c>
      <c r="J7360" t="s">
        <v>17</v>
      </c>
      <c r="K7360" t="str">
        <f>"345305196"</f>
        <v>345305196</v>
      </c>
      <c r="L7360" t="str">
        <f>"345305196"</f>
        <v>345305196</v>
      </c>
      <c r="M7360" t="s">
        <v>75</v>
      </c>
      <c r="N7360" s="1">
        <v>42872.849305555559</v>
      </c>
      <c r="O7360" t="s">
        <v>19</v>
      </c>
    </row>
    <row r="7361" spans="1:15" x14ac:dyDescent="0.25">
      <c r="A7361" t="s">
        <v>5265</v>
      </c>
      <c r="B7361" t="s">
        <v>15</v>
      </c>
      <c r="C7361" t="s">
        <v>25</v>
      </c>
      <c r="D7361" t="s">
        <v>17</v>
      </c>
      <c r="E7361" t="s">
        <v>18</v>
      </c>
      <c r="F7361" t="s">
        <v>19</v>
      </c>
      <c r="G7361" t="s">
        <v>20</v>
      </c>
      <c r="J7361" t="s">
        <v>17</v>
      </c>
      <c r="K7361" t="str">
        <f>"763305196"</f>
        <v>763305196</v>
      </c>
      <c r="L7361" t="str">
        <f>"763305196"</f>
        <v>763305196</v>
      </c>
      <c r="M7361" t="s">
        <v>75</v>
      </c>
      <c r="N7361" s="1">
        <v>42872.849305555559</v>
      </c>
      <c r="O7361" t="s">
        <v>19</v>
      </c>
    </row>
    <row r="7362" spans="1:15" x14ac:dyDescent="0.25">
      <c r="A7362" t="s">
        <v>5265</v>
      </c>
      <c r="B7362" t="s">
        <v>15</v>
      </c>
      <c r="C7362" t="s">
        <v>25</v>
      </c>
      <c r="D7362" t="s">
        <v>17</v>
      </c>
      <c r="E7362" t="s">
        <v>18</v>
      </c>
      <c r="F7362" t="s">
        <v>19</v>
      </c>
      <c r="G7362" t="s">
        <v>20</v>
      </c>
      <c r="J7362" t="s">
        <v>17</v>
      </c>
      <c r="K7362" t="str">
        <f>"765305196"</f>
        <v>765305196</v>
      </c>
      <c r="L7362" t="str">
        <f>"765305196"</f>
        <v>765305196</v>
      </c>
      <c r="M7362" t="s">
        <v>75</v>
      </c>
      <c r="N7362" s="1">
        <v>42872.849305555559</v>
      </c>
      <c r="O7362" t="s">
        <v>19</v>
      </c>
    </row>
    <row r="7363" spans="1:15" x14ac:dyDescent="0.25">
      <c r="A7363" t="s">
        <v>5265</v>
      </c>
      <c r="B7363" t="s">
        <v>15</v>
      </c>
      <c r="C7363" t="s">
        <v>25</v>
      </c>
      <c r="D7363" t="s">
        <v>17</v>
      </c>
      <c r="E7363" t="s">
        <v>18</v>
      </c>
      <c r="F7363" t="s">
        <v>19</v>
      </c>
      <c r="G7363" t="s">
        <v>20</v>
      </c>
      <c r="J7363" t="s">
        <v>17</v>
      </c>
      <c r="K7363" t="str">
        <f>"343305196"</f>
        <v>343305196</v>
      </c>
      <c r="L7363" t="str">
        <f>"343305196"</f>
        <v>343305196</v>
      </c>
      <c r="M7363" t="s">
        <v>75</v>
      </c>
      <c r="N7363" s="1">
        <v>43084.956944444442</v>
      </c>
      <c r="O7363" t="s">
        <v>19</v>
      </c>
    </row>
    <row r="7364" spans="1:15" x14ac:dyDescent="0.25">
      <c r="A7364" t="s">
        <v>5266</v>
      </c>
      <c r="B7364" t="s">
        <v>15</v>
      </c>
      <c r="C7364" t="s">
        <v>25</v>
      </c>
      <c r="D7364" t="s">
        <v>17</v>
      </c>
      <c r="E7364" t="s">
        <v>18</v>
      </c>
      <c r="F7364" t="s">
        <v>19</v>
      </c>
      <c r="G7364" t="s">
        <v>20</v>
      </c>
      <c r="J7364" t="s">
        <v>17</v>
      </c>
      <c r="K7364" t="str">
        <f>"76330532"</f>
        <v>76330532</v>
      </c>
      <c r="L7364" t="str">
        <f>"76330532"</f>
        <v>76330532</v>
      </c>
      <c r="M7364" t="s">
        <v>75</v>
      </c>
      <c r="N7364" s="1">
        <v>43218.663194444445</v>
      </c>
      <c r="O7364" t="s">
        <v>19</v>
      </c>
    </row>
    <row r="7365" spans="1:15" x14ac:dyDescent="0.25">
      <c r="A7365" t="s">
        <v>5266</v>
      </c>
      <c r="B7365" t="s">
        <v>15</v>
      </c>
      <c r="C7365" t="s">
        <v>25</v>
      </c>
      <c r="D7365" t="s">
        <v>17</v>
      </c>
      <c r="E7365" t="s">
        <v>18</v>
      </c>
      <c r="F7365" t="s">
        <v>19</v>
      </c>
      <c r="G7365" t="s">
        <v>20</v>
      </c>
      <c r="J7365" t="s">
        <v>17</v>
      </c>
      <c r="K7365" t="str">
        <f>"76530532"</f>
        <v>76530532</v>
      </c>
      <c r="L7365" t="str">
        <f>"76530532"</f>
        <v>76530532</v>
      </c>
      <c r="M7365" t="s">
        <v>75</v>
      </c>
      <c r="N7365" s="1">
        <v>43231.661111111112</v>
      </c>
      <c r="O7365" t="s">
        <v>19</v>
      </c>
    </row>
    <row r="7366" spans="1:15" x14ac:dyDescent="0.25">
      <c r="A7366" t="s">
        <v>5266</v>
      </c>
      <c r="B7366" t="s">
        <v>15</v>
      </c>
      <c r="C7366" t="s">
        <v>25</v>
      </c>
      <c r="D7366" t="s">
        <v>17</v>
      </c>
      <c r="E7366" t="s">
        <v>18</v>
      </c>
      <c r="F7366" t="s">
        <v>19</v>
      </c>
      <c r="G7366" t="s">
        <v>20</v>
      </c>
      <c r="J7366" t="s">
        <v>17</v>
      </c>
      <c r="K7366" t="str">
        <f>"34330532"</f>
        <v>34330532</v>
      </c>
      <c r="L7366" t="str">
        <f>"34330532"</f>
        <v>34330532</v>
      </c>
      <c r="M7366" t="s">
        <v>75</v>
      </c>
      <c r="N7366" s="1">
        <v>43231.688888888886</v>
      </c>
      <c r="O7366" t="s">
        <v>19</v>
      </c>
    </row>
    <row r="7367" spans="1:15" x14ac:dyDescent="0.25">
      <c r="A7367" t="s">
        <v>5266</v>
      </c>
      <c r="B7367" t="s">
        <v>15</v>
      </c>
      <c r="C7367" t="s">
        <v>25</v>
      </c>
      <c r="D7367" t="s">
        <v>17</v>
      </c>
      <c r="E7367" t="s">
        <v>18</v>
      </c>
      <c r="F7367" t="s">
        <v>19</v>
      </c>
      <c r="G7367" t="s">
        <v>20</v>
      </c>
      <c r="J7367" t="s">
        <v>17</v>
      </c>
      <c r="K7367" t="str">
        <f>"99330532"</f>
        <v>99330532</v>
      </c>
      <c r="L7367" t="str">
        <f>"99330532"</f>
        <v>99330532</v>
      </c>
      <c r="M7367" t="s">
        <v>75</v>
      </c>
      <c r="N7367" s="1">
        <v>43244.872916666667</v>
      </c>
      <c r="O7367" t="s">
        <v>19</v>
      </c>
    </row>
    <row r="7368" spans="1:15" x14ac:dyDescent="0.25">
      <c r="A7368" t="s">
        <v>5267</v>
      </c>
      <c r="B7368" t="s">
        <v>15</v>
      </c>
      <c r="C7368" t="s">
        <v>25</v>
      </c>
      <c r="D7368" t="s">
        <v>17</v>
      </c>
      <c r="E7368" t="s">
        <v>18</v>
      </c>
      <c r="F7368" t="s">
        <v>19</v>
      </c>
      <c r="G7368" t="s">
        <v>20</v>
      </c>
      <c r="J7368" t="s">
        <v>18</v>
      </c>
      <c r="K7368" t="str">
        <f>"1000001003368"</f>
        <v>1000001003368</v>
      </c>
      <c r="L7368" t="str">
        <f>"76330533"</f>
        <v>76330533</v>
      </c>
      <c r="M7368" t="s">
        <v>84</v>
      </c>
      <c r="N7368" s="1">
        <v>43329.676388888889</v>
      </c>
      <c r="O7368" t="s">
        <v>19</v>
      </c>
    </row>
    <row r="7369" spans="1:15" x14ac:dyDescent="0.25">
      <c r="A7369" t="s">
        <v>5268</v>
      </c>
      <c r="B7369" t="s">
        <v>15</v>
      </c>
      <c r="C7369" t="s">
        <v>25</v>
      </c>
      <c r="D7369" t="s">
        <v>17</v>
      </c>
      <c r="E7369" t="s">
        <v>18</v>
      </c>
      <c r="F7369" t="s">
        <v>19</v>
      </c>
      <c r="G7369" t="s">
        <v>20</v>
      </c>
      <c r="J7369" t="s">
        <v>18</v>
      </c>
      <c r="K7369" t="str">
        <f>"763305309"</f>
        <v>763305309</v>
      </c>
      <c r="L7369" t="str">
        <f>"763305309"</f>
        <v>763305309</v>
      </c>
      <c r="M7369" t="s">
        <v>84</v>
      </c>
      <c r="N7369" s="1">
        <v>43451.599305555559</v>
      </c>
      <c r="O7369" t="s">
        <v>19</v>
      </c>
    </row>
    <row r="7370" spans="1:15" x14ac:dyDescent="0.25">
      <c r="A7370" t="s">
        <v>5268</v>
      </c>
      <c r="B7370" t="s">
        <v>15</v>
      </c>
      <c r="C7370" t="s">
        <v>25</v>
      </c>
      <c r="D7370" t="s">
        <v>17</v>
      </c>
      <c r="E7370" t="s">
        <v>18</v>
      </c>
      <c r="F7370" t="s">
        <v>19</v>
      </c>
      <c r="G7370" t="s">
        <v>20</v>
      </c>
      <c r="J7370" t="s">
        <v>17</v>
      </c>
      <c r="K7370" t="str">
        <f>"343305309"</f>
        <v>343305309</v>
      </c>
      <c r="L7370" t="str">
        <f>"343305309"</f>
        <v>343305309</v>
      </c>
      <c r="M7370" t="s">
        <v>21</v>
      </c>
      <c r="N7370" s="1">
        <v>43798.905555555553</v>
      </c>
      <c r="O7370" t="s">
        <v>19</v>
      </c>
    </row>
    <row r="7371" spans="1:15" x14ac:dyDescent="0.25">
      <c r="A7371" t="s">
        <v>5269</v>
      </c>
      <c r="B7371" t="s">
        <v>15</v>
      </c>
      <c r="C7371" t="s">
        <v>25</v>
      </c>
      <c r="D7371" t="s">
        <v>17</v>
      </c>
      <c r="E7371" t="s">
        <v>18</v>
      </c>
      <c r="F7371" t="s">
        <v>19</v>
      </c>
      <c r="G7371" t="s">
        <v>20</v>
      </c>
      <c r="J7371" t="s">
        <v>17</v>
      </c>
      <c r="K7371" t="str">
        <f>"763305307"</f>
        <v>763305307</v>
      </c>
      <c r="L7371" t="str">
        <f>"763305307"</f>
        <v>763305307</v>
      </c>
      <c r="M7371" t="s">
        <v>84</v>
      </c>
      <c r="N7371" s="1">
        <v>43419.85833333333</v>
      </c>
      <c r="O7371" t="s">
        <v>19</v>
      </c>
    </row>
    <row r="7372" spans="1:15" x14ac:dyDescent="0.25">
      <c r="A7372" t="s">
        <v>5269</v>
      </c>
      <c r="B7372" t="s">
        <v>15</v>
      </c>
      <c r="C7372" t="s">
        <v>25</v>
      </c>
      <c r="D7372" t="s">
        <v>17</v>
      </c>
      <c r="E7372" t="s">
        <v>18</v>
      </c>
      <c r="F7372" t="s">
        <v>19</v>
      </c>
      <c r="G7372" t="s">
        <v>20</v>
      </c>
      <c r="J7372" t="s">
        <v>17</v>
      </c>
      <c r="K7372" t="str">
        <f>"683305307"</f>
        <v>683305307</v>
      </c>
      <c r="L7372" t="str">
        <f>"683305307"</f>
        <v>683305307</v>
      </c>
      <c r="M7372" t="s">
        <v>84</v>
      </c>
      <c r="N7372" s="1">
        <v>43545.777083333334</v>
      </c>
      <c r="O7372" t="s">
        <v>19</v>
      </c>
    </row>
    <row r="7373" spans="1:15" x14ac:dyDescent="0.25">
      <c r="A7373" t="s">
        <v>5269</v>
      </c>
      <c r="B7373" t="s">
        <v>15</v>
      </c>
      <c r="C7373" t="s">
        <v>25</v>
      </c>
      <c r="D7373" t="s">
        <v>17</v>
      </c>
      <c r="E7373" t="s">
        <v>18</v>
      </c>
      <c r="F7373" t="s">
        <v>19</v>
      </c>
      <c r="G7373" t="s">
        <v>20</v>
      </c>
      <c r="J7373" t="s">
        <v>17</v>
      </c>
      <c r="K7373" t="str">
        <f>"183305307"</f>
        <v>183305307</v>
      </c>
      <c r="L7373" t="str">
        <f>"183305307"</f>
        <v>183305307</v>
      </c>
      <c r="M7373" t="s">
        <v>21</v>
      </c>
      <c r="N7373" s="1">
        <v>43595.913194444445</v>
      </c>
      <c r="O7373" t="s">
        <v>19</v>
      </c>
    </row>
    <row r="7374" spans="1:15" x14ac:dyDescent="0.25">
      <c r="A7374" t="s">
        <v>5269</v>
      </c>
      <c r="B7374" t="s">
        <v>15</v>
      </c>
      <c r="C7374" t="s">
        <v>25</v>
      </c>
      <c r="D7374" t="s">
        <v>17</v>
      </c>
      <c r="E7374" t="s">
        <v>18</v>
      </c>
      <c r="F7374" t="s">
        <v>19</v>
      </c>
      <c r="G7374" t="s">
        <v>20</v>
      </c>
      <c r="J7374" t="s">
        <v>17</v>
      </c>
      <c r="K7374" t="str">
        <f>"343305307"</f>
        <v>343305307</v>
      </c>
      <c r="L7374" t="str">
        <f>"343305307"</f>
        <v>343305307</v>
      </c>
      <c r="M7374" t="s">
        <v>21</v>
      </c>
      <c r="N7374" s="1">
        <v>43668.679861111108</v>
      </c>
      <c r="O7374" t="s">
        <v>19</v>
      </c>
    </row>
    <row r="7375" spans="1:15" x14ac:dyDescent="0.25">
      <c r="A7375" t="s">
        <v>5270</v>
      </c>
      <c r="B7375" t="s">
        <v>15</v>
      </c>
      <c r="C7375" t="s">
        <v>25</v>
      </c>
      <c r="D7375" t="s">
        <v>17</v>
      </c>
      <c r="E7375" t="s">
        <v>18</v>
      </c>
      <c r="F7375" t="s">
        <v>19</v>
      </c>
      <c r="G7375" t="s">
        <v>20</v>
      </c>
      <c r="J7375" t="s">
        <v>17</v>
      </c>
      <c r="K7375" t="str">
        <f>"763305308"</f>
        <v>763305308</v>
      </c>
      <c r="L7375" t="str">
        <f>"763305308"</f>
        <v>763305308</v>
      </c>
      <c r="M7375" t="s">
        <v>84</v>
      </c>
      <c r="N7375" s="1">
        <v>43451.599305555559</v>
      </c>
      <c r="O7375" t="s">
        <v>19</v>
      </c>
    </row>
    <row r="7376" spans="1:15" x14ac:dyDescent="0.25">
      <c r="A7376" t="s">
        <v>5271</v>
      </c>
      <c r="B7376" t="s">
        <v>15</v>
      </c>
      <c r="C7376" t="s">
        <v>25</v>
      </c>
      <c r="D7376" t="s">
        <v>17</v>
      </c>
      <c r="E7376" t="s">
        <v>18</v>
      </c>
      <c r="F7376" t="s">
        <v>19</v>
      </c>
      <c r="G7376" t="s">
        <v>20</v>
      </c>
      <c r="J7376" t="s">
        <v>17</v>
      </c>
      <c r="K7376" t="str">
        <f>"763305321"</f>
        <v>763305321</v>
      </c>
      <c r="L7376" t="str">
        <f>"763305321"</f>
        <v>763305321</v>
      </c>
      <c r="M7376" t="s">
        <v>75</v>
      </c>
      <c r="N7376" s="1">
        <v>43139.906944444447</v>
      </c>
      <c r="O7376" t="s">
        <v>19</v>
      </c>
    </row>
    <row r="7377" spans="1:15" x14ac:dyDescent="0.25">
      <c r="A7377" t="s">
        <v>5271</v>
      </c>
      <c r="B7377" t="s">
        <v>15</v>
      </c>
      <c r="C7377" t="s">
        <v>25</v>
      </c>
      <c r="D7377" t="s">
        <v>17</v>
      </c>
      <c r="E7377" t="s">
        <v>18</v>
      </c>
      <c r="F7377" t="s">
        <v>19</v>
      </c>
      <c r="G7377" t="s">
        <v>20</v>
      </c>
      <c r="J7377" t="s">
        <v>17</v>
      </c>
      <c r="K7377" t="str">
        <f>"343305321"</f>
        <v>343305321</v>
      </c>
      <c r="L7377" t="str">
        <f>"343305321"</f>
        <v>343305321</v>
      </c>
      <c r="M7377" t="s">
        <v>75</v>
      </c>
      <c r="N7377" s="1">
        <v>43237.931944444441</v>
      </c>
      <c r="O7377" t="s">
        <v>19</v>
      </c>
    </row>
    <row r="7378" spans="1:15" x14ac:dyDescent="0.25">
      <c r="A7378" t="s">
        <v>5271</v>
      </c>
      <c r="B7378" t="s">
        <v>15</v>
      </c>
      <c r="C7378" t="s">
        <v>25</v>
      </c>
      <c r="D7378" t="s">
        <v>17</v>
      </c>
      <c r="E7378" t="s">
        <v>18</v>
      </c>
      <c r="F7378" t="s">
        <v>19</v>
      </c>
      <c r="G7378" t="s">
        <v>20</v>
      </c>
      <c r="J7378" t="s">
        <v>17</v>
      </c>
      <c r="K7378" t="str">
        <f>"765305321"</f>
        <v>765305321</v>
      </c>
      <c r="L7378" t="str">
        <f>"765305321"</f>
        <v>765305321</v>
      </c>
      <c r="M7378" t="s">
        <v>84</v>
      </c>
      <c r="N7378" s="1">
        <v>43307.666666666664</v>
      </c>
      <c r="O7378" t="s">
        <v>19</v>
      </c>
    </row>
    <row r="7379" spans="1:15" x14ac:dyDescent="0.25">
      <c r="A7379" t="s">
        <v>5271</v>
      </c>
      <c r="B7379" t="s">
        <v>15</v>
      </c>
      <c r="C7379" t="s">
        <v>25</v>
      </c>
      <c r="D7379" t="s">
        <v>17</v>
      </c>
      <c r="E7379" t="s">
        <v>18</v>
      </c>
      <c r="F7379" t="s">
        <v>19</v>
      </c>
      <c r="G7379" t="s">
        <v>20</v>
      </c>
      <c r="J7379" t="s">
        <v>17</v>
      </c>
      <c r="K7379" t="str">
        <f>"863305321"</f>
        <v>863305321</v>
      </c>
      <c r="L7379" t="str">
        <f>"863305321"</f>
        <v>863305321</v>
      </c>
      <c r="M7379" t="s">
        <v>84</v>
      </c>
      <c r="N7379" s="1">
        <v>43367.676388888889</v>
      </c>
      <c r="O7379" t="s">
        <v>19</v>
      </c>
    </row>
    <row r="7380" spans="1:15" x14ac:dyDescent="0.25">
      <c r="A7380" t="s">
        <v>5271</v>
      </c>
      <c r="B7380" t="s">
        <v>15</v>
      </c>
      <c r="C7380" t="s">
        <v>25</v>
      </c>
      <c r="D7380" t="s">
        <v>17</v>
      </c>
      <c r="E7380" t="s">
        <v>18</v>
      </c>
      <c r="F7380" t="s">
        <v>19</v>
      </c>
      <c r="G7380" t="s">
        <v>20</v>
      </c>
      <c r="J7380" t="s">
        <v>17</v>
      </c>
      <c r="K7380" t="str">
        <f>"2019080300397"</f>
        <v>2019080300397</v>
      </c>
      <c r="L7380" t="str">
        <f>"183305322"</f>
        <v>183305322</v>
      </c>
      <c r="M7380" t="s">
        <v>21</v>
      </c>
      <c r="N7380" s="1">
        <v>43661.884722222225</v>
      </c>
      <c r="O7380" t="s">
        <v>19</v>
      </c>
    </row>
    <row r="7381" spans="1:15" x14ac:dyDescent="0.25">
      <c r="A7381" t="s">
        <v>5271</v>
      </c>
      <c r="B7381" t="s">
        <v>15</v>
      </c>
      <c r="C7381" t="s">
        <v>25</v>
      </c>
      <c r="D7381" t="s">
        <v>17</v>
      </c>
      <c r="E7381" t="s">
        <v>18</v>
      </c>
      <c r="F7381" t="s">
        <v>19</v>
      </c>
      <c r="G7381" t="s">
        <v>20</v>
      </c>
      <c r="J7381" t="s">
        <v>17</v>
      </c>
      <c r="K7381" t="str">
        <f>"683305321"</f>
        <v>683305321</v>
      </c>
      <c r="L7381" t="str">
        <f>"683305321"</f>
        <v>683305321</v>
      </c>
      <c r="M7381" t="s">
        <v>21</v>
      </c>
      <c r="N7381" s="1">
        <v>43798.651388888888</v>
      </c>
      <c r="O7381" t="s">
        <v>19</v>
      </c>
    </row>
    <row r="7382" spans="1:15" x14ac:dyDescent="0.25">
      <c r="A7382" t="s">
        <v>5272</v>
      </c>
      <c r="B7382" t="s">
        <v>15</v>
      </c>
      <c r="C7382" t="s">
        <v>25</v>
      </c>
      <c r="D7382" t="s">
        <v>17</v>
      </c>
      <c r="E7382" t="s">
        <v>18</v>
      </c>
      <c r="F7382" t="s">
        <v>19</v>
      </c>
      <c r="G7382" t="s">
        <v>20</v>
      </c>
      <c r="J7382" t="s">
        <v>17</v>
      </c>
      <c r="K7382" t="str">
        <f>"34530529"</f>
        <v>34530529</v>
      </c>
      <c r="L7382" t="str">
        <f>"34530529"</f>
        <v>34530529</v>
      </c>
      <c r="M7382" t="s">
        <v>75</v>
      </c>
      <c r="N7382" s="1">
        <v>42872.839583333334</v>
      </c>
      <c r="O7382" t="s">
        <v>19</v>
      </c>
    </row>
    <row r="7383" spans="1:15" x14ac:dyDescent="0.25">
      <c r="A7383" t="s">
        <v>5272</v>
      </c>
      <c r="B7383" t="s">
        <v>15</v>
      </c>
      <c r="C7383" t="s">
        <v>25</v>
      </c>
      <c r="D7383" t="s">
        <v>17</v>
      </c>
      <c r="E7383" t="s">
        <v>18</v>
      </c>
      <c r="F7383" t="s">
        <v>19</v>
      </c>
      <c r="G7383" t="s">
        <v>20</v>
      </c>
      <c r="J7383" t="s">
        <v>17</v>
      </c>
      <c r="K7383" t="str">
        <f>"76530529"</f>
        <v>76530529</v>
      </c>
      <c r="L7383" t="str">
        <f>"76530529"</f>
        <v>76530529</v>
      </c>
      <c r="M7383" t="s">
        <v>75</v>
      </c>
      <c r="N7383" s="1">
        <v>42872.847222222219</v>
      </c>
      <c r="O7383" t="s">
        <v>19</v>
      </c>
    </row>
    <row r="7384" spans="1:15" x14ac:dyDescent="0.25">
      <c r="A7384" t="s">
        <v>5273</v>
      </c>
      <c r="B7384" t="s">
        <v>15</v>
      </c>
      <c r="C7384" t="s">
        <v>25</v>
      </c>
      <c r="D7384" t="s">
        <v>17</v>
      </c>
      <c r="E7384" t="s">
        <v>18</v>
      </c>
      <c r="F7384" t="s">
        <v>19</v>
      </c>
      <c r="G7384" t="s">
        <v>20</v>
      </c>
      <c r="J7384" t="s">
        <v>17</v>
      </c>
      <c r="K7384" t="str">
        <f>"345305210"</f>
        <v>345305210</v>
      </c>
      <c r="L7384" t="str">
        <f>"345305210"</f>
        <v>345305210</v>
      </c>
      <c r="M7384" t="s">
        <v>75</v>
      </c>
      <c r="N7384" s="1">
        <v>42872.849305555559</v>
      </c>
      <c r="O7384" t="s">
        <v>19</v>
      </c>
    </row>
    <row r="7385" spans="1:15" x14ac:dyDescent="0.25">
      <c r="A7385" t="s">
        <v>5274</v>
      </c>
      <c r="B7385" t="s">
        <v>15</v>
      </c>
      <c r="C7385" t="s">
        <v>25</v>
      </c>
      <c r="D7385" t="s">
        <v>17</v>
      </c>
      <c r="E7385" t="s">
        <v>18</v>
      </c>
      <c r="F7385" t="s">
        <v>19</v>
      </c>
      <c r="G7385" t="s">
        <v>20</v>
      </c>
      <c r="J7385" t="s">
        <v>17</v>
      </c>
      <c r="K7385" t="str">
        <f>"343305294"</f>
        <v>343305294</v>
      </c>
      <c r="L7385" t="str">
        <f>"343305294"</f>
        <v>343305294</v>
      </c>
      <c r="M7385" t="s">
        <v>75</v>
      </c>
      <c r="N7385" s="1">
        <v>42872.849305555559</v>
      </c>
      <c r="O7385" t="s">
        <v>19</v>
      </c>
    </row>
    <row r="7386" spans="1:15" x14ac:dyDescent="0.25">
      <c r="A7386" t="s">
        <v>5274</v>
      </c>
      <c r="B7386" t="s">
        <v>15</v>
      </c>
      <c r="C7386" t="s">
        <v>25</v>
      </c>
      <c r="D7386" t="s">
        <v>17</v>
      </c>
      <c r="E7386" t="s">
        <v>18</v>
      </c>
      <c r="F7386" t="s">
        <v>19</v>
      </c>
      <c r="G7386" t="s">
        <v>20</v>
      </c>
      <c r="J7386" t="s">
        <v>17</v>
      </c>
      <c r="K7386" t="str">
        <f>"763305294"</f>
        <v>763305294</v>
      </c>
      <c r="L7386" t="str">
        <f>"763305294"</f>
        <v>763305294</v>
      </c>
      <c r="M7386" t="s">
        <v>75</v>
      </c>
      <c r="N7386" s="1">
        <v>42872.849305555559</v>
      </c>
      <c r="O7386" t="s">
        <v>19</v>
      </c>
    </row>
    <row r="7387" spans="1:15" x14ac:dyDescent="0.25">
      <c r="A7387" t="s">
        <v>5274</v>
      </c>
      <c r="B7387" t="s">
        <v>15</v>
      </c>
      <c r="C7387" t="s">
        <v>25</v>
      </c>
      <c r="D7387" t="s">
        <v>17</v>
      </c>
      <c r="E7387" t="s">
        <v>18</v>
      </c>
      <c r="F7387" t="s">
        <v>19</v>
      </c>
      <c r="G7387" t="s">
        <v>20</v>
      </c>
      <c r="J7387" t="s">
        <v>17</v>
      </c>
      <c r="K7387" t="str">
        <f>"183305294"</f>
        <v>183305294</v>
      </c>
      <c r="L7387" t="str">
        <f>"183305294"</f>
        <v>183305294</v>
      </c>
      <c r="M7387" t="s">
        <v>75</v>
      </c>
      <c r="N7387" s="1">
        <v>42882.755555555559</v>
      </c>
      <c r="O7387" t="s">
        <v>19</v>
      </c>
    </row>
    <row r="7388" spans="1:15" x14ac:dyDescent="0.25">
      <c r="A7388" t="s">
        <v>5275</v>
      </c>
      <c r="B7388" t="s">
        <v>15</v>
      </c>
      <c r="C7388" t="s">
        <v>25</v>
      </c>
      <c r="D7388" t="s">
        <v>17</v>
      </c>
      <c r="E7388" t="s">
        <v>18</v>
      </c>
      <c r="F7388" t="s">
        <v>19</v>
      </c>
      <c r="G7388" t="s">
        <v>20</v>
      </c>
      <c r="J7388" t="s">
        <v>17</v>
      </c>
      <c r="K7388" t="str">
        <f>"343305295"</f>
        <v>343305295</v>
      </c>
      <c r="L7388" t="str">
        <f>"343305295"</f>
        <v>343305295</v>
      </c>
      <c r="M7388" t="s">
        <v>75</v>
      </c>
      <c r="N7388" s="1">
        <v>42872.849305555559</v>
      </c>
      <c r="O7388" t="s">
        <v>19</v>
      </c>
    </row>
    <row r="7389" spans="1:15" x14ac:dyDescent="0.25">
      <c r="A7389" t="s">
        <v>5275</v>
      </c>
      <c r="B7389" t="s">
        <v>15</v>
      </c>
      <c r="C7389" t="s">
        <v>25</v>
      </c>
      <c r="D7389" t="s">
        <v>17</v>
      </c>
      <c r="E7389" t="s">
        <v>18</v>
      </c>
      <c r="F7389" t="s">
        <v>19</v>
      </c>
      <c r="G7389" t="s">
        <v>20</v>
      </c>
      <c r="J7389" t="s">
        <v>17</v>
      </c>
      <c r="K7389" t="str">
        <f>"763305295"</f>
        <v>763305295</v>
      </c>
      <c r="L7389" t="str">
        <f>"763305295"</f>
        <v>763305295</v>
      </c>
      <c r="M7389" t="s">
        <v>75</v>
      </c>
      <c r="N7389" s="1">
        <v>42872.849305555559</v>
      </c>
      <c r="O7389" t="s">
        <v>19</v>
      </c>
    </row>
    <row r="7390" spans="1:15" x14ac:dyDescent="0.25">
      <c r="A7390" t="s">
        <v>5275</v>
      </c>
      <c r="B7390" t="s">
        <v>15</v>
      </c>
      <c r="C7390" t="s">
        <v>25</v>
      </c>
      <c r="D7390" t="s">
        <v>17</v>
      </c>
      <c r="E7390" t="s">
        <v>18</v>
      </c>
      <c r="F7390" t="s">
        <v>19</v>
      </c>
      <c r="G7390" t="s">
        <v>20</v>
      </c>
      <c r="J7390" t="s">
        <v>17</v>
      </c>
      <c r="K7390" t="str">
        <f>"183305295"</f>
        <v>183305295</v>
      </c>
      <c r="L7390" t="str">
        <f>"183305295"</f>
        <v>183305295</v>
      </c>
      <c r="M7390" t="s">
        <v>75</v>
      </c>
      <c r="N7390" s="1">
        <v>42882.75277777778</v>
      </c>
      <c r="O7390" t="s">
        <v>19</v>
      </c>
    </row>
    <row r="7391" spans="1:15" x14ac:dyDescent="0.25">
      <c r="A7391" t="s">
        <v>5276</v>
      </c>
      <c r="B7391" t="s">
        <v>15</v>
      </c>
      <c r="C7391" t="s">
        <v>25</v>
      </c>
      <c r="D7391" t="s">
        <v>17</v>
      </c>
      <c r="E7391" t="s">
        <v>18</v>
      </c>
      <c r="F7391" t="s">
        <v>19</v>
      </c>
      <c r="G7391" t="s">
        <v>20</v>
      </c>
      <c r="J7391" t="s">
        <v>17</v>
      </c>
      <c r="K7391" t="str">
        <f>"173305320"</f>
        <v>173305320</v>
      </c>
      <c r="L7391" t="str">
        <f>"173305320"</f>
        <v>173305320</v>
      </c>
      <c r="M7391" t="s">
        <v>75</v>
      </c>
      <c r="N7391" s="1">
        <v>43131.939583333333</v>
      </c>
      <c r="O7391" t="s">
        <v>19</v>
      </c>
    </row>
    <row r="7392" spans="1:15" x14ac:dyDescent="0.25">
      <c r="A7392" t="s">
        <v>5276</v>
      </c>
      <c r="B7392" t="s">
        <v>15</v>
      </c>
      <c r="C7392" t="s">
        <v>25</v>
      </c>
      <c r="D7392" t="s">
        <v>17</v>
      </c>
      <c r="E7392" t="s">
        <v>18</v>
      </c>
      <c r="F7392" t="s">
        <v>19</v>
      </c>
      <c r="G7392" t="s">
        <v>20</v>
      </c>
      <c r="J7392" t="s">
        <v>17</v>
      </c>
      <c r="K7392" t="str">
        <f>"763305320"</f>
        <v>763305320</v>
      </c>
      <c r="L7392" t="str">
        <f>"763305320"</f>
        <v>763305320</v>
      </c>
      <c r="M7392" t="s">
        <v>75</v>
      </c>
      <c r="N7392" s="1">
        <v>43132.727083333331</v>
      </c>
      <c r="O7392" t="s">
        <v>19</v>
      </c>
    </row>
    <row r="7393" spans="1:15" x14ac:dyDescent="0.25">
      <c r="A7393" t="s">
        <v>5277</v>
      </c>
      <c r="B7393" t="s">
        <v>15</v>
      </c>
      <c r="C7393" t="s">
        <v>25</v>
      </c>
      <c r="D7393" t="s">
        <v>17</v>
      </c>
      <c r="E7393" t="s">
        <v>18</v>
      </c>
      <c r="F7393" t="s">
        <v>19</v>
      </c>
      <c r="G7393" t="s">
        <v>20</v>
      </c>
      <c r="J7393" t="s">
        <v>17</v>
      </c>
      <c r="K7393" t="str">
        <f>"2019120100178"</f>
        <v>2019120100178</v>
      </c>
      <c r="L7393" t="str">
        <f>"183305320"</f>
        <v>183305320</v>
      </c>
      <c r="M7393" t="s">
        <v>21</v>
      </c>
      <c r="N7393" s="1">
        <v>43866.745833333334</v>
      </c>
      <c r="O7393" t="s">
        <v>19</v>
      </c>
    </row>
    <row r="7394" spans="1:15" x14ac:dyDescent="0.25">
      <c r="A7394" t="s">
        <v>5278</v>
      </c>
      <c r="B7394" t="s">
        <v>15</v>
      </c>
      <c r="C7394" t="s">
        <v>25</v>
      </c>
      <c r="D7394" t="s">
        <v>17</v>
      </c>
      <c r="E7394" t="s">
        <v>18</v>
      </c>
      <c r="F7394" t="s">
        <v>19</v>
      </c>
      <c r="G7394" t="s">
        <v>20</v>
      </c>
      <c r="J7394" t="s">
        <v>17</v>
      </c>
      <c r="K7394" t="str">
        <f>"763305296"</f>
        <v>763305296</v>
      </c>
      <c r="L7394" t="str">
        <f>"763305296"</f>
        <v>763305296</v>
      </c>
      <c r="M7394" t="s">
        <v>75</v>
      </c>
      <c r="N7394" s="1">
        <v>42893.930555555555</v>
      </c>
      <c r="O7394" t="s">
        <v>19</v>
      </c>
    </row>
    <row r="7395" spans="1:15" x14ac:dyDescent="0.25">
      <c r="A7395" t="s">
        <v>5278</v>
      </c>
      <c r="B7395" t="s">
        <v>15</v>
      </c>
      <c r="C7395" t="s">
        <v>25</v>
      </c>
      <c r="D7395" t="s">
        <v>17</v>
      </c>
      <c r="E7395" t="s">
        <v>18</v>
      </c>
      <c r="F7395" t="s">
        <v>19</v>
      </c>
      <c r="G7395" t="s">
        <v>20</v>
      </c>
      <c r="J7395" t="s">
        <v>17</v>
      </c>
      <c r="K7395" t="str">
        <f>"343305296"</f>
        <v>343305296</v>
      </c>
      <c r="L7395" t="str">
        <f>"343305296"</f>
        <v>343305296</v>
      </c>
      <c r="M7395" t="s">
        <v>75</v>
      </c>
      <c r="N7395" s="1">
        <v>43116.694444444445</v>
      </c>
      <c r="O7395" t="s">
        <v>19</v>
      </c>
    </row>
    <row r="7396" spans="1:15" x14ac:dyDescent="0.25">
      <c r="A7396" t="s">
        <v>5278</v>
      </c>
      <c r="B7396" t="s">
        <v>15</v>
      </c>
      <c r="C7396" t="s">
        <v>25</v>
      </c>
      <c r="D7396" t="s">
        <v>17</v>
      </c>
      <c r="E7396" t="s">
        <v>18</v>
      </c>
      <c r="F7396" t="s">
        <v>19</v>
      </c>
      <c r="G7396" t="s">
        <v>20</v>
      </c>
      <c r="J7396" t="s">
        <v>17</v>
      </c>
      <c r="K7396" t="str">
        <f>"765305296"</f>
        <v>765305296</v>
      </c>
      <c r="L7396" t="str">
        <f>"765305296"</f>
        <v>765305296</v>
      </c>
      <c r="M7396" t="s">
        <v>75</v>
      </c>
      <c r="N7396" s="1">
        <v>43231.663194444445</v>
      </c>
      <c r="O7396" t="s">
        <v>19</v>
      </c>
    </row>
    <row r="7397" spans="1:15" x14ac:dyDescent="0.25">
      <c r="A7397" t="s">
        <v>5278</v>
      </c>
      <c r="B7397" t="s">
        <v>15</v>
      </c>
      <c r="C7397" t="s">
        <v>25</v>
      </c>
      <c r="D7397" t="s">
        <v>17</v>
      </c>
      <c r="E7397" t="s">
        <v>18</v>
      </c>
      <c r="F7397" t="s">
        <v>19</v>
      </c>
      <c r="G7397" t="s">
        <v>20</v>
      </c>
      <c r="J7397" t="s">
        <v>17</v>
      </c>
      <c r="K7397" t="str">
        <f>"993305296"</f>
        <v>993305296</v>
      </c>
      <c r="L7397" t="str">
        <f>"993305296"</f>
        <v>993305296</v>
      </c>
      <c r="M7397" t="s">
        <v>75</v>
      </c>
      <c r="N7397" s="1">
        <v>43244.873611111114</v>
      </c>
      <c r="O7397" t="s">
        <v>19</v>
      </c>
    </row>
    <row r="7398" spans="1:15" x14ac:dyDescent="0.25">
      <c r="A7398" t="s">
        <v>5278</v>
      </c>
      <c r="B7398" t="s">
        <v>15</v>
      </c>
      <c r="C7398" t="s">
        <v>25</v>
      </c>
      <c r="D7398" t="s">
        <v>17</v>
      </c>
      <c r="E7398" t="s">
        <v>18</v>
      </c>
      <c r="F7398" t="s">
        <v>19</v>
      </c>
      <c r="G7398" t="s">
        <v>20</v>
      </c>
      <c r="J7398" t="s">
        <v>17</v>
      </c>
      <c r="K7398" t="str">
        <f>"683305296"</f>
        <v>683305296</v>
      </c>
      <c r="L7398" t="str">
        <f>"683305296"</f>
        <v>683305296</v>
      </c>
      <c r="M7398" t="s">
        <v>84</v>
      </c>
      <c r="N7398" s="1">
        <v>43420.625694444447</v>
      </c>
      <c r="O7398" t="s">
        <v>19</v>
      </c>
    </row>
    <row r="7399" spans="1:15" x14ac:dyDescent="0.25">
      <c r="A7399" t="s">
        <v>5279</v>
      </c>
      <c r="B7399" t="s">
        <v>15</v>
      </c>
      <c r="C7399" t="s">
        <v>25</v>
      </c>
      <c r="D7399" t="s">
        <v>17</v>
      </c>
      <c r="E7399" t="s">
        <v>18</v>
      </c>
      <c r="F7399" t="s">
        <v>19</v>
      </c>
      <c r="G7399" t="s">
        <v>20</v>
      </c>
      <c r="J7399" t="s">
        <v>17</v>
      </c>
      <c r="K7399" t="str">
        <f>"183305297"</f>
        <v>183305297</v>
      </c>
      <c r="L7399" t="str">
        <f>"183305297"</f>
        <v>183305297</v>
      </c>
      <c r="M7399" t="s">
        <v>75</v>
      </c>
      <c r="N7399" s="1">
        <v>42882.751388888886</v>
      </c>
      <c r="O7399" t="s">
        <v>19</v>
      </c>
    </row>
    <row r="7400" spans="1:15" x14ac:dyDescent="0.25">
      <c r="A7400" t="s">
        <v>5280</v>
      </c>
      <c r="B7400" t="s">
        <v>15</v>
      </c>
      <c r="C7400" t="s">
        <v>25</v>
      </c>
      <c r="D7400" t="s">
        <v>17</v>
      </c>
      <c r="E7400" t="s">
        <v>18</v>
      </c>
      <c r="F7400" t="s">
        <v>19</v>
      </c>
      <c r="G7400" t="s">
        <v>20</v>
      </c>
      <c r="J7400" t="s">
        <v>17</v>
      </c>
      <c r="K7400" t="str">
        <f>"763305297"</f>
        <v>763305297</v>
      </c>
      <c r="L7400" t="str">
        <f>"763305297"</f>
        <v>763305297</v>
      </c>
      <c r="M7400" t="s">
        <v>75</v>
      </c>
      <c r="N7400" s="1">
        <v>42933.675694444442</v>
      </c>
      <c r="O7400" t="s">
        <v>19</v>
      </c>
    </row>
    <row r="7401" spans="1:15" x14ac:dyDescent="0.25">
      <c r="A7401" t="s">
        <v>5279</v>
      </c>
      <c r="B7401" t="s">
        <v>15</v>
      </c>
      <c r="C7401" t="s">
        <v>25</v>
      </c>
      <c r="D7401" t="s">
        <v>17</v>
      </c>
      <c r="E7401" t="s">
        <v>18</v>
      </c>
      <c r="F7401" t="s">
        <v>19</v>
      </c>
      <c r="G7401" t="s">
        <v>20</v>
      </c>
      <c r="J7401" t="s">
        <v>17</v>
      </c>
      <c r="K7401" t="str">
        <f>"173305297"</f>
        <v>173305297</v>
      </c>
      <c r="L7401" t="str">
        <f>"173305297"</f>
        <v>173305297</v>
      </c>
      <c r="M7401" t="s">
        <v>75</v>
      </c>
      <c r="N7401" s="1">
        <v>43131.934027777781</v>
      </c>
      <c r="O7401" t="s">
        <v>19</v>
      </c>
    </row>
    <row r="7402" spans="1:15" x14ac:dyDescent="0.25">
      <c r="A7402" t="s">
        <v>5281</v>
      </c>
      <c r="B7402" t="s">
        <v>15</v>
      </c>
      <c r="C7402" t="s">
        <v>25</v>
      </c>
      <c r="D7402" t="s">
        <v>17</v>
      </c>
      <c r="E7402" t="s">
        <v>18</v>
      </c>
      <c r="F7402" t="s">
        <v>19</v>
      </c>
      <c r="G7402" t="s">
        <v>20</v>
      </c>
      <c r="J7402" t="s">
        <v>17</v>
      </c>
      <c r="K7402" t="str">
        <f>"183305298"</f>
        <v>183305298</v>
      </c>
      <c r="L7402" t="str">
        <f>"183305298"</f>
        <v>183305298</v>
      </c>
      <c r="M7402" t="s">
        <v>75</v>
      </c>
      <c r="N7402" s="1">
        <v>42882.749305555553</v>
      </c>
      <c r="O7402" t="s">
        <v>19</v>
      </c>
    </row>
    <row r="7403" spans="1:15" x14ac:dyDescent="0.25">
      <c r="A7403" t="s">
        <v>5282</v>
      </c>
      <c r="B7403" t="s">
        <v>15</v>
      </c>
      <c r="C7403" t="s">
        <v>25</v>
      </c>
      <c r="D7403" t="s">
        <v>17</v>
      </c>
      <c r="E7403" t="s">
        <v>18</v>
      </c>
      <c r="F7403" t="s">
        <v>19</v>
      </c>
      <c r="G7403" t="s">
        <v>20</v>
      </c>
      <c r="J7403" t="s">
        <v>17</v>
      </c>
      <c r="K7403" t="str">
        <f>"763305293"</f>
        <v>763305293</v>
      </c>
      <c r="L7403" t="str">
        <f>"763305293"</f>
        <v>763305293</v>
      </c>
      <c r="M7403" t="s">
        <v>75</v>
      </c>
      <c r="N7403" s="1">
        <v>43218.663888888892</v>
      </c>
      <c r="O7403" t="s">
        <v>19</v>
      </c>
    </row>
    <row r="7404" spans="1:15" x14ac:dyDescent="0.25">
      <c r="A7404" t="s">
        <v>5282</v>
      </c>
      <c r="B7404" t="s">
        <v>15</v>
      </c>
      <c r="C7404" t="s">
        <v>25</v>
      </c>
      <c r="D7404" t="s">
        <v>17</v>
      </c>
      <c r="E7404" t="s">
        <v>18</v>
      </c>
      <c r="F7404" t="s">
        <v>19</v>
      </c>
      <c r="G7404" t="s">
        <v>20</v>
      </c>
      <c r="J7404" t="s">
        <v>17</v>
      </c>
      <c r="K7404" t="str">
        <f>"765305293"</f>
        <v>765305293</v>
      </c>
      <c r="L7404" t="str">
        <f>"765305293"</f>
        <v>765305293</v>
      </c>
      <c r="M7404" t="s">
        <v>84</v>
      </c>
      <c r="N7404" s="1">
        <v>43259.636111111111</v>
      </c>
      <c r="O7404" t="s">
        <v>19</v>
      </c>
    </row>
    <row r="7405" spans="1:15" x14ac:dyDescent="0.25">
      <c r="A7405" t="s">
        <v>5283</v>
      </c>
      <c r="B7405" t="s">
        <v>15</v>
      </c>
      <c r="C7405" t="s">
        <v>25</v>
      </c>
      <c r="D7405" t="s">
        <v>17</v>
      </c>
      <c r="E7405" t="s">
        <v>18</v>
      </c>
      <c r="F7405" t="s">
        <v>19</v>
      </c>
      <c r="G7405" t="s">
        <v>20</v>
      </c>
      <c r="J7405" t="s">
        <v>17</v>
      </c>
      <c r="K7405" t="str">
        <f>"763305300"</f>
        <v>763305300</v>
      </c>
      <c r="L7405" t="str">
        <f>"763305300"</f>
        <v>763305300</v>
      </c>
      <c r="M7405" t="s">
        <v>75</v>
      </c>
      <c r="N7405" s="1">
        <v>43231.654861111114</v>
      </c>
      <c r="O7405" t="s">
        <v>19</v>
      </c>
    </row>
    <row r="7406" spans="1:15" x14ac:dyDescent="0.25">
      <c r="A7406" t="s">
        <v>5283</v>
      </c>
      <c r="B7406" t="s">
        <v>15</v>
      </c>
      <c r="C7406" t="s">
        <v>25</v>
      </c>
      <c r="D7406" t="s">
        <v>17</v>
      </c>
      <c r="E7406" t="s">
        <v>18</v>
      </c>
      <c r="F7406" t="s">
        <v>19</v>
      </c>
      <c r="G7406" t="s">
        <v>20</v>
      </c>
      <c r="J7406" t="s">
        <v>17</v>
      </c>
      <c r="K7406" t="str">
        <f>"343305300"</f>
        <v>343305300</v>
      </c>
      <c r="L7406" t="str">
        <f>"343305300"</f>
        <v>343305300</v>
      </c>
      <c r="M7406" t="s">
        <v>75</v>
      </c>
      <c r="N7406" s="1">
        <v>43231.689583333333</v>
      </c>
      <c r="O7406" t="s">
        <v>19</v>
      </c>
    </row>
    <row r="7407" spans="1:15" x14ac:dyDescent="0.25">
      <c r="A7407" t="s">
        <v>5283</v>
      </c>
      <c r="B7407" t="s">
        <v>15</v>
      </c>
      <c r="C7407" t="s">
        <v>25</v>
      </c>
      <c r="D7407" t="s">
        <v>17</v>
      </c>
      <c r="E7407" t="s">
        <v>18</v>
      </c>
      <c r="F7407" t="s">
        <v>19</v>
      </c>
      <c r="G7407" t="s">
        <v>20</v>
      </c>
      <c r="J7407" t="s">
        <v>17</v>
      </c>
      <c r="K7407" t="str">
        <f>"683305300"</f>
        <v>683305300</v>
      </c>
      <c r="L7407" t="str">
        <f>"683305300"</f>
        <v>683305300</v>
      </c>
      <c r="M7407" t="s">
        <v>84</v>
      </c>
      <c r="N7407" s="1">
        <v>43545.779166666667</v>
      </c>
      <c r="O7407" t="s">
        <v>19</v>
      </c>
    </row>
    <row r="7408" spans="1:15" x14ac:dyDescent="0.25">
      <c r="A7408" t="s">
        <v>5283</v>
      </c>
      <c r="B7408" t="s">
        <v>15</v>
      </c>
      <c r="C7408" t="s">
        <v>25</v>
      </c>
      <c r="D7408" t="s">
        <v>17</v>
      </c>
      <c r="E7408" t="s">
        <v>18</v>
      </c>
      <c r="F7408" t="s">
        <v>19</v>
      </c>
      <c r="G7408" t="s">
        <v>20</v>
      </c>
      <c r="J7408" t="s">
        <v>17</v>
      </c>
      <c r="K7408" t="str">
        <f>"343314300"</f>
        <v>343314300</v>
      </c>
      <c r="L7408" t="str">
        <f>"343314300"</f>
        <v>343314300</v>
      </c>
      <c r="M7408" t="s">
        <v>21</v>
      </c>
      <c r="N7408" s="1">
        <v>43819.795138888891</v>
      </c>
      <c r="O7408" t="s">
        <v>19</v>
      </c>
    </row>
    <row r="7409" spans="1:15" x14ac:dyDescent="0.25">
      <c r="A7409" t="s">
        <v>5284</v>
      </c>
      <c r="B7409" t="s">
        <v>15</v>
      </c>
      <c r="C7409" t="s">
        <v>25</v>
      </c>
      <c r="D7409" t="s">
        <v>17</v>
      </c>
      <c r="E7409" t="s">
        <v>18</v>
      </c>
      <c r="F7409" t="s">
        <v>19</v>
      </c>
      <c r="G7409" t="s">
        <v>20</v>
      </c>
      <c r="J7409" t="s">
        <v>17</v>
      </c>
      <c r="K7409" t="str">
        <f>"763305303"</f>
        <v>763305303</v>
      </c>
      <c r="L7409" t="str">
        <f>"763305303"</f>
        <v>763305303</v>
      </c>
      <c r="M7409" t="s">
        <v>84</v>
      </c>
      <c r="N7409" s="1">
        <v>43308.637499999997</v>
      </c>
      <c r="O7409" t="s">
        <v>19</v>
      </c>
    </row>
    <row r="7410" spans="1:15" x14ac:dyDescent="0.25">
      <c r="A7410" t="s">
        <v>5284</v>
      </c>
      <c r="B7410" t="s">
        <v>15</v>
      </c>
      <c r="C7410" t="s">
        <v>25</v>
      </c>
      <c r="D7410" t="s">
        <v>17</v>
      </c>
      <c r="E7410" t="s">
        <v>18</v>
      </c>
      <c r="F7410" t="s">
        <v>19</v>
      </c>
      <c r="G7410" t="s">
        <v>20</v>
      </c>
      <c r="J7410" t="s">
        <v>17</v>
      </c>
      <c r="K7410" t="str">
        <f>"683305303"</f>
        <v>683305303</v>
      </c>
      <c r="L7410" t="str">
        <f>"683305303"</f>
        <v>683305303</v>
      </c>
      <c r="M7410" t="s">
        <v>84</v>
      </c>
      <c r="N7410" s="1">
        <v>43545.779861111114</v>
      </c>
      <c r="O7410" t="s">
        <v>19</v>
      </c>
    </row>
    <row r="7411" spans="1:15" x14ac:dyDescent="0.25">
      <c r="A7411" t="s">
        <v>5284</v>
      </c>
      <c r="B7411" t="s">
        <v>15</v>
      </c>
      <c r="C7411" t="s">
        <v>25</v>
      </c>
      <c r="D7411" t="s">
        <v>17</v>
      </c>
      <c r="E7411" t="s">
        <v>18</v>
      </c>
      <c r="F7411" t="s">
        <v>19</v>
      </c>
      <c r="G7411" t="s">
        <v>20</v>
      </c>
      <c r="J7411" t="s">
        <v>17</v>
      </c>
      <c r="K7411" t="str">
        <f>"343305303"</f>
        <v>343305303</v>
      </c>
      <c r="L7411" t="str">
        <f>"343305303"</f>
        <v>343305303</v>
      </c>
      <c r="M7411" t="s">
        <v>21</v>
      </c>
      <c r="N7411" s="1">
        <v>43668.682638888888</v>
      </c>
      <c r="O7411" t="s">
        <v>19</v>
      </c>
    </row>
    <row r="7412" spans="1:15" x14ac:dyDescent="0.25">
      <c r="A7412" t="s">
        <v>5285</v>
      </c>
      <c r="B7412" t="s">
        <v>15</v>
      </c>
      <c r="C7412" t="s">
        <v>25</v>
      </c>
      <c r="D7412" t="s">
        <v>17</v>
      </c>
      <c r="E7412" t="s">
        <v>18</v>
      </c>
      <c r="F7412" t="s">
        <v>19</v>
      </c>
      <c r="G7412" t="s">
        <v>20</v>
      </c>
      <c r="J7412" t="s">
        <v>17</v>
      </c>
      <c r="K7412" t="str">
        <f>"343305301"</f>
        <v>343305301</v>
      </c>
      <c r="L7412" t="str">
        <f>"343305301"</f>
        <v>343305301</v>
      </c>
      <c r="M7412" t="s">
        <v>75</v>
      </c>
      <c r="N7412" s="1">
        <v>43231.69027777778</v>
      </c>
      <c r="O7412" t="s">
        <v>19</v>
      </c>
    </row>
    <row r="7413" spans="1:15" x14ac:dyDescent="0.25">
      <c r="A7413" t="s">
        <v>5285</v>
      </c>
      <c r="B7413" t="s">
        <v>15</v>
      </c>
      <c r="C7413" t="s">
        <v>25</v>
      </c>
      <c r="D7413" t="s">
        <v>17</v>
      </c>
      <c r="E7413" t="s">
        <v>18</v>
      </c>
      <c r="F7413" t="s">
        <v>19</v>
      </c>
      <c r="G7413" t="s">
        <v>20</v>
      </c>
      <c r="J7413" t="s">
        <v>17</v>
      </c>
      <c r="K7413" t="str">
        <f>"763305305"</f>
        <v>763305305</v>
      </c>
      <c r="L7413" t="str">
        <f>"763305305"</f>
        <v>763305305</v>
      </c>
      <c r="M7413" t="s">
        <v>75</v>
      </c>
      <c r="N7413" s="1">
        <v>43244.970138888886</v>
      </c>
      <c r="O7413" t="s">
        <v>19</v>
      </c>
    </row>
    <row r="7414" spans="1:15" x14ac:dyDescent="0.25">
      <c r="A7414" t="s">
        <v>5285</v>
      </c>
      <c r="B7414" t="s">
        <v>15</v>
      </c>
      <c r="C7414" t="s">
        <v>25</v>
      </c>
      <c r="D7414" t="s">
        <v>17</v>
      </c>
      <c r="E7414" t="s">
        <v>18</v>
      </c>
      <c r="F7414" t="s">
        <v>19</v>
      </c>
      <c r="G7414" t="s">
        <v>20</v>
      </c>
      <c r="J7414" t="s">
        <v>17</v>
      </c>
      <c r="K7414" t="str">
        <f>"693305305"</f>
        <v>693305305</v>
      </c>
      <c r="L7414" t="str">
        <f>"693305305"</f>
        <v>693305305</v>
      </c>
      <c r="M7414" t="s">
        <v>84</v>
      </c>
      <c r="N7414" s="1">
        <v>43328.836805555555</v>
      </c>
      <c r="O7414" t="s">
        <v>19</v>
      </c>
    </row>
    <row r="7415" spans="1:15" x14ac:dyDescent="0.25">
      <c r="A7415" t="s">
        <v>5285</v>
      </c>
      <c r="B7415" t="s">
        <v>15</v>
      </c>
      <c r="C7415" t="s">
        <v>25</v>
      </c>
      <c r="D7415" t="s">
        <v>17</v>
      </c>
      <c r="E7415" t="s">
        <v>18</v>
      </c>
      <c r="F7415" t="s">
        <v>19</v>
      </c>
      <c r="G7415" t="s">
        <v>20</v>
      </c>
      <c r="J7415" t="s">
        <v>17</v>
      </c>
      <c r="K7415" t="str">
        <f>"765305305"</f>
        <v>765305305</v>
      </c>
      <c r="L7415" t="str">
        <f>"765305305"</f>
        <v>765305305</v>
      </c>
      <c r="M7415" t="s">
        <v>84</v>
      </c>
      <c r="N7415" s="1">
        <v>43328.961805555555</v>
      </c>
      <c r="O7415" t="s">
        <v>19</v>
      </c>
    </row>
    <row r="7416" spans="1:15" x14ac:dyDescent="0.25">
      <c r="A7416" t="s">
        <v>5286</v>
      </c>
      <c r="B7416" t="s">
        <v>15</v>
      </c>
      <c r="C7416" t="s">
        <v>25</v>
      </c>
      <c r="D7416" t="s">
        <v>17</v>
      </c>
      <c r="E7416" t="s">
        <v>18</v>
      </c>
      <c r="F7416" t="s">
        <v>19</v>
      </c>
      <c r="G7416" t="s">
        <v>20</v>
      </c>
      <c r="J7416" t="s">
        <v>17</v>
      </c>
      <c r="K7416" t="str">
        <f>"183305314"</f>
        <v>183305314</v>
      </c>
      <c r="L7416" t="str">
        <f>"183305314"</f>
        <v>183305314</v>
      </c>
      <c r="M7416" t="s">
        <v>21</v>
      </c>
      <c r="N7416" s="1">
        <v>43595.914583333331</v>
      </c>
      <c r="O7416" t="s">
        <v>19</v>
      </c>
    </row>
    <row r="7417" spans="1:15" x14ac:dyDescent="0.25">
      <c r="A7417" t="s">
        <v>5286</v>
      </c>
      <c r="B7417" t="s">
        <v>15</v>
      </c>
      <c r="C7417" t="s">
        <v>25</v>
      </c>
      <c r="D7417" t="s">
        <v>17</v>
      </c>
      <c r="E7417" t="s">
        <v>18</v>
      </c>
      <c r="F7417" t="s">
        <v>19</v>
      </c>
      <c r="G7417" t="s">
        <v>20</v>
      </c>
      <c r="J7417" t="s">
        <v>17</v>
      </c>
      <c r="K7417" t="str">
        <f>"763305314"</f>
        <v>763305314</v>
      </c>
      <c r="L7417" t="str">
        <f>"763305314"</f>
        <v>763305314</v>
      </c>
      <c r="M7417" t="s">
        <v>21</v>
      </c>
      <c r="N7417" s="1">
        <v>43610.811111111114</v>
      </c>
      <c r="O7417" t="s">
        <v>19</v>
      </c>
    </row>
    <row r="7418" spans="1:15" x14ac:dyDescent="0.25">
      <c r="A7418" t="s">
        <v>5287</v>
      </c>
      <c r="B7418" t="s">
        <v>15</v>
      </c>
      <c r="C7418" t="s">
        <v>25</v>
      </c>
      <c r="D7418" t="s">
        <v>17</v>
      </c>
      <c r="E7418" t="s">
        <v>18</v>
      </c>
      <c r="F7418" t="s">
        <v>19</v>
      </c>
      <c r="G7418" t="s">
        <v>20</v>
      </c>
      <c r="J7418" t="s">
        <v>17</v>
      </c>
      <c r="K7418" t="str">
        <f>"2019029900626"</f>
        <v>2019029900626</v>
      </c>
      <c r="L7418" t="str">
        <f>"183305316"</f>
        <v>183305316</v>
      </c>
      <c r="M7418" t="s">
        <v>21</v>
      </c>
      <c r="N7418" s="1">
        <v>43595.914583333331</v>
      </c>
      <c r="O7418" t="s">
        <v>19</v>
      </c>
    </row>
    <row r="7419" spans="1:15" x14ac:dyDescent="0.25">
      <c r="A7419" t="s">
        <v>5287</v>
      </c>
      <c r="B7419" t="s">
        <v>15</v>
      </c>
      <c r="C7419" t="s">
        <v>25</v>
      </c>
      <c r="D7419" t="s">
        <v>17</v>
      </c>
      <c r="E7419" t="s">
        <v>18</v>
      </c>
      <c r="F7419" t="s">
        <v>19</v>
      </c>
      <c r="G7419" t="s">
        <v>20</v>
      </c>
      <c r="J7419" t="s">
        <v>17</v>
      </c>
      <c r="K7419" t="str">
        <f>"343305316"</f>
        <v>343305316</v>
      </c>
      <c r="L7419" t="str">
        <f>"343305316"</f>
        <v>343305316</v>
      </c>
      <c r="M7419" t="s">
        <v>21</v>
      </c>
      <c r="N7419" s="1">
        <v>43668.680555555555</v>
      </c>
      <c r="O7419" t="s">
        <v>19</v>
      </c>
    </row>
    <row r="7420" spans="1:15" x14ac:dyDescent="0.25">
      <c r="A7420" t="s">
        <v>5287</v>
      </c>
      <c r="B7420" t="s">
        <v>15</v>
      </c>
      <c r="C7420" t="s">
        <v>25</v>
      </c>
      <c r="D7420" t="s">
        <v>17</v>
      </c>
      <c r="E7420" t="s">
        <v>18</v>
      </c>
      <c r="F7420" t="s">
        <v>19</v>
      </c>
      <c r="G7420" t="s">
        <v>20</v>
      </c>
      <c r="J7420" t="s">
        <v>17</v>
      </c>
      <c r="K7420" t="str">
        <f>"1578151197782"</f>
        <v>1578151197782</v>
      </c>
      <c r="L7420" t="str">
        <f>"61330595"</f>
        <v>61330595</v>
      </c>
      <c r="M7420" t="s">
        <v>21</v>
      </c>
      <c r="N7420" s="1">
        <v>43834.638194444444</v>
      </c>
      <c r="O7420" t="s">
        <v>19</v>
      </c>
    </row>
    <row r="7421" spans="1:15" x14ac:dyDescent="0.25">
      <c r="A7421" t="s">
        <v>5288</v>
      </c>
      <c r="B7421" t="s">
        <v>15</v>
      </c>
      <c r="C7421" t="s">
        <v>25</v>
      </c>
      <c r="D7421" t="s">
        <v>17</v>
      </c>
      <c r="E7421" t="s">
        <v>18</v>
      </c>
      <c r="F7421" t="s">
        <v>19</v>
      </c>
      <c r="G7421" t="s">
        <v>20</v>
      </c>
      <c r="J7421" t="s">
        <v>17</v>
      </c>
      <c r="K7421" t="str">
        <f>"34330548"</f>
        <v>34330548</v>
      </c>
      <c r="L7421" t="str">
        <f>"34330548"</f>
        <v>34330548</v>
      </c>
      <c r="M7421" t="s">
        <v>75</v>
      </c>
      <c r="N7421" s="1">
        <v>42872.839583333334</v>
      </c>
      <c r="O7421" t="s">
        <v>19</v>
      </c>
    </row>
    <row r="7422" spans="1:15" x14ac:dyDescent="0.25">
      <c r="A7422" t="s">
        <v>5288</v>
      </c>
      <c r="B7422" t="s">
        <v>15</v>
      </c>
      <c r="C7422" t="s">
        <v>25</v>
      </c>
      <c r="D7422" t="s">
        <v>17</v>
      </c>
      <c r="E7422" t="s">
        <v>18</v>
      </c>
      <c r="F7422" t="s">
        <v>19</v>
      </c>
      <c r="G7422" t="s">
        <v>20</v>
      </c>
      <c r="J7422" t="s">
        <v>17</v>
      </c>
      <c r="K7422" t="str">
        <f>"2020060901138"</f>
        <v>2020060901138</v>
      </c>
      <c r="L7422" t="str">
        <f>"183305327"</f>
        <v>183305327</v>
      </c>
      <c r="M7422" t="s">
        <v>21</v>
      </c>
      <c r="N7422" s="1">
        <v>43661.886805555558</v>
      </c>
      <c r="O7422" t="s">
        <v>19</v>
      </c>
    </row>
    <row r="7423" spans="1:15" x14ac:dyDescent="0.25">
      <c r="A7423" t="s">
        <v>5289</v>
      </c>
      <c r="B7423" t="s">
        <v>15</v>
      </c>
      <c r="C7423" t="s">
        <v>25</v>
      </c>
      <c r="D7423" t="s">
        <v>17</v>
      </c>
      <c r="E7423" t="s">
        <v>18</v>
      </c>
      <c r="F7423" t="s">
        <v>19</v>
      </c>
      <c r="G7423" t="s">
        <v>20</v>
      </c>
      <c r="J7423" t="s">
        <v>17</v>
      </c>
      <c r="K7423" t="str">
        <f>"763305302"</f>
        <v>763305302</v>
      </c>
      <c r="L7423" t="str">
        <f>"763305302"</f>
        <v>763305302</v>
      </c>
      <c r="M7423" t="s">
        <v>75</v>
      </c>
      <c r="N7423" s="1">
        <v>43033.85</v>
      </c>
      <c r="O7423" t="s">
        <v>19</v>
      </c>
    </row>
    <row r="7424" spans="1:15" x14ac:dyDescent="0.25">
      <c r="A7424" t="s">
        <v>5289</v>
      </c>
      <c r="B7424" t="s">
        <v>15</v>
      </c>
      <c r="C7424" t="s">
        <v>25</v>
      </c>
      <c r="D7424" t="s">
        <v>17</v>
      </c>
      <c r="E7424" t="s">
        <v>18</v>
      </c>
      <c r="F7424" t="s">
        <v>19</v>
      </c>
      <c r="G7424" t="s">
        <v>20</v>
      </c>
      <c r="J7424" t="s">
        <v>17</v>
      </c>
      <c r="K7424" t="str">
        <f>"1802007180131"</f>
        <v>1802007180131</v>
      </c>
      <c r="L7424" t="str">
        <f>"183305328"</f>
        <v>183305328</v>
      </c>
      <c r="M7424" t="s">
        <v>21</v>
      </c>
      <c r="N7424" s="1">
        <v>43397.625</v>
      </c>
      <c r="O7424" t="s">
        <v>19</v>
      </c>
    </row>
    <row r="7425" spans="1:15" x14ac:dyDescent="0.25">
      <c r="A7425" t="s">
        <v>5290</v>
      </c>
      <c r="B7425" t="s">
        <v>15</v>
      </c>
      <c r="C7425" t="s">
        <v>25</v>
      </c>
      <c r="D7425" t="s">
        <v>17</v>
      </c>
      <c r="E7425" t="s">
        <v>18</v>
      </c>
      <c r="F7425" t="s">
        <v>19</v>
      </c>
      <c r="G7425" t="s">
        <v>20</v>
      </c>
      <c r="J7425" t="s">
        <v>17</v>
      </c>
      <c r="K7425" t="str">
        <f>"34330598"</f>
        <v>34330598</v>
      </c>
      <c r="L7425" t="str">
        <f>"34330598"</f>
        <v>34330598</v>
      </c>
      <c r="M7425" t="s">
        <v>75</v>
      </c>
      <c r="N7425" s="1">
        <v>42872.839583333334</v>
      </c>
      <c r="O7425" t="s">
        <v>19</v>
      </c>
    </row>
    <row r="7426" spans="1:15" x14ac:dyDescent="0.25">
      <c r="A7426" t="s">
        <v>5290</v>
      </c>
      <c r="B7426" t="s">
        <v>15</v>
      </c>
      <c r="C7426" t="s">
        <v>25</v>
      </c>
      <c r="D7426" t="s">
        <v>17</v>
      </c>
      <c r="E7426" t="s">
        <v>18</v>
      </c>
      <c r="F7426" t="s">
        <v>19</v>
      </c>
      <c r="G7426" t="s">
        <v>20</v>
      </c>
      <c r="J7426" t="s">
        <v>17</v>
      </c>
      <c r="K7426" t="str">
        <f>"34530598"</f>
        <v>34530598</v>
      </c>
      <c r="L7426" t="str">
        <f>"34530598"</f>
        <v>34530598</v>
      </c>
      <c r="M7426" t="s">
        <v>75</v>
      </c>
      <c r="N7426" s="1">
        <v>42872.839583333334</v>
      </c>
      <c r="O7426" t="s">
        <v>19</v>
      </c>
    </row>
    <row r="7427" spans="1:15" x14ac:dyDescent="0.25">
      <c r="A7427" t="s">
        <v>5290</v>
      </c>
      <c r="B7427" t="s">
        <v>15</v>
      </c>
      <c r="C7427" t="s">
        <v>25</v>
      </c>
      <c r="D7427" t="s">
        <v>17</v>
      </c>
      <c r="E7427" t="s">
        <v>18</v>
      </c>
      <c r="F7427" t="s">
        <v>19</v>
      </c>
      <c r="G7427" t="s">
        <v>20</v>
      </c>
      <c r="J7427" t="s">
        <v>17</v>
      </c>
      <c r="K7427" t="str">
        <f>"76330598"</f>
        <v>76330598</v>
      </c>
      <c r="L7427" t="str">
        <f>"76330598"</f>
        <v>76330598</v>
      </c>
      <c r="M7427" t="s">
        <v>75</v>
      </c>
      <c r="N7427" s="1">
        <v>42872.847222222219</v>
      </c>
      <c r="O7427" t="s">
        <v>19</v>
      </c>
    </row>
    <row r="7428" spans="1:15" x14ac:dyDescent="0.25">
      <c r="A7428" t="s">
        <v>5290</v>
      </c>
      <c r="B7428" t="s">
        <v>15</v>
      </c>
      <c r="C7428" t="s">
        <v>25</v>
      </c>
      <c r="D7428" t="s">
        <v>17</v>
      </c>
      <c r="E7428" t="s">
        <v>18</v>
      </c>
      <c r="F7428" t="s">
        <v>19</v>
      </c>
      <c r="G7428" t="s">
        <v>20</v>
      </c>
      <c r="J7428" t="s">
        <v>17</v>
      </c>
      <c r="K7428" t="str">
        <f>"76530598"</f>
        <v>76530598</v>
      </c>
      <c r="L7428" t="str">
        <f>"76530598"</f>
        <v>76530598</v>
      </c>
      <c r="M7428" t="s">
        <v>75</v>
      </c>
      <c r="N7428" s="1">
        <v>42872.847222222219</v>
      </c>
      <c r="O7428" t="s">
        <v>19</v>
      </c>
    </row>
    <row r="7429" spans="1:15" x14ac:dyDescent="0.25">
      <c r="A7429" t="s">
        <v>5290</v>
      </c>
      <c r="B7429" t="s">
        <v>15</v>
      </c>
      <c r="C7429" t="s">
        <v>25</v>
      </c>
      <c r="D7429" t="s">
        <v>17</v>
      </c>
      <c r="E7429" t="s">
        <v>18</v>
      </c>
      <c r="F7429" t="s">
        <v>19</v>
      </c>
      <c r="G7429" t="s">
        <v>20</v>
      </c>
      <c r="J7429" t="s">
        <v>17</v>
      </c>
      <c r="K7429" t="str">
        <f>"76530516"</f>
        <v>76530516</v>
      </c>
      <c r="L7429" t="str">
        <f>"76530516"</f>
        <v>76530516</v>
      </c>
      <c r="M7429" t="s">
        <v>21</v>
      </c>
      <c r="N7429" s="1">
        <v>42872.847222222219</v>
      </c>
      <c r="O7429" t="s">
        <v>33</v>
      </c>
    </row>
    <row r="7430" spans="1:15" x14ac:dyDescent="0.25">
      <c r="A7430" t="s">
        <v>5291</v>
      </c>
      <c r="B7430" t="s">
        <v>15</v>
      </c>
      <c r="C7430" t="s">
        <v>25</v>
      </c>
      <c r="D7430" t="s">
        <v>17</v>
      </c>
      <c r="E7430" t="s">
        <v>18</v>
      </c>
      <c r="F7430" t="s">
        <v>19</v>
      </c>
      <c r="G7430" t="s">
        <v>20</v>
      </c>
      <c r="J7430" t="s">
        <v>17</v>
      </c>
      <c r="K7430" t="str">
        <f>"34530548"</f>
        <v>34530548</v>
      </c>
      <c r="L7430" t="str">
        <f>"34530548"</f>
        <v>34530548</v>
      </c>
      <c r="M7430" t="s">
        <v>75</v>
      </c>
      <c r="N7430" s="1">
        <v>42872.839583333334</v>
      </c>
      <c r="O7430" t="s">
        <v>19</v>
      </c>
    </row>
    <row r="7431" spans="1:15" x14ac:dyDescent="0.25">
      <c r="A7431" t="s">
        <v>5291</v>
      </c>
      <c r="B7431" t="s">
        <v>15</v>
      </c>
      <c r="C7431" t="s">
        <v>25</v>
      </c>
      <c r="D7431" t="s">
        <v>17</v>
      </c>
      <c r="E7431" t="s">
        <v>18</v>
      </c>
      <c r="F7431" t="s">
        <v>19</v>
      </c>
      <c r="G7431" t="s">
        <v>20</v>
      </c>
      <c r="J7431" t="s">
        <v>17</v>
      </c>
      <c r="K7431" t="str">
        <f>"76330548"</f>
        <v>76330548</v>
      </c>
      <c r="L7431" t="str">
        <f>"76330548"</f>
        <v>76330548</v>
      </c>
      <c r="M7431" t="s">
        <v>75</v>
      </c>
      <c r="N7431" s="1">
        <v>42872.847222222219</v>
      </c>
      <c r="O7431" t="s">
        <v>19</v>
      </c>
    </row>
    <row r="7432" spans="1:15" x14ac:dyDescent="0.25">
      <c r="A7432" t="s">
        <v>5291</v>
      </c>
      <c r="B7432" t="s">
        <v>15</v>
      </c>
      <c r="C7432" t="s">
        <v>25</v>
      </c>
      <c r="D7432" t="s">
        <v>17</v>
      </c>
      <c r="E7432" t="s">
        <v>18</v>
      </c>
      <c r="F7432" t="s">
        <v>19</v>
      </c>
      <c r="G7432" t="s">
        <v>20</v>
      </c>
      <c r="J7432" t="s">
        <v>17</v>
      </c>
      <c r="K7432" t="str">
        <f>"76530548"</f>
        <v>76530548</v>
      </c>
      <c r="L7432" t="str">
        <f>"76530548"</f>
        <v>76530548</v>
      </c>
      <c r="M7432" t="s">
        <v>75</v>
      </c>
      <c r="N7432" s="1">
        <v>42872.847222222219</v>
      </c>
      <c r="O7432" t="s">
        <v>19</v>
      </c>
    </row>
    <row r="7433" spans="1:15" x14ac:dyDescent="0.25">
      <c r="A7433" t="s">
        <v>5291</v>
      </c>
      <c r="B7433" t="s">
        <v>15</v>
      </c>
      <c r="C7433" t="s">
        <v>25</v>
      </c>
      <c r="D7433" t="s">
        <v>17</v>
      </c>
      <c r="E7433" t="s">
        <v>18</v>
      </c>
      <c r="F7433" t="s">
        <v>19</v>
      </c>
      <c r="G7433" t="s">
        <v>20</v>
      </c>
      <c r="J7433" t="s">
        <v>17</v>
      </c>
      <c r="K7433" t="str">
        <f>"175305103"</f>
        <v>175305103</v>
      </c>
      <c r="L7433" t="str">
        <f>"175305103"</f>
        <v>175305103</v>
      </c>
      <c r="M7433" t="s">
        <v>75</v>
      </c>
      <c r="N7433" s="1">
        <v>42872.849305555559</v>
      </c>
      <c r="O7433" t="s">
        <v>19</v>
      </c>
    </row>
    <row r="7434" spans="1:15" x14ac:dyDescent="0.25">
      <c r="A7434" t="s">
        <v>5291</v>
      </c>
      <c r="B7434" t="s">
        <v>15</v>
      </c>
      <c r="C7434" t="s">
        <v>25</v>
      </c>
      <c r="D7434" t="s">
        <v>17</v>
      </c>
      <c r="E7434" t="s">
        <v>18</v>
      </c>
      <c r="F7434" t="s">
        <v>19</v>
      </c>
      <c r="G7434" t="s">
        <v>20</v>
      </c>
      <c r="J7434" t="s">
        <v>17</v>
      </c>
      <c r="K7434" t="str">
        <f>"765305103"</f>
        <v>765305103</v>
      </c>
      <c r="L7434" t="str">
        <f>"765305103"</f>
        <v>765305103</v>
      </c>
      <c r="M7434" t="s">
        <v>75</v>
      </c>
      <c r="N7434" s="1">
        <v>42872.849305555559</v>
      </c>
      <c r="O7434" t="s">
        <v>19</v>
      </c>
    </row>
    <row r="7435" spans="1:15" x14ac:dyDescent="0.25">
      <c r="A7435" t="s">
        <v>5292</v>
      </c>
      <c r="B7435" t="s">
        <v>15</v>
      </c>
      <c r="C7435" t="s">
        <v>25</v>
      </c>
      <c r="D7435" t="s">
        <v>17</v>
      </c>
      <c r="E7435" t="s">
        <v>18</v>
      </c>
      <c r="F7435" t="s">
        <v>19</v>
      </c>
      <c r="G7435" t="s">
        <v>20</v>
      </c>
      <c r="J7435" t="s">
        <v>17</v>
      </c>
      <c r="K7435" t="str">
        <f>"345305231"</f>
        <v>345305231</v>
      </c>
      <c r="L7435" t="str">
        <f>"345305231"</f>
        <v>345305231</v>
      </c>
      <c r="M7435" t="s">
        <v>75</v>
      </c>
      <c r="N7435" s="1">
        <v>42872.849305555559</v>
      </c>
      <c r="O7435" t="s">
        <v>19</v>
      </c>
    </row>
    <row r="7436" spans="1:15" x14ac:dyDescent="0.25">
      <c r="A7436" t="s">
        <v>5292</v>
      </c>
      <c r="B7436" t="s">
        <v>15</v>
      </c>
      <c r="C7436" t="s">
        <v>25</v>
      </c>
      <c r="D7436" t="s">
        <v>17</v>
      </c>
      <c r="E7436" t="s">
        <v>18</v>
      </c>
      <c r="F7436" t="s">
        <v>19</v>
      </c>
      <c r="G7436" t="s">
        <v>20</v>
      </c>
      <c r="J7436" t="s">
        <v>17</v>
      </c>
      <c r="K7436" t="str">
        <f>"765309238"</f>
        <v>765309238</v>
      </c>
      <c r="L7436" t="str">
        <f>"765309238"</f>
        <v>765309238</v>
      </c>
      <c r="M7436" t="s">
        <v>75</v>
      </c>
      <c r="N7436" s="1">
        <v>42872.849305555559</v>
      </c>
      <c r="O7436" t="s">
        <v>19</v>
      </c>
    </row>
    <row r="7437" spans="1:15" x14ac:dyDescent="0.25">
      <c r="A7437" t="s">
        <v>5292</v>
      </c>
      <c r="B7437" t="s">
        <v>15</v>
      </c>
      <c r="C7437" t="s">
        <v>25</v>
      </c>
      <c r="D7437" t="s">
        <v>17</v>
      </c>
      <c r="E7437" t="s">
        <v>18</v>
      </c>
      <c r="F7437" t="s">
        <v>19</v>
      </c>
      <c r="G7437" t="s">
        <v>20</v>
      </c>
      <c r="J7437" t="s">
        <v>17</v>
      </c>
      <c r="K7437" t="str">
        <f>"763305238"</f>
        <v>763305238</v>
      </c>
      <c r="L7437" t="str">
        <f>"763305238"</f>
        <v>763305238</v>
      </c>
      <c r="M7437" t="s">
        <v>75</v>
      </c>
      <c r="N7437" s="1">
        <v>42872.849305555559</v>
      </c>
      <c r="O7437" t="s">
        <v>19</v>
      </c>
    </row>
    <row r="7438" spans="1:15" x14ac:dyDescent="0.25">
      <c r="A7438" t="s">
        <v>5292</v>
      </c>
      <c r="B7438" t="s">
        <v>15</v>
      </c>
      <c r="C7438" t="s">
        <v>25</v>
      </c>
      <c r="D7438" t="s">
        <v>17</v>
      </c>
      <c r="E7438" t="s">
        <v>18</v>
      </c>
      <c r="F7438" t="s">
        <v>19</v>
      </c>
      <c r="G7438" t="s">
        <v>20</v>
      </c>
      <c r="J7438" t="s">
        <v>17</v>
      </c>
      <c r="K7438" t="str">
        <f>"765305238"</f>
        <v>765305238</v>
      </c>
      <c r="L7438" t="str">
        <f>"765305238"</f>
        <v>765305238</v>
      </c>
      <c r="M7438" t="s">
        <v>75</v>
      </c>
      <c r="N7438" s="1">
        <v>42872.849305555559</v>
      </c>
      <c r="O7438" t="s">
        <v>19</v>
      </c>
    </row>
    <row r="7439" spans="1:15" x14ac:dyDescent="0.25">
      <c r="A7439" t="s">
        <v>5292</v>
      </c>
      <c r="B7439" t="s">
        <v>15</v>
      </c>
      <c r="C7439" t="s">
        <v>25</v>
      </c>
      <c r="D7439" t="s">
        <v>17</v>
      </c>
      <c r="E7439" t="s">
        <v>18</v>
      </c>
      <c r="F7439" t="s">
        <v>19</v>
      </c>
      <c r="G7439" t="s">
        <v>20</v>
      </c>
      <c r="J7439" t="s">
        <v>17</v>
      </c>
      <c r="K7439" t="str">
        <f>"345305238"</f>
        <v>345305238</v>
      </c>
      <c r="L7439" t="str">
        <f>"345305238"</f>
        <v>345305238</v>
      </c>
      <c r="M7439" t="s">
        <v>75</v>
      </c>
      <c r="N7439" s="1">
        <v>42990.671527777777</v>
      </c>
      <c r="O7439" t="s">
        <v>19</v>
      </c>
    </row>
    <row r="7440" spans="1:15" x14ac:dyDescent="0.25">
      <c r="A7440" t="s">
        <v>5292</v>
      </c>
      <c r="B7440" t="s">
        <v>15</v>
      </c>
      <c r="C7440" t="s">
        <v>25</v>
      </c>
      <c r="D7440" t="s">
        <v>17</v>
      </c>
      <c r="E7440" t="s">
        <v>18</v>
      </c>
      <c r="F7440" t="s">
        <v>19</v>
      </c>
      <c r="G7440" t="s">
        <v>20</v>
      </c>
      <c r="J7440" t="s">
        <v>17</v>
      </c>
      <c r="K7440" t="str">
        <f>"993305238"</f>
        <v>993305238</v>
      </c>
      <c r="L7440" t="str">
        <f>"993305238"</f>
        <v>993305238</v>
      </c>
      <c r="M7440" t="s">
        <v>75</v>
      </c>
      <c r="N7440" s="1">
        <v>43244.873611111114</v>
      </c>
      <c r="O7440" t="s">
        <v>19</v>
      </c>
    </row>
    <row r="7441" spans="1:15" x14ac:dyDescent="0.25">
      <c r="A7441" t="s">
        <v>5292</v>
      </c>
      <c r="B7441" t="s">
        <v>15</v>
      </c>
      <c r="C7441" t="s">
        <v>25</v>
      </c>
      <c r="D7441" t="s">
        <v>17</v>
      </c>
      <c r="E7441" t="s">
        <v>18</v>
      </c>
      <c r="F7441" t="s">
        <v>19</v>
      </c>
      <c r="G7441" t="s">
        <v>20</v>
      </c>
      <c r="J7441" t="s">
        <v>17</v>
      </c>
      <c r="K7441" t="str">
        <f>"1505232476307"</f>
        <v>1505232476307</v>
      </c>
      <c r="L7441" t="str">
        <f>"1505232476307"</f>
        <v>1505232476307</v>
      </c>
      <c r="M7441" t="s">
        <v>21</v>
      </c>
      <c r="N7441" s="1">
        <v>42990.671527777777</v>
      </c>
      <c r="O7441" t="s">
        <v>33</v>
      </c>
    </row>
    <row r="7442" spans="1:15" x14ac:dyDescent="0.25">
      <c r="A7442" t="s">
        <v>5293</v>
      </c>
      <c r="B7442" t="s">
        <v>15</v>
      </c>
      <c r="C7442" t="s">
        <v>25</v>
      </c>
      <c r="D7442" t="s">
        <v>17</v>
      </c>
      <c r="E7442" t="s">
        <v>18</v>
      </c>
      <c r="F7442" t="s">
        <v>19</v>
      </c>
      <c r="G7442" t="s">
        <v>20</v>
      </c>
      <c r="J7442" t="s">
        <v>17</v>
      </c>
      <c r="K7442" t="str">
        <f>"343305247"</f>
        <v>343305247</v>
      </c>
      <c r="L7442" t="str">
        <f>"343305247"</f>
        <v>343305247</v>
      </c>
      <c r="M7442" t="s">
        <v>75</v>
      </c>
      <c r="N7442" s="1">
        <v>42872.849305555559</v>
      </c>
      <c r="O7442" t="s">
        <v>19</v>
      </c>
    </row>
    <row r="7443" spans="1:15" x14ac:dyDescent="0.25">
      <c r="A7443" t="s">
        <v>5293</v>
      </c>
      <c r="B7443" t="s">
        <v>15</v>
      </c>
      <c r="C7443" t="s">
        <v>25</v>
      </c>
      <c r="D7443" t="s">
        <v>17</v>
      </c>
      <c r="E7443" t="s">
        <v>18</v>
      </c>
      <c r="F7443" t="s">
        <v>19</v>
      </c>
      <c r="G7443" t="s">
        <v>20</v>
      </c>
      <c r="J7443" t="s">
        <v>17</v>
      </c>
      <c r="K7443" t="str">
        <f>"345305247"</f>
        <v>345305247</v>
      </c>
      <c r="L7443" t="str">
        <f>"345305247"</f>
        <v>345305247</v>
      </c>
      <c r="M7443" t="s">
        <v>75</v>
      </c>
      <c r="N7443" s="1">
        <v>42872.849305555559</v>
      </c>
      <c r="O7443" t="s">
        <v>19</v>
      </c>
    </row>
    <row r="7444" spans="1:15" x14ac:dyDescent="0.25">
      <c r="A7444" t="s">
        <v>5293</v>
      </c>
      <c r="B7444" t="s">
        <v>15</v>
      </c>
      <c r="C7444" t="s">
        <v>25</v>
      </c>
      <c r="D7444" t="s">
        <v>17</v>
      </c>
      <c r="E7444" t="s">
        <v>18</v>
      </c>
      <c r="F7444" t="s">
        <v>19</v>
      </c>
      <c r="G7444" t="s">
        <v>20</v>
      </c>
      <c r="J7444" t="s">
        <v>17</v>
      </c>
      <c r="K7444" t="str">
        <f>"763305247"</f>
        <v>763305247</v>
      </c>
      <c r="L7444" t="str">
        <f>"763305247"</f>
        <v>763305247</v>
      </c>
      <c r="M7444" t="s">
        <v>75</v>
      </c>
      <c r="N7444" s="1">
        <v>42872.849305555559</v>
      </c>
      <c r="O7444" t="s">
        <v>19</v>
      </c>
    </row>
    <row r="7445" spans="1:15" x14ac:dyDescent="0.25">
      <c r="A7445" t="s">
        <v>5293</v>
      </c>
      <c r="B7445" t="s">
        <v>15</v>
      </c>
      <c r="C7445" t="s">
        <v>25</v>
      </c>
      <c r="D7445" t="s">
        <v>17</v>
      </c>
      <c r="E7445" t="s">
        <v>18</v>
      </c>
      <c r="F7445" t="s">
        <v>19</v>
      </c>
      <c r="G7445" t="s">
        <v>20</v>
      </c>
      <c r="J7445" t="s">
        <v>17</v>
      </c>
      <c r="K7445" t="str">
        <f>"765305247"</f>
        <v>765305247</v>
      </c>
      <c r="L7445" t="str">
        <f>"765305247"</f>
        <v>765305247</v>
      </c>
      <c r="M7445" t="s">
        <v>75</v>
      </c>
      <c r="N7445" s="1">
        <v>42872.849305555559</v>
      </c>
      <c r="O7445" t="s">
        <v>19</v>
      </c>
    </row>
    <row r="7446" spans="1:15" x14ac:dyDescent="0.25">
      <c r="A7446" t="s">
        <v>5293</v>
      </c>
      <c r="B7446" t="s">
        <v>15</v>
      </c>
      <c r="C7446" t="s">
        <v>25</v>
      </c>
      <c r="D7446" t="s">
        <v>17</v>
      </c>
      <c r="E7446" t="s">
        <v>18</v>
      </c>
      <c r="F7446" t="s">
        <v>19</v>
      </c>
      <c r="G7446" t="s">
        <v>20</v>
      </c>
      <c r="J7446" t="s">
        <v>17</v>
      </c>
      <c r="K7446" t="str">
        <f>"863305247"</f>
        <v>863305247</v>
      </c>
      <c r="L7446" t="str">
        <f>"863305247"</f>
        <v>863305247</v>
      </c>
      <c r="M7446" t="s">
        <v>75</v>
      </c>
      <c r="N7446" s="1">
        <v>42872.849305555559</v>
      </c>
      <c r="O7446" t="s">
        <v>19</v>
      </c>
    </row>
    <row r="7447" spans="1:15" x14ac:dyDescent="0.25">
      <c r="A7447" t="s">
        <v>5293</v>
      </c>
      <c r="B7447" t="s">
        <v>15</v>
      </c>
      <c r="C7447" t="s">
        <v>25</v>
      </c>
      <c r="D7447" t="s">
        <v>17</v>
      </c>
      <c r="E7447" t="s">
        <v>18</v>
      </c>
      <c r="F7447" t="s">
        <v>19</v>
      </c>
      <c r="G7447" t="s">
        <v>20</v>
      </c>
      <c r="J7447" t="s">
        <v>17</v>
      </c>
      <c r="K7447" t="str">
        <f>"173305247"</f>
        <v>173305247</v>
      </c>
      <c r="L7447" t="str">
        <f>"173305247"</f>
        <v>173305247</v>
      </c>
      <c r="M7447" t="s">
        <v>75</v>
      </c>
      <c r="N7447" s="1">
        <v>43131.93472222222</v>
      </c>
      <c r="O7447" t="s">
        <v>19</v>
      </c>
    </row>
    <row r="7448" spans="1:15" x14ac:dyDescent="0.25">
      <c r="A7448" t="s">
        <v>5293</v>
      </c>
      <c r="B7448" t="s">
        <v>15</v>
      </c>
      <c r="C7448" t="s">
        <v>25</v>
      </c>
      <c r="D7448" t="s">
        <v>17</v>
      </c>
      <c r="E7448" t="s">
        <v>18</v>
      </c>
      <c r="F7448" t="s">
        <v>19</v>
      </c>
      <c r="G7448" t="s">
        <v>20</v>
      </c>
      <c r="J7448" t="s">
        <v>17</v>
      </c>
      <c r="K7448" t="str">
        <f>"175305247"</f>
        <v>175305247</v>
      </c>
      <c r="L7448" t="str">
        <f>"175305247"</f>
        <v>175305247</v>
      </c>
      <c r="M7448" t="s">
        <v>84</v>
      </c>
      <c r="N7448" s="1">
        <v>43267.835416666669</v>
      </c>
      <c r="O7448" t="s">
        <v>19</v>
      </c>
    </row>
    <row r="7449" spans="1:15" x14ac:dyDescent="0.25">
      <c r="A7449" t="s">
        <v>5294</v>
      </c>
      <c r="B7449" t="s">
        <v>15</v>
      </c>
      <c r="C7449" t="s">
        <v>25</v>
      </c>
      <c r="D7449" t="s">
        <v>17</v>
      </c>
      <c r="E7449" t="s">
        <v>18</v>
      </c>
      <c r="F7449" t="s">
        <v>19</v>
      </c>
      <c r="G7449" t="s">
        <v>20</v>
      </c>
      <c r="J7449" t="s">
        <v>17</v>
      </c>
      <c r="K7449" t="str">
        <f>"763305299"</f>
        <v>763305299</v>
      </c>
      <c r="L7449" t="str">
        <f>"763305299"</f>
        <v>763305299</v>
      </c>
      <c r="M7449" t="s">
        <v>75</v>
      </c>
      <c r="N7449" s="1">
        <v>42950.925000000003</v>
      </c>
      <c r="O7449" t="s">
        <v>19</v>
      </c>
    </row>
    <row r="7450" spans="1:15" x14ac:dyDescent="0.25">
      <c r="A7450" t="s">
        <v>5294</v>
      </c>
      <c r="B7450" t="s">
        <v>15</v>
      </c>
      <c r="C7450" t="s">
        <v>25</v>
      </c>
      <c r="D7450" t="s">
        <v>17</v>
      </c>
      <c r="E7450" t="s">
        <v>18</v>
      </c>
      <c r="F7450" t="s">
        <v>19</v>
      </c>
      <c r="G7450" t="s">
        <v>20</v>
      </c>
      <c r="J7450" t="s">
        <v>17</v>
      </c>
      <c r="K7450" t="str">
        <f>"173305299"</f>
        <v>173305299</v>
      </c>
      <c r="L7450" t="str">
        <f>"173305299"</f>
        <v>173305299</v>
      </c>
      <c r="M7450" t="s">
        <v>75</v>
      </c>
      <c r="N7450" s="1">
        <v>43131.9375</v>
      </c>
      <c r="O7450" t="s">
        <v>19</v>
      </c>
    </row>
    <row r="7451" spans="1:15" x14ac:dyDescent="0.25">
      <c r="A7451" t="s">
        <v>5294</v>
      </c>
      <c r="B7451" t="s">
        <v>15</v>
      </c>
      <c r="C7451" t="s">
        <v>25</v>
      </c>
      <c r="D7451" t="s">
        <v>17</v>
      </c>
      <c r="E7451" t="s">
        <v>18</v>
      </c>
      <c r="F7451" t="s">
        <v>19</v>
      </c>
      <c r="G7451" t="s">
        <v>20</v>
      </c>
      <c r="J7451" t="s">
        <v>17</v>
      </c>
      <c r="K7451" t="str">
        <f>"693305299"</f>
        <v>693305299</v>
      </c>
      <c r="L7451" t="str">
        <f>"693305299"</f>
        <v>693305299</v>
      </c>
      <c r="M7451" t="s">
        <v>84</v>
      </c>
      <c r="N7451" s="1">
        <v>43328.837500000001</v>
      </c>
      <c r="O7451" t="s">
        <v>19</v>
      </c>
    </row>
    <row r="7452" spans="1:15" x14ac:dyDescent="0.25">
      <c r="A7452" t="s">
        <v>5294</v>
      </c>
      <c r="B7452" t="s">
        <v>15</v>
      </c>
      <c r="C7452" t="s">
        <v>25</v>
      </c>
      <c r="D7452" t="s">
        <v>17</v>
      </c>
      <c r="E7452" t="s">
        <v>18</v>
      </c>
      <c r="F7452" t="s">
        <v>19</v>
      </c>
      <c r="G7452" t="s">
        <v>20</v>
      </c>
      <c r="J7452" t="s">
        <v>17</v>
      </c>
      <c r="K7452" t="str">
        <f>"1578151240795"</f>
        <v>1578151240795</v>
      </c>
      <c r="L7452" t="str">
        <f>"61330596"</f>
        <v>61330596</v>
      </c>
      <c r="M7452" t="s">
        <v>21</v>
      </c>
      <c r="N7452" s="1">
        <v>43834.638888888891</v>
      </c>
      <c r="O7452" t="s">
        <v>19</v>
      </c>
    </row>
    <row r="7453" spans="1:15" x14ac:dyDescent="0.25">
      <c r="A7453" t="s">
        <v>5295</v>
      </c>
      <c r="B7453" t="s">
        <v>15</v>
      </c>
      <c r="C7453" t="s">
        <v>25</v>
      </c>
      <c r="D7453" t="s">
        <v>17</v>
      </c>
      <c r="E7453" t="s">
        <v>18</v>
      </c>
      <c r="F7453" t="s">
        <v>19</v>
      </c>
      <c r="G7453" t="s">
        <v>20</v>
      </c>
      <c r="J7453" t="s">
        <v>17</v>
      </c>
      <c r="K7453" t="str">
        <f>"763305329"</f>
        <v>763305329</v>
      </c>
      <c r="L7453" t="str">
        <f>"763305329"</f>
        <v>763305329</v>
      </c>
      <c r="M7453" t="s">
        <v>75</v>
      </c>
      <c r="N7453" s="1">
        <v>43195.907638888886</v>
      </c>
      <c r="O7453" t="s">
        <v>19</v>
      </c>
    </row>
    <row r="7454" spans="1:15" x14ac:dyDescent="0.25">
      <c r="A7454" t="s">
        <v>5296</v>
      </c>
      <c r="B7454" t="s">
        <v>15</v>
      </c>
      <c r="C7454" t="s">
        <v>25</v>
      </c>
      <c r="D7454" t="s">
        <v>17</v>
      </c>
      <c r="E7454" t="s">
        <v>18</v>
      </c>
      <c r="F7454" t="s">
        <v>19</v>
      </c>
      <c r="G7454" t="s">
        <v>20</v>
      </c>
      <c r="J7454" t="s">
        <v>17</v>
      </c>
      <c r="K7454" t="str">
        <f>"763305248"</f>
        <v>763305248</v>
      </c>
      <c r="L7454" t="str">
        <f>"763305248"</f>
        <v>763305248</v>
      </c>
      <c r="M7454" t="s">
        <v>75</v>
      </c>
      <c r="N7454" s="1">
        <v>43082.942361111112</v>
      </c>
      <c r="O7454" t="s">
        <v>19</v>
      </c>
    </row>
    <row r="7455" spans="1:15" x14ac:dyDescent="0.25">
      <c r="A7455" t="s">
        <v>5296</v>
      </c>
      <c r="B7455" t="s">
        <v>15</v>
      </c>
      <c r="C7455" t="s">
        <v>25</v>
      </c>
      <c r="D7455" t="s">
        <v>17</v>
      </c>
      <c r="E7455" t="s">
        <v>18</v>
      </c>
      <c r="F7455" t="s">
        <v>19</v>
      </c>
      <c r="G7455" t="s">
        <v>20</v>
      </c>
      <c r="J7455" t="s">
        <v>17</v>
      </c>
      <c r="K7455" t="str">
        <f>"173305248"</f>
        <v>173305248</v>
      </c>
      <c r="L7455" t="str">
        <f>"173305248"</f>
        <v>173305248</v>
      </c>
      <c r="M7455" t="s">
        <v>75</v>
      </c>
      <c r="N7455" s="1">
        <v>43175.774305555555</v>
      </c>
      <c r="O7455" t="s">
        <v>19</v>
      </c>
    </row>
    <row r="7456" spans="1:15" x14ac:dyDescent="0.25">
      <c r="A7456" t="s">
        <v>5297</v>
      </c>
      <c r="B7456" t="s">
        <v>15</v>
      </c>
      <c r="C7456" t="s">
        <v>25</v>
      </c>
      <c r="D7456" t="s">
        <v>17</v>
      </c>
      <c r="E7456" t="s">
        <v>18</v>
      </c>
      <c r="F7456" t="s">
        <v>19</v>
      </c>
      <c r="G7456" t="s">
        <v>20</v>
      </c>
      <c r="J7456" t="s">
        <v>17</v>
      </c>
      <c r="K7456" t="str">
        <f>"765305256"</f>
        <v>765305256</v>
      </c>
      <c r="L7456" t="str">
        <f>"765305256"</f>
        <v>765305256</v>
      </c>
      <c r="M7456" t="s">
        <v>75</v>
      </c>
      <c r="N7456" s="1">
        <v>42872.849305555559</v>
      </c>
      <c r="O7456" t="s">
        <v>19</v>
      </c>
    </row>
    <row r="7457" spans="1:15" x14ac:dyDescent="0.25">
      <c r="A7457" t="s">
        <v>5298</v>
      </c>
      <c r="B7457" t="s">
        <v>15</v>
      </c>
      <c r="C7457" t="s">
        <v>25</v>
      </c>
      <c r="D7457" t="s">
        <v>17</v>
      </c>
      <c r="E7457" t="s">
        <v>18</v>
      </c>
      <c r="F7457" t="s">
        <v>19</v>
      </c>
      <c r="G7457" t="s">
        <v>20</v>
      </c>
      <c r="J7457" t="s">
        <v>17</v>
      </c>
      <c r="K7457" t="str">
        <f>"2019047700314"</f>
        <v>2019047700314</v>
      </c>
      <c r="L7457" t="str">
        <f>"183305313"</f>
        <v>183305313</v>
      </c>
      <c r="M7457" t="s">
        <v>21</v>
      </c>
      <c r="N7457" s="1">
        <v>43603.706944444442</v>
      </c>
      <c r="O7457" t="s">
        <v>19</v>
      </c>
    </row>
    <row r="7458" spans="1:15" x14ac:dyDescent="0.25">
      <c r="A7458" t="s">
        <v>5298</v>
      </c>
      <c r="B7458" t="s">
        <v>15</v>
      </c>
      <c r="C7458" t="s">
        <v>25</v>
      </c>
      <c r="D7458" t="s">
        <v>17</v>
      </c>
      <c r="E7458" t="s">
        <v>18</v>
      </c>
      <c r="F7458" t="s">
        <v>19</v>
      </c>
      <c r="G7458" t="s">
        <v>20</v>
      </c>
      <c r="J7458" t="s">
        <v>17</v>
      </c>
      <c r="K7458" t="str">
        <f>"343305313"</f>
        <v>343305313</v>
      </c>
      <c r="L7458" t="str">
        <f>"343305313"</f>
        <v>343305313</v>
      </c>
      <c r="M7458" t="s">
        <v>21</v>
      </c>
      <c r="N7458" s="1">
        <v>43668.680555555555</v>
      </c>
      <c r="O7458" t="s">
        <v>19</v>
      </c>
    </row>
    <row r="7459" spans="1:15" x14ac:dyDescent="0.25">
      <c r="A7459" t="s">
        <v>5298</v>
      </c>
      <c r="B7459" t="s">
        <v>15</v>
      </c>
      <c r="C7459" t="s">
        <v>25</v>
      </c>
      <c r="D7459" t="s">
        <v>17</v>
      </c>
      <c r="E7459" t="s">
        <v>18</v>
      </c>
      <c r="F7459" t="s">
        <v>19</v>
      </c>
      <c r="G7459" t="s">
        <v>20</v>
      </c>
      <c r="J7459" t="s">
        <v>17</v>
      </c>
      <c r="K7459" t="str">
        <f>"763305313"</f>
        <v>763305313</v>
      </c>
      <c r="L7459" t="str">
        <f>"763305313"</f>
        <v>763305313</v>
      </c>
      <c r="M7459" t="s">
        <v>21</v>
      </c>
      <c r="N7459" s="1">
        <v>43819.663888888892</v>
      </c>
      <c r="O7459" t="s">
        <v>19</v>
      </c>
    </row>
    <row r="7460" spans="1:15" x14ac:dyDescent="0.25">
      <c r="A7460" t="s">
        <v>5299</v>
      </c>
      <c r="B7460" t="s">
        <v>15</v>
      </c>
      <c r="C7460" t="s">
        <v>25</v>
      </c>
      <c r="D7460" t="s">
        <v>17</v>
      </c>
      <c r="E7460" t="s">
        <v>18</v>
      </c>
      <c r="F7460" t="s">
        <v>19</v>
      </c>
      <c r="G7460" t="s">
        <v>20</v>
      </c>
      <c r="J7460" t="s">
        <v>17</v>
      </c>
      <c r="K7460" t="str">
        <f>"343305152"</f>
        <v>343305152</v>
      </c>
      <c r="L7460" t="str">
        <f>"343305152"</f>
        <v>343305152</v>
      </c>
      <c r="M7460" t="s">
        <v>75</v>
      </c>
      <c r="N7460" s="1">
        <v>42872.849305555559</v>
      </c>
      <c r="O7460" t="s">
        <v>19</v>
      </c>
    </row>
    <row r="7461" spans="1:15" x14ac:dyDescent="0.25">
      <c r="A7461" t="s">
        <v>5299</v>
      </c>
      <c r="B7461" t="s">
        <v>15</v>
      </c>
      <c r="C7461" t="s">
        <v>25</v>
      </c>
      <c r="D7461" t="s">
        <v>17</v>
      </c>
      <c r="E7461" t="s">
        <v>18</v>
      </c>
      <c r="F7461" t="s">
        <v>19</v>
      </c>
      <c r="G7461" t="s">
        <v>20</v>
      </c>
      <c r="J7461" t="s">
        <v>17</v>
      </c>
      <c r="K7461" t="str">
        <f>"345305152"</f>
        <v>345305152</v>
      </c>
      <c r="L7461" t="str">
        <f>"345305152"</f>
        <v>345305152</v>
      </c>
      <c r="M7461" t="s">
        <v>75</v>
      </c>
      <c r="N7461" s="1">
        <v>42872.849305555559</v>
      </c>
      <c r="O7461" t="s">
        <v>19</v>
      </c>
    </row>
    <row r="7462" spans="1:15" x14ac:dyDescent="0.25">
      <c r="A7462" t="s">
        <v>5299</v>
      </c>
      <c r="B7462" t="s">
        <v>15</v>
      </c>
      <c r="C7462" t="s">
        <v>25</v>
      </c>
      <c r="D7462" t="s">
        <v>17</v>
      </c>
      <c r="E7462" t="s">
        <v>18</v>
      </c>
      <c r="F7462" t="s">
        <v>19</v>
      </c>
      <c r="G7462" t="s">
        <v>20</v>
      </c>
      <c r="J7462" t="s">
        <v>17</v>
      </c>
      <c r="K7462" t="str">
        <f>"1000001002125"</f>
        <v>1000001002125</v>
      </c>
      <c r="L7462" t="str">
        <f>"763305152"</f>
        <v>763305152</v>
      </c>
      <c r="M7462" t="s">
        <v>84</v>
      </c>
      <c r="N7462" s="1">
        <v>43370.912499999999</v>
      </c>
      <c r="O7462" t="s">
        <v>19</v>
      </c>
    </row>
    <row r="7463" spans="1:15" x14ac:dyDescent="0.25">
      <c r="A7463" t="s">
        <v>5300</v>
      </c>
      <c r="B7463" t="s">
        <v>15</v>
      </c>
      <c r="C7463" t="s">
        <v>25</v>
      </c>
      <c r="D7463" t="s">
        <v>17</v>
      </c>
      <c r="E7463" t="s">
        <v>18</v>
      </c>
      <c r="F7463" t="s">
        <v>19</v>
      </c>
      <c r="G7463" t="s">
        <v>20</v>
      </c>
      <c r="J7463" t="s">
        <v>17</v>
      </c>
      <c r="K7463" t="str">
        <f>"345305183"</f>
        <v>345305183</v>
      </c>
      <c r="L7463" t="str">
        <f>"345305183"</f>
        <v>345305183</v>
      </c>
      <c r="M7463" t="s">
        <v>75</v>
      </c>
      <c r="N7463" s="1">
        <v>42872.849305555559</v>
      </c>
      <c r="O7463" t="s">
        <v>19</v>
      </c>
    </row>
    <row r="7464" spans="1:15" x14ac:dyDescent="0.25">
      <c r="A7464" t="s">
        <v>5300</v>
      </c>
      <c r="B7464" t="s">
        <v>15</v>
      </c>
      <c r="C7464" t="s">
        <v>25</v>
      </c>
      <c r="D7464" t="s">
        <v>17</v>
      </c>
      <c r="E7464" t="s">
        <v>18</v>
      </c>
      <c r="F7464" t="s">
        <v>19</v>
      </c>
      <c r="G7464" t="s">
        <v>20</v>
      </c>
      <c r="J7464" t="s">
        <v>17</v>
      </c>
      <c r="K7464" t="str">
        <f>"345305208"</f>
        <v>345305208</v>
      </c>
      <c r="L7464" t="str">
        <f>"345305208"</f>
        <v>345305208</v>
      </c>
      <c r="M7464" t="s">
        <v>75</v>
      </c>
      <c r="N7464" s="1">
        <v>42872.849305555559</v>
      </c>
      <c r="O7464" t="s">
        <v>19</v>
      </c>
    </row>
    <row r="7465" spans="1:15" x14ac:dyDescent="0.25">
      <c r="A7465" t="s">
        <v>5300</v>
      </c>
      <c r="B7465" t="s">
        <v>15</v>
      </c>
      <c r="C7465" t="s">
        <v>25</v>
      </c>
      <c r="D7465" t="s">
        <v>17</v>
      </c>
      <c r="E7465" t="s">
        <v>18</v>
      </c>
      <c r="F7465" t="s">
        <v>19</v>
      </c>
      <c r="G7465" t="s">
        <v>20</v>
      </c>
      <c r="J7465" t="s">
        <v>17</v>
      </c>
      <c r="K7465" t="str">
        <f>"345305268"</f>
        <v>345305268</v>
      </c>
      <c r="L7465" t="str">
        <f>"345305268"</f>
        <v>345305268</v>
      </c>
      <c r="M7465" t="s">
        <v>75</v>
      </c>
      <c r="N7465" s="1">
        <v>42872.849305555559</v>
      </c>
      <c r="O7465" t="s">
        <v>19</v>
      </c>
    </row>
    <row r="7466" spans="1:15" x14ac:dyDescent="0.25">
      <c r="A7466" t="s">
        <v>5300</v>
      </c>
      <c r="B7466" t="s">
        <v>15</v>
      </c>
      <c r="C7466" t="s">
        <v>25</v>
      </c>
      <c r="D7466" t="s">
        <v>17</v>
      </c>
      <c r="E7466" t="s">
        <v>18</v>
      </c>
      <c r="F7466" t="s">
        <v>19</v>
      </c>
      <c r="G7466" t="s">
        <v>20</v>
      </c>
      <c r="J7466" t="s">
        <v>17</v>
      </c>
      <c r="K7466" t="str">
        <f>"765305183"</f>
        <v>765305183</v>
      </c>
      <c r="L7466" t="str">
        <f>"765305183"</f>
        <v>765305183</v>
      </c>
      <c r="M7466" t="s">
        <v>75</v>
      </c>
      <c r="N7466" s="1">
        <v>42872.849305555559</v>
      </c>
      <c r="O7466" t="s">
        <v>19</v>
      </c>
    </row>
    <row r="7467" spans="1:15" x14ac:dyDescent="0.25">
      <c r="A7467" t="s">
        <v>5300</v>
      </c>
      <c r="B7467" t="s">
        <v>15</v>
      </c>
      <c r="C7467" t="s">
        <v>25</v>
      </c>
      <c r="D7467" t="s">
        <v>17</v>
      </c>
      <c r="E7467" t="s">
        <v>18</v>
      </c>
      <c r="F7467" t="s">
        <v>19</v>
      </c>
      <c r="G7467" t="s">
        <v>20</v>
      </c>
      <c r="J7467" t="s">
        <v>17</v>
      </c>
      <c r="K7467" t="str">
        <f>"765305208"</f>
        <v>765305208</v>
      </c>
      <c r="L7467" t="str">
        <f>"765305208"</f>
        <v>765305208</v>
      </c>
      <c r="M7467" t="s">
        <v>75</v>
      </c>
      <c r="N7467" s="1">
        <v>42872.849305555559</v>
      </c>
      <c r="O7467" t="s">
        <v>19</v>
      </c>
    </row>
    <row r="7468" spans="1:15" x14ac:dyDescent="0.25">
      <c r="A7468" t="s">
        <v>5301</v>
      </c>
      <c r="B7468" t="s">
        <v>15</v>
      </c>
      <c r="C7468" t="s">
        <v>25</v>
      </c>
      <c r="D7468" t="s">
        <v>17</v>
      </c>
      <c r="E7468" t="s">
        <v>18</v>
      </c>
      <c r="F7468" t="s">
        <v>19</v>
      </c>
      <c r="G7468" t="s">
        <v>20</v>
      </c>
      <c r="J7468" t="s">
        <v>17</v>
      </c>
      <c r="K7468" t="str">
        <f>"345305229"</f>
        <v>345305229</v>
      </c>
      <c r="L7468" t="str">
        <f>"345305229"</f>
        <v>345305229</v>
      </c>
      <c r="M7468" t="s">
        <v>75</v>
      </c>
      <c r="N7468" s="1">
        <v>42872.849305555559</v>
      </c>
      <c r="O7468" t="s">
        <v>19</v>
      </c>
    </row>
    <row r="7469" spans="1:15" x14ac:dyDescent="0.25">
      <c r="A7469" t="s">
        <v>5301</v>
      </c>
      <c r="B7469" t="s">
        <v>15</v>
      </c>
      <c r="C7469" t="s">
        <v>25</v>
      </c>
      <c r="D7469" t="s">
        <v>17</v>
      </c>
      <c r="E7469" t="s">
        <v>18</v>
      </c>
      <c r="F7469" t="s">
        <v>19</v>
      </c>
      <c r="G7469" t="s">
        <v>20</v>
      </c>
      <c r="J7469" t="s">
        <v>17</v>
      </c>
      <c r="K7469" t="str">
        <f>"763305229"</f>
        <v>763305229</v>
      </c>
      <c r="L7469" t="str">
        <f>"763305229"</f>
        <v>763305229</v>
      </c>
      <c r="M7469" t="s">
        <v>75</v>
      </c>
      <c r="N7469" s="1">
        <v>42872.849305555559</v>
      </c>
      <c r="O7469" t="s">
        <v>19</v>
      </c>
    </row>
    <row r="7470" spans="1:15" x14ac:dyDescent="0.25">
      <c r="A7470" t="s">
        <v>5301</v>
      </c>
      <c r="B7470" t="s">
        <v>15</v>
      </c>
      <c r="C7470" t="s">
        <v>25</v>
      </c>
      <c r="D7470" t="s">
        <v>17</v>
      </c>
      <c r="E7470" t="s">
        <v>18</v>
      </c>
      <c r="F7470" t="s">
        <v>19</v>
      </c>
      <c r="G7470" t="s">
        <v>20</v>
      </c>
      <c r="J7470" t="s">
        <v>17</v>
      </c>
      <c r="K7470" t="str">
        <f>"863305229"</f>
        <v>863305229</v>
      </c>
      <c r="L7470" t="str">
        <f>"863305229"</f>
        <v>863305229</v>
      </c>
      <c r="M7470" t="s">
        <v>75</v>
      </c>
      <c r="N7470" s="1">
        <v>42872.849305555559</v>
      </c>
      <c r="O7470" t="s">
        <v>19</v>
      </c>
    </row>
    <row r="7471" spans="1:15" x14ac:dyDescent="0.25">
      <c r="A7471" t="s">
        <v>5301</v>
      </c>
      <c r="B7471" t="s">
        <v>15</v>
      </c>
      <c r="C7471" t="s">
        <v>25</v>
      </c>
      <c r="D7471" t="s">
        <v>17</v>
      </c>
      <c r="E7471" t="s">
        <v>18</v>
      </c>
      <c r="F7471" t="s">
        <v>19</v>
      </c>
      <c r="G7471" t="s">
        <v>20</v>
      </c>
      <c r="J7471" t="s">
        <v>17</v>
      </c>
      <c r="K7471" t="str">
        <f>"765305229"</f>
        <v>765305229</v>
      </c>
      <c r="L7471" t="str">
        <f>"765305229"</f>
        <v>765305229</v>
      </c>
      <c r="M7471" t="s">
        <v>75</v>
      </c>
      <c r="N7471" s="1">
        <v>42872.849305555559</v>
      </c>
      <c r="O7471" t="s">
        <v>19</v>
      </c>
    </row>
    <row r="7472" spans="1:15" x14ac:dyDescent="0.25">
      <c r="A7472" t="s">
        <v>5302</v>
      </c>
      <c r="B7472" t="s">
        <v>15</v>
      </c>
      <c r="C7472" t="s">
        <v>25</v>
      </c>
      <c r="D7472" t="s">
        <v>17</v>
      </c>
      <c r="E7472" t="s">
        <v>18</v>
      </c>
      <c r="F7472" t="s">
        <v>19</v>
      </c>
      <c r="G7472" t="s">
        <v>20</v>
      </c>
      <c r="J7472" t="s">
        <v>17</v>
      </c>
      <c r="K7472" t="str">
        <f>"765305189"</f>
        <v>765305189</v>
      </c>
      <c r="L7472" t="str">
        <f>"765305189"</f>
        <v>765305189</v>
      </c>
      <c r="M7472" t="s">
        <v>75</v>
      </c>
      <c r="N7472" s="1">
        <v>42872.849305555559</v>
      </c>
      <c r="O7472" t="s">
        <v>19</v>
      </c>
    </row>
    <row r="7473" spans="1:15" x14ac:dyDescent="0.25">
      <c r="A7473" t="s">
        <v>5303</v>
      </c>
      <c r="B7473" t="s">
        <v>15</v>
      </c>
      <c r="C7473" t="s">
        <v>25</v>
      </c>
      <c r="D7473" t="s">
        <v>17</v>
      </c>
      <c r="E7473" t="s">
        <v>18</v>
      </c>
      <c r="F7473" t="s">
        <v>19</v>
      </c>
      <c r="G7473" t="s">
        <v>20</v>
      </c>
      <c r="J7473" t="s">
        <v>17</v>
      </c>
      <c r="K7473" t="str">
        <f>"173305317"</f>
        <v>173305317</v>
      </c>
      <c r="L7473" t="str">
        <f>"173305317"</f>
        <v>173305317</v>
      </c>
      <c r="M7473" t="s">
        <v>75</v>
      </c>
      <c r="N7473" s="1">
        <v>43131.930555555555</v>
      </c>
      <c r="O7473" t="s">
        <v>19</v>
      </c>
    </row>
    <row r="7474" spans="1:15" x14ac:dyDescent="0.25">
      <c r="A7474" t="s">
        <v>5304</v>
      </c>
      <c r="B7474" t="s">
        <v>15</v>
      </c>
      <c r="C7474" t="s">
        <v>25</v>
      </c>
      <c r="D7474" t="s">
        <v>17</v>
      </c>
      <c r="E7474" t="s">
        <v>18</v>
      </c>
      <c r="F7474" t="s">
        <v>19</v>
      </c>
      <c r="G7474" t="s">
        <v>20</v>
      </c>
      <c r="J7474" t="s">
        <v>17</v>
      </c>
      <c r="K7474" t="str">
        <f>"345305260"</f>
        <v>345305260</v>
      </c>
      <c r="L7474" t="str">
        <f>"345305260"</f>
        <v>345305260</v>
      </c>
      <c r="M7474" t="s">
        <v>75</v>
      </c>
      <c r="N7474" s="1">
        <v>42872.849305555559</v>
      </c>
      <c r="O7474" t="s">
        <v>19</v>
      </c>
    </row>
    <row r="7475" spans="1:15" x14ac:dyDescent="0.25">
      <c r="A7475" t="s">
        <v>5304</v>
      </c>
      <c r="B7475" t="s">
        <v>15</v>
      </c>
      <c r="C7475" t="s">
        <v>25</v>
      </c>
      <c r="D7475" t="s">
        <v>17</v>
      </c>
      <c r="E7475" t="s">
        <v>18</v>
      </c>
      <c r="F7475" t="s">
        <v>19</v>
      </c>
      <c r="G7475" t="s">
        <v>20</v>
      </c>
      <c r="J7475" t="s">
        <v>17</v>
      </c>
      <c r="K7475" t="str">
        <f>"765305260"</f>
        <v>765305260</v>
      </c>
      <c r="L7475" t="str">
        <f>"765305260"</f>
        <v>765305260</v>
      </c>
      <c r="M7475" t="s">
        <v>75</v>
      </c>
      <c r="N7475" s="1">
        <v>42872.849305555559</v>
      </c>
      <c r="O7475" t="s">
        <v>19</v>
      </c>
    </row>
    <row r="7476" spans="1:15" x14ac:dyDescent="0.25">
      <c r="A7476" t="s">
        <v>5305</v>
      </c>
      <c r="B7476" t="s">
        <v>15</v>
      </c>
      <c r="C7476" t="s">
        <v>25</v>
      </c>
      <c r="D7476" t="s">
        <v>17</v>
      </c>
      <c r="E7476" t="s">
        <v>18</v>
      </c>
      <c r="F7476" t="s">
        <v>19</v>
      </c>
      <c r="G7476" t="s">
        <v>20</v>
      </c>
      <c r="J7476" t="s">
        <v>17</v>
      </c>
      <c r="K7476" t="str">
        <f>"763305327"</f>
        <v>763305327</v>
      </c>
      <c r="L7476" t="str">
        <f>"763305327"</f>
        <v>763305327</v>
      </c>
      <c r="M7476" t="s">
        <v>75</v>
      </c>
      <c r="N7476" s="1">
        <v>43082.944444444445</v>
      </c>
      <c r="O7476" t="s">
        <v>19</v>
      </c>
    </row>
    <row r="7477" spans="1:15" x14ac:dyDescent="0.25">
      <c r="A7477" t="s">
        <v>5305</v>
      </c>
      <c r="B7477" t="s">
        <v>15</v>
      </c>
      <c r="C7477" t="s">
        <v>25</v>
      </c>
      <c r="D7477" t="s">
        <v>17</v>
      </c>
      <c r="E7477" t="s">
        <v>18</v>
      </c>
      <c r="F7477" t="s">
        <v>19</v>
      </c>
      <c r="G7477" t="s">
        <v>20</v>
      </c>
      <c r="J7477" t="s">
        <v>17</v>
      </c>
      <c r="K7477" t="str">
        <f>"763305311"</f>
        <v>763305311</v>
      </c>
      <c r="L7477" t="str">
        <f>"763305311"</f>
        <v>763305311</v>
      </c>
      <c r="M7477" t="s">
        <v>84</v>
      </c>
      <c r="N7477" s="1">
        <v>43463.921527777777</v>
      </c>
      <c r="O7477" t="s">
        <v>19</v>
      </c>
    </row>
    <row r="7478" spans="1:15" x14ac:dyDescent="0.25">
      <c r="A7478" t="s">
        <v>5306</v>
      </c>
      <c r="B7478" t="s">
        <v>15</v>
      </c>
      <c r="C7478" t="s">
        <v>25</v>
      </c>
      <c r="D7478" t="s">
        <v>17</v>
      </c>
      <c r="E7478" t="s">
        <v>18</v>
      </c>
      <c r="F7478" t="s">
        <v>19</v>
      </c>
      <c r="G7478" t="s">
        <v>20</v>
      </c>
      <c r="J7478" t="s">
        <v>17</v>
      </c>
      <c r="K7478" t="str">
        <f>"765305317"</f>
        <v>765305317</v>
      </c>
      <c r="L7478" t="str">
        <f>"765305317"</f>
        <v>765305317</v>
      </c>
      <c r="M7478" t="s">
        <v>84</v>
      </c>
      <c r="N7478" s="1">
        <v>43307.666666666664</v>
      </c>
      <c r="O7478" t="s">
        <v>19</v>
      </c>
    </row>
    <row r="7479" spans="1:15" x14ac:dyDescent="0.25">
      <c r="A7479" t="s">
        <v>5306</v>
      </c>
      <c r="B7479" t="s">
        <v>15</v>
      </c>
      <c r="C7479" t="s">
        <v>25</v>
      </c>
      <c r="D7479" t="s">
        <v>17</v>
      </c>
      <c r="E7479" t="s">
        <v>18</v>
      </c>
      <c r="F7479" t="s">
        <v>19</v>
      </c>
      <c r="G7479" t="s">
        <v>20</v>
      </c>
      <c r="J7479" t="s">
        <v>17</v>
      </c>
      <c r="K7479" t="str">
        <f>"343305306"</f>
        <v>343305306</v>
      </c>
      <c r="L7479" t="str">
        <f>"343305306"</f>
        <v>343305306</v>
      </c>
      <c r="M7479" t="s">
        <v>84</v>
      </c>
      <c r="N7479" s="1">
        <v>43396.951388888891</v>
      </c>
      <c r="O7479" t="s">
        <v>19</v>
      </c>
    </row>
    <row r="7480" spans="1:15" x14ac:dyDescent="0.25">
      <c r="A7480" t="s">
        <v>5307</v>
      </c>
      <c r="B7480" t="s">
        <v>15</v>
      </c>
      <c r="C7480" t="s">
        <v>25</v>
      </c>
      <c r="D7480" t="s">
        <v>17</v>
      </c>
      <c r="E7480" t="s">
        <v>18</v>
      </c>
      <c r="F7480" t="s">
        <v>19</v>
      </c>
      <c r="G7480" t="s">
        <v>20</v>
      </c>
      <c r="J7480" t="s">
        <v>17</v>
      </c>
      <c r="K7480" t="str">
        <f>"173305306"</f>
        <v>173305306</v>
      </c>
      <c r="L7480" t="str">
        <f>"173305306"</f>
        <v>173305306</v>
      </c>
      <c r="M7480" t="s">
        <v>84</v>
      </c>
      <c r="N7480" s="1">
        <v>43308.880555555559</v>
      </c>
      <c r="O7480" t="s">
        <v>19</v>
      </c>
    </row>
    <row r="7481" spans="1:15" x14ac:dyDescent="0.25">
      <c r="A7481" t="s">
        <v>5307</v>
      </c>
      <c r="B7481" t="s">
        <v>15</v>
      </c>
      <c r="C7481" t="s">
        <v>25</v>
      </c>
      <c r="D7481" t="s">
        <v>17</v>
      </c>
      <c r="E7481" t="s">
        <v>18</v>
      </c>
      <c r="F7481" t="s">
        <v>19</v>
      </c>
      <c r="G7481" t="s">
        <v>20</v>
      </c>
      <c r="J7481" t="s">
        <v>17</v>
      </c>
      <c r="K7481" t="str">
        <f>"763305306"</f>
        <v>763305306</v>
      </c>
      <c r="L7481" t="str">
        <f>"763305306"</f>
        <v>763305306</v>
      </c>
      <c r="M7481" t="s">
        <v>84</v>
      </c>
      <c r="N7481" s="1">
        <v>43353.636111111111</v>
      </c>
      <c r="O7481" t="s">
        <v>19</v>
      </c>
    </row>
    <row r="7482" spans="1:15" x14ac:dyDescent="0.25">
      <c r="A7482" t="s">
        <v>5307</v>
      </c>
      <c r="B7482" t="s">
        <v>15</v>
      </c>
      <c r="C7482" t="s">
        <v>25</v>
      </c>
      <c r="D7482" t="s">
        <v>17</v>
      </c>
      <c r="E7482" t="s">
        <v>18</v>
      </c>
      <c r="F7482" t="s">
        <v>19</v>
      </c>
      <c r="G7482" t="s">
        <v>20</v>
      </c>
      <c r="J7482" t="s">
        <v>17</v>
      </c>
      <c r="K7482" t="str">
        <f>"683305306"</f>
        <v>683305306</v>
      </c>
      <c r="L7482" t="str">
        <f>"683305306"</f>
        <v>683305306</v>
      </c>
      <c r="M7482" t="s">
        <v>84</v>
      </c>
      <c r="N7482" s="1">
        <v>43420.621527777781</v>
      </c>
      <c r="O7482" t="s">
        <v>19</v>
      </c>
    </row>
    <row r="7483" spans="1:15" x14ac:dyDescent="0.25">
      <c r="A7483" t="s">
        <v>5307</v>
      </c>
      <c r="B7483" t="s">
        <v>15</v>
      </c>
      <c r="C7483" t="s">
        <v>25</v>
      </c>
      <c r="D7483" t="s">
        <v>17</v>
      </c>
      <c r="E7483" t="s">
        <v>18</v>
      </c>
      <c r="F7483" t="s">
        <v>19</v>
      </c>
      <c r="G7483" t="s">
        <v>20</v>
      </c>
      <c r="J7483" t="s">
        <v>17</v>
      </c>
      <c r="K7483" t="str">
        <f>"2019029900244"</f>
        <v>2019029900244</v>
      </c>
      <c r="L7483" t="str">
        <f>"183305306"</f>
        <v>183305306</v>
      </c>
      <c r="M7483" t="s">
        <v>21</v>
      </c>
      <c r="N7483" s="1">
        <v>43661.884027777778</v>
      </c>
      <c r="O7483" t="s">
        <v>19</v>
      </c>
    </row>
    <row r="7484" spans="1:15" x14ac:dyDescent="0.25">
      <c r="A7484" t="s">
        <v>5308</v>
      </c>
      <c r="B7484" t="s">
        <v>15</v>
      </c>
      <c r="C7484" t="s">
        <v>25</v>
      </c>
      <c r="D7484" t="s">
        <v>17</v>
      </c>
      <c r="E7484" t="s">
        <v>18</v>
      </c>
      <c r="F7484" t="s">
        <v>19</v>
      </c>
      <c r="G7484" t="s">
        <v>20</v>
      </c>
      <c r="J7484" t="s">
        <v>17</v>
      </c>
      <c r="K7484" t="str">
        <f>"343305260"</f>
        <v>343305260</v>
      </c>
      <c r="L7484" t="str">
        <f>"343305260"</f>
        <v>343305260</v>
      </c>
      <c r="M7484" t="s">
        <v>75</v>
      </c>
      <c r="N7484" s="1">
        <v>42872.849305555559</v>
      </c>
      <c r="O7484" t="s">
        <v>19</v>
      </c>
    </row>
    <row r="7485" spans="1:15" x14ac:dyDescent="0.25">
      <c r="A7485" t="s">
        <v>5308</v>
      </c>
      <c r="B7485" t="s">
        <v>15</v>
      </c>
      <c r="C7485" t="s">
        <v>25</v>
      </c>
      <c r="D7485" t="s">
        <v>17</v>
      </c>
      <c r="E7485" t="s">
        <v>18</v>
      </c>
      <c r="F7485" t="s">
        <v>19</v>
      </c>
      <c r="G7485" t="s">
        <v>20</v>
      </c>
      <c r="J7485" t="s">
        <v>17</v>
      </c>
      <c r="K7485" t="str">
        <f>"763305260"</f>
        <v>763305260</v>
      </c>
      <c r="L7485" t="str">
        <f>"763305260"</f>
        <v>763305260</v>
      </c>
      <c r="M7485" t="s">
        <v>75</v>
      </c>
      <c r="N7485" s="1">
        <v>42872.849305555559</v>
      </c>
      <c r="O7485" t="s">
        <v>19</v>
      </c>
    </row>
    <row r="7486" spans="1:15" x14ac:dyDescent="0.25">
      <c r="A7486" t="s">
        <v>5309</v>
      </c>
      <c r="B7486" t="s">
        <v>15</v>
      </c>
      <c r="C7486" t="s">
        <v>25</v>
      </c>
      <c r="D7486" t="s">
        <v>17</v>
      </c>
      <c r="E7486" t="s">
        <v>18</v>
      </c>
      <c r="F7486" t="s">
        <v>19</v>
      </c>
      <c r="G7486" t="s">
        <v>20</v>
      </c>
      <c r="J7486" t="s">
        <v>17</v>
      </c>
      <c r="K7486" t="str">
        <f>"763305317"</f>
        <v>763305317</v>
      </c>
      <c r="L7486" t="str">
        <f>"763305317"</f>
        <v>763305317</v>
      </c>
      <c r="M7486" t="s">
        <v>75</v>
      </c>
      <c r="N7486" s="1">
        <v>42933.680555555555</v>
      </c>
      <c r="O7486" t="s">
        <v>19</v>
      </c>
    </row>
    <row r="7487" spans="1:15" x14ac:dyDescent="0.25">
      <c r="A7487" t="s">
        <v>5310</v>
      </c>
      <c r="B7487" t="s">
        <v>15</v>
      </c>
      <c r="C7487" t="s">
        <v>25</v>
      </c>
      <c r="D7487" t="s">
        <v>17</v>
      </c>
      <c r="E7487" t="s">
        <v>18</v>
      </c>
      <c r="F7487" t="s">
        <v>19</v>
      </c>
      <c r="G7487" t="s">
        <v>20</v>
      </c>
      <c r="J7487" t="s">
        <v>17</v>
      </c>
      <c r="K7487" t="str">
        <f>"325305159"</f>
        <v>325305159</v>
      </c>
      <c r="L7487" t="str">
        <f>"325305159"</f>
        <v>325305159</v>
      </c>
      <c r="M7487" t="s">
        <v>75</v>
      </c>
      <c r="N7487" s="1">
        <v>42872.849305555559</v>
      </c>
      <c r="O7487" t="s">
        <v>19</v>
      </c>
    </row>
    <row r="7488" spans="1:15" x14ac:dyDescent="0.25">
      <c r="A7488" t="s">
        <v>5310</v>
      </c>
      <c r="B7488" t="s">
        <v>15</v>
      </c>
      <c r="C7488" t="s">
        <v>25</v>
      </c>
      <c r="D7488" t="s">
        <v>17</v>
      </c>
      <c r="E7488" t="s">
        <v>18</v>
      </c>
      <c r="F7488" t="s">
        <v>19</v>
      </c>
      <c r="G7488" t="s">
        <v>20</v>
      </c>
      <c r="J7488" t="s">
        <v>17</v>
      </c>
      <c r="K7488" t="str">
        <f>"765305159"</f>
        <v>765305159</v>
      </c>
      <c r="L7488" t="str">
        <f>"765305159"</f>
        <v>765305159</v>
      </c>
      <c r="M7488" t="s">
        <v>75</v>
      </c>
      <c r="N7488" s="1">
        <v>42872.849305555559</v>
      </c>
      <c r="O7488" t="s">
        <v>19</v>
      </c>
    </row>
    <row r="7489" spans="1:15" x14ac:dyDescent="0.25">
      <c r="A7489" t="s">
        <v>5310</v>
      </c>
      <c r="B7489" t="s">
        <v>15</v>
      </c>
      <c r="C7489" t="s">
        <v>25</v>
      </c>
      <c r="D7489" t="s">
        <v>17</v>
      </c>
      <c r="E7489" t="s">
        <v>18</v>
      </c>
      <c r="F7489" t="s">
        <v>19</v>
      </c>
      <c r="G7489" t="s">
        <v>20</v>
      </c>
      <c r="J7489" t="s">
        <v>17</v>
      </c>
      <c r="K7489" t="str">
        <f>"345305159"</f>
        <v>345305159</v>
      </c>
      <c r="L7489" t="str">
        <f>"345305159"</f>
        <v>345305159</v>
      </c>
      <c r="M7489" t="s">
        <v>75</v>
      </c>
      <c r="N7489" s="1">
        <v>42872.849305555559</v>
      </c>
      <c r="O7489" t="s">
        <v>19</v>
      </c>
    </row>
    <row r="7490" spans="1:15" x14ac:dyDescent="0.25">
      <c r="A7490" t="s">
        <v>5310</v>
      </c>
      <c r="B7490" t="s">
        <v>15</v>
      </c>
      <c r="C7490" t="s">
        <v>25</v>
      </c>
      <c r="D7490" t="s">
        <v>17</v>
      </c>
      <c r="E7490" t="s">
        <v>18</v>
      </c>
      <c r="F7490" t="s">
        <v>19</v>
      </c>
      <c r="G7490" t="s">
        <v>20</v>
      </c>
      <c r="J7490" t="s">
        <v>17</v>
      </c>
      <c r="K7490" t="str">
        <f>"933305159"</f>
        <v>933305159</v>
      </c>
      <c r="L7490" t="str">
        <f>"933305159"</f>
        <v>933305159</v>
      </c>
      <c r="M7490" t="s">
        <v>75</v>
      </c>
      <c r="N7490" s="1">
        <v>42872.849305555559</v>
      </c>
      <c r="O7490" t="s">
        <v>19</v>
      </c>
    </row>
    <row r="7491" spans="1:15" x14ac:dyDescent="0.25">
      <c r="A7491" t="s">
        <v>5311</v>
      </c>
      <c r="B7491" t="s">
        <v>15</v>
      </c>
      <c r="C7491" t="s">
        <v>25</v>
      </c>
      <c r="D7491" t="s">
        <v>17</v>
      </c>
      <c r="E7491" t="s">
        <v>18</v>
      </c>
      <c r="F7491" t="s">
        <v>19</v>
      </c>
      <c r="G7491" t="s">
        <v>20</v>
      </c>
      <c r="J7491" t="s">
        <v>17</v>
      </c>
      <c r="K7491" t="str">
        <f>"173305281"</f>
        <v>173305281</v>
      </c>
      <c r="L7491" t="str">
        <f>"173305281"</f>
        <v>173305281</v>
      </c>
      <c r="M7491" t="s">
        <v>75</v>
      </c>
      <c r="N7491" s="1">
        <v>43159.87777777778</v>
      </c>
      <c r="O7491" t="s">
        <v>19</v>
      </c>
    </row>
    <row r="7492" spans="1:15" x14ac:dyDescent="0.25">
      <c r="A7492" t="s">
        <v>5312</v>
      </c>
      <c r="B7492" t="s">
        <v>15</v>
      </c>
      <c r="C7492" t="s">
        <v>25</v>
      </c>
      <c r="D7492" t="s">
        <v>17</v>
      </c>
      <c r="E7492" t="s">
        <v>18</v>
      </c>
      <c r="F7492" t="s">
        <v>19</v>
      </c>
      <c r="G7492" t="s">
        <v>20</v>
      </c>
      <c r="J7492" t="s">
        <v>17</v>
      </c>
      <c r="K7492" t="str">
        <f>"345305280"</f>
        <v>345305280</v>
      </c>
      <c r="L7492" t="str">
        <f>"345305280"</f>
        <v>345305280</v>
      </c>
      <c r="M7492" t="s">
        <v>75</v>
      </c>
      <c r="N7492" s="1">
        <v>42872.849305555559</v>
      </c>
      <c r="O7492" t="s">
        <v>19</v>
      </c>
    </row>
    <row r="7493" spans="1:15" x14ac:dyDescent="0.25">
      <c r="A7493" t="s">
        <v>5312</v>
      </c>
      <c r="B7493" t="s">
        <v>15</v>
      </c>
      <c r="C7493" t="s">
        <v>25</v>
      </c>
      <c r="D7493" t="s">
        <v>17</v>
      </c>
      <c r="E7493" t="s">
        <v>18</v>
      </c>
      <c r="F7493" t="s">
        <v>19</v>
      </c>
      <c r="G7493" t="s">
        <v>20</v>
      </c>
      <c r="J7493" t="s">
        <v>17</v>
      </c>
      <c r="K7493" t="str">
        <f>"343305280"</f>
        <v>343305280</v>
      </c>
      <c r="L7493" t="str">
        <f>"343305280"</f>
        <v>343305280</v>
      </c>
      <c r="M7493" t="s">
        <v>75</v>
      </c>
      <c r="N7493" s="1">
        <v>43131.636805555558</v>
      </c>
      <c r="O7493" t="s">
        <v>19</v>
      </c>
    </row>
    <row r="7494" spans="1:15" x14ac:dyDescent="0.25">
      <c r="A7494" t="s">
        <v>5312</v>
      </c>
      <c r="B7494" t="s">
        <v>15</v>
      </c>
      <c r="C7494" t="s">
        <v>25</v>
      </c>
      <c r="D7494" t="s">
        <v>17</v>
      </c>
      <c r="E7494" t="s">
        <v>18</v>
      </c>
      <c r="F7494" t="s">
        <v>19</v>
      </c>
      <c r="G7494" t="s">
        <v>20</v>
      </c>
      <c r="J7494" t="s">
        <v>17</v>
      </c>
      <c r="K7494" t="str">
        <f>"1578151379191"</f>
        <v>1578151379191</v>
      </c>
      <c r="L7494" t="str">
        <f>"61330599"</f>
        <v>61330599</v>
      </c>
      <c r="M7494" t="s">
        <v>21</v>
      </c>
      <c r="N7494" s="1">
        <v>43834.640277777777</v>
      </c>
      <c r="O7494" t="s">
        <v>19</v>
      </c>
    </row>
    <row r="7495" spans="1:15" x14ac:dyDescent="0.25">
      <c r="A7495" t="s">
        <v>5313</v>
      </c>
      <c r="B7495" t="s">
        <v>15</v>
      </c>
      <c r="C7495" t="s">
        <v>25</v>
      </c>
      <c r="D7495" t="s">
        <v>17</v>
      </c>
      <c r="E7495" t="s">
        <v>18</v>
      </c>
      <c r="F7495" t="s">
        <v>19</v>
      </c>
      <c r="G7495" t="s">
        <v>20</v>
      </c>
      <c r="J7495" t="s">
        <v>17</v>
      </c>
      <c r="K7495" t="str">
        <f>"763305282"</f>
        <v>763305282</v>
      </c>
      <c r="L7495" t="str">
        <f>"763305282"</f>
        <v>763305282</v>
      </c>
      <c r="M7495" t="s">
        <v>75</v>
      </c>
      <c r="N7495" s="1">
        <v>43231.657638888886</v>
      </c>
      <c r="O7495" t="s">
        <v>19</v>
      </c>
    </row>
    <row r="7496" spans="1:15" x14ac:dyDescent="0.25">
      <c r="A7496" t="s">
        <v>5313</v>
      </c>
      <c r="B7496" t="s">
        <v>15</v>
      </c>
      <c r="C7496" t="s">
        <v>25</v>
      </c>
      <c r="D7496" t="s">
        <v>17</v>
      </c>
      <c r="E7496" t="s">
        <v>18</v>
      </c>
      <c r="F7496" t="s">
        <v>19</v>
      </c>
      <c r="G7496" t="s">
        <v>20</v>
      </c>
      <c r="J7496" t="s">
        <v>17</v>
      </c>
      <c r="K7496" t="str">
        <f>"993305282"</f>
        <v>993305282</v>
      </c>
      <c r="L7496" t="str">
        <f>"993305282"</f>
        <v>993305282</v>
      </c>
      <c r="M7496" t="s">
        <v>75</v>
      </c>
      <c r="N7496" s="1">
        <v>43244.87222222222</v>
      </c>
      <c r="O7496" t="s">
        <v>19</v>
      </c>
    </row>
    <row r="7497" spans="1:15" x14ac:dyDescent="0.25">
      <c r="A7497" t="s">
        <v>5313</v>
      </c>
      <c r="B7497" t="s">
        <v>15</v>
      </c>
      <c r="C7497" t="s">
        <v>25</v>
      </c>
      <c r="D7497" t="s">
        <v>17</v>
      </c>
      <c r="E7497" t="s">
        <v>18</v>
      </c>
      <c r="F7497" t="s">
        <v>19</v>
      </c>
      <c r="G7497" t="s">
        <v>20</v>
      </c>
      <c r="J7497" t="s">
        <v>17</v>
      </c>
      <c r="K7497" t="str">
        <f>"765305282"</f>
        <v>765305282</v>
      </c>
      <c r="L7497" t="str">
        <f>"765305282"</f>
        <v>765305282</v>
      </c>
      <c r="M7497" t="s">
        <v>84</v>
      </c>
      <c r="N7497" s="1">
        <v>43286.728472222225</v>
      </c>
      <c r="O7497" t="s">
        <v>19</v>
      </c>
    </row>
    <row r="7498" spans="1:15" x14ac:dyDescent="0.25">
      <c r="A7498" t="s">
        <v>5313</v>
      </c>
      <c r="B7498" t="s">
        <v>15</v>
      </c>
      <c r="C7498" t="s">
        <v>25</v>
      </c>
      <c r="D7498" t="s">
        <v>17</v>
      </c>
      <c r="E7498" t="s">
        <v>18</v>
      </c>
      <c r="F7498" t="s">
        <v>19</v>
      </c>
      <c r="G7498" t="s">
        <v>20</v>
      </c>
      <c r="J7498" t="s">
        <v>17</v>
      </c>
      <c r="K7498" t="str">
        <f>"693305282"</f>
        <v>693305282</v>
      </c>
      <c r="L7498" t="str">
        <f>"693305282"</f>
        <v>693305282</v>
      </c>
      <c r="M7498" t="s">
        <v>84</v>
      </c>
      <c r="N7498" s="1">
        <v>43328.836111111108</v>
      </c>
      <c r="O7498" t="s">
        <v>19</v>
      </c>
    </row>
    <row r="7499" spans="1:15" x14ac:dyDescent="0.25">
      <c r="A7499" t="s">
        <v>5313</v>
      </c>
      <c r="B7499" t="s">
        <v>15</v>
      </c>
      <c r="C7499" t="s">
        <v>25</v>
      </c>
      <c r="D7499" t="s">
        <v>17</v>
      </c>
      <c r="E7499" t="s">
        <v>18</v>
      </c>
      <c r="F7499" t="s">
        <v>19</v>
      </c>
      <c r="G7499" t="s">
        <v>20</v>
      </c>
      <c r="J7499" t="s">
        <v>17</v>
      </c>
      <c r="K7499" t="str">
        <f>"863305282"</f>
        <v>863305282</v>
      </c>
      <c r="L7499" t="str">
        <f>"863305282"</f>
        <v>863305282</v>
      </c>
      <c r="M7499" t="s">
        <v>84</v>
      </c>
      <c r="N7499" s="1">
        <v>43367.675000000003</v>
      </c>
      <c r="O7499" t="s">
        <v>19</v>
      </c>
    </row>
    <row r="7500" spans="1:15" x14ac:dyDescent="0.25">
      <c r="A7500" t="s">
        <v>5313</v>
      </c>
      <c r="B7500" t="s">
        <v>15</v>
      </c>
      <c r="C7500" t="s">
        <v>25</v>
      </c>
      <c r="D7500" t="s">
        <v>17</v>
      </c>
      <c r="E7500" t="s">
        <v>18</v>
      </c>
      <c r="F7500" t="s">
        <v>19</v>
      </c>
      <c r="G7500" t="s">
        <v>20</v>
      </c>
      <c r="J7500" t="s">
        <v>17</v>
      </c>
      <c r="K7500" t="str">
        <f>"343305282"</f>
        <v>343305282</v>
      </c>
      <c r="L7500" t="str">
        <f>"343305282"</f>
        <v>343305282</v>
      </c>
      <c r="M7500" t="s">
        <v>84</v>
      </c>
      <c r="N7500" s="1">
        <v>43396.950694444444</v>
      </c>
      <c r="O7500" t="s">
        <v>19</v>
      </c>
    </row>
    <row r="7501" spans="1:15" x14ac:dyDescent="0.25">
      <c r="A7501" t="s">
        <v>5313</v>
      </c>
      <c r="B7501" t="s">
        <v>15</v>
      </c>
      <c r="C7501" t="s">
        <v>25</v>
      </c>
      <c r="D7501" t="s">
        <v>17</v>
      </c>
      <c r="E7501" t="s">
        <v>18</v>
      </c>
      <c r="F7501" t="s">
        <v>19</v>
      </c>
      <c r="G7501" t="s">
        <v>20</v>
      </c>
      <c r="J7501" t="s">
        <v>17</v>
      </c>
      <c r="K7501" t="str">
        <f>"683305282"</f>
        <v>683305282</v>
      </c>
      <c r="L7501" t="str">
        <f>"683305282"</f>
        <v>683305282</v>
      </c>
      <c r="M7501" t="s">
        <v>84</v>
      </c>
      <c r="N7501" s="1">
        <v>43545.77847222222</v>
      </c>
      <c r="O7501" t="s">
        <v>19</v>
      </c>
    </row>
    <row r="7502" spans="1:15" x14ac:dyDescent="0.25">
      <c r="A7502" t="s">
        <v>5314</v>
      </c>
      <c r="B7502" t="s">
        <v>15</v>
      </c>
      <c r="C7502" t="s">
        <v>25</v>
      </c>
      <c r="D7502" t="s">
        <v>17</v>
      </c>
      <c r="E7502" t="s">
        <v>18</v>
      </c>
      <c r="F7502" t="s">
        <v>19</v>
      </c>
      <c r="G7502" t="s">
        <v>20</v>
      </c>
      <c r="J7502" t="s">
        <v>17</v>
      </c>
      <c r="K7502" t="str">
        <f>"763305280"</f>
        <v>763305280</v>
      </c>
      <c r="L7502" t="str">
        <f>"763305280"</f>
        <v>763305280</v>
      </c>
      <c r="M7502" t="s">
        <v>75</v>
      </c>
      <c r="N7502" s="1">
        <v>42872.849305555559</v>
      </c>
      <c r="O7502" t="s">
        <v>19</v>
      </c>
    </row>
    <row r="7503" spans="1:15" x14ac:dyDescent="0.25">
      <c r="A7503" t="s">
        <v>5314</v>
      </c>
      <c r="B7503" t="s">
        <v>15</v>
      </c>
      <c r="C7503" t="s">
        <v>25</v>
      </c>
      <c r="D7503" t="s">
        <v>17</v>
      </c>
      <c r="E7503" t="s">
        <v>18</v>
      </c>
      <c r="F7503" t="s">
        <v>19</v>
      </c>
      <c r="G7503" t="s">
        <v>20</v>
      </c>
      <c r="J7503" t="s">
        <v>17</v>
      </c>
      <c r="K7503" t="str">
        <f>"933305280"</f>
        <v>933305280</v>
      </c>
      <c r="L7503" t="str">
        <f>"933305280"</f>
        <v>933305280</v>
      </c>
      <c r="M7503" t="s">
        <v>75</v>
      </c>
      <c r="N7503" s="1">
        <v>42872.849305555559</v>
      </c>
      <c r="O7503" t="s">
        <v>19</v>
      </c>
    </row>
    <row r="7504" spans="1:15" x14ac:dyDescent="0.25">
      <c r="A7504" t="s">
        <v>5315</v>
      </c>
      <c r="B7504" t="s">
        <v>15</v>
      </c>
      <c r="C7504" t="s">
        <v>25</v>
      </c>
      <c r="D7504" t="s">
        <v>17</v>
      </c>
      <c r="E7504" t="s">
        <v>18</v>
      </c>
      <c r="F7504" t="s">
        <v>19</v>
      </c>
      <c r="G7504" t="s">
        <v>20</v>
      </c>
      <c r="J7504" t="s">
        <v>17</v>
      </c>
      <c r="K7504" t="str">
        <f>"34330572"</f>
        <v>34330572</v>
      </c>
      <c r="L7504" t="str">
        <f>"34330572"</f>
        <v>34330572</v>
      </c>
      <c r="M7504" t="s">
        <v>75</v>
      </c>
      <c r="N7504" s="1">
        <v>42872.839583333334</v>
      </c>
      <c r="O7504" t="s">
        <v>19</v>
      </c>
    </row>
    <row r="7505" spans="1:15" x14ac:dyDescent="0.25">
      <c r="A7505" t="s">
        <v>5315</v>
      </c>
      <c r="B7505" t="s">
        <v>15</v>
      </c>
      <c r="C7505" t="s">
        <v>25</v>
      </c>
      <c r="D7505" t="s">
        <v>17</v>
      </c>
      <c r="E7505" t="s">
        <v>18</v>
      </c>
      <c r="F7505" t="s">
        <v>19</v>
      </c>
      <c r="G7505" t="s">
        <v>20</v>
      </c>
      <c r="J7505" t="s">
        <v>17</v>
      </c>
      <c r="K7505" t="str">
        <f>"34530572"</f>
        <v>34530572</v>
      </c>
      <c r="L7505" t="str">
        <f>"34530572"</f>
        <v>34530572</v>
      </c>
      <c r="M7505" t="s">
        <v>75</v>
      </c>
      <c r="N7505" s="1">
        <v>42872.839583333334</v>
      </c>
      <c r="O7505" t="s">
        <v>19</v>
      </c>
    </row>
    <row r="7506" spans="1:15" x14ac:dyDescent="0.25">
      <c r="A7506" t="s">
        <v>5315</v>
      </c>
      <c r="B7506" t="s">
        <v>15</v>
      </c>
      <c r="C7506" t="s">
        <v>25</v>
      </c>
      <c r="D7506" t="s">
        <v>17</v>
      </c>
      <c r="E7506" t="s">
        <v>18</v>
      </c>
      <c r="F7506" t="s">
        <v>19</v>
      </c>
      <c r="G7506" t="s">
        <v>20</v>
      </c>
      <c r="J7506" t="s">
        <v>17</v>
      </c>
      <c r="K7506" t="str">
        <f>"76330572"</f>
        <v>76330572</v>
      </c>
      <c r="L7506" t="str">
        <f>"76330572"</f>
        <v>76330572</v>
      </c>
      <c r="M7506" t="s">
        <v>75</v>
      </c>
      <c r="N7506" s="1">
        <v>42872.847222222219</v>
      </c>
      <c r="O7506" t="s">
        <v>19</v>
      </c>
    </row>
    <row r="7507" spans="1:15" x14ac:dyDescent="0.25">
      <c r="A7507" t="s">
        <v>5315</v>
      </c>
      <c r="B7507" t="s">
        <v>15</v>
      </c>
      <c r="C7507" t="s">
        <v>25</v>
      </c>
      <c r="D7507" t="s">
        <v>17</v>
      </c>
      <c r="E7507" t="s">
        <v>18</v>
      </c>
      <c r="F7507" t="s">
        <v>19</v>
      </c>
      <c r="G7507" t="s">
        <v>20</v>
      </c>
      <c r="J7507" t="s">
        <v>17</v>
      </c>
      <c r="K7507" t="str">
        <f>"76530572"</f>
        <v>76530572</v>
      </c>
      <c r="L7507" t="str">
        <f>"76530572"</f>
        <v>76530572</v>
      </c>
      <c r="M7507" t="s">
        <v>75</v>
      </c>
      <c r="N7507" s="1">
        <v>42872.847222222219</v>
      </c>
      <c r="O7507" t="s">
        <v>19</v>
      </c>
    </row>
    <row r="7508" spans="1:15" x14ac:dyDescent="0.25">
      <c r="A7508" t="s">
        <v>5315</v>
      </c>
      <c r="B7508" t="s">
        <v>15</v>
      </c>
      <c r="C7508" t="s">
        <v>25</v>
      </c>
      <c r="D7508" t="s">
        <v>17</v>
      </c>
      <c r="E7508" t="s">
        <v>18</v>
      </c>
      <c r="F7508" t="s">
        <v>19</v>
      </c>
      <c r="G7508" t="s">
        <v>20</v>
      </c>
      <c r="J7508" t="s">
        <v>17</v>
      </c>
      <c r="K7508" t="str">
        <f>"76530574"</f>
        <v>76530574</v>
      </c>
      <c r="L7508" t="str">
        <f>"76530574"</f>
        <v>76530574</v>
      </c>
      <c r="M7508" t="s">
        <v>75</v>
      </c>
      <c r="N7508" s="1">
        <v>42872.847222222219</v>
      </c>
      <c r="O7508" t="s">
        <v>19</v>
      </c>
    </row>
    <row r="7509" spans="1:15" x14ac:dyDescent="0.25">
      <c r="A7509" t="s">
        <v>5316</v>
      </c>
      <c r="B7509" t="s">
        <v>15</v>
      </c>
      <c r="C7509" t="s">
        <v>25</v>
      </c>
      <c r="D7509" t="s">
        <v>17</v>
      </c>
      <c r="E7509" t="s">
        <v>18</v>
      </c>
      <c r="F7509" t="s">
        <v>19</v>
      </c>
      <c r="G7509" t="s">
        <v>20</v>
      </c>
      <c r="J7509" t="s">
        <v>17</v>
      </c>
      <c r="K7509" t="str">
        <f>"175305118"</f>
        <v>175305118</v>
      </c>
      <c r="L7509" t="str">
        <f>"175305118"</f>
        <v>175305118</v>
      </c>
      <c r="M7509" t="s">
        <v>75</v>
      </c>
      <c r="N7509" s="1">
        <v>42872.849305555559</v>
      </c>
      <c r="O7509" t="s">
        <v>19</v>
      </c>
    </row>
    <row r="7510" spans="1:15" x14ac:dyDescent="0.25">
      <c r="A7510" t="s">
        <v>5316</v>
      </c>
      <c r="B7510" t="s">
        <v>15</v>
      </c>
      <c r="C7510" t="s">
        <v>25</v>
      </c>
      <c r="D7510" t="s">
        <v>17</v>
      </c>
      <c r="E7510" t="s">
        <v>18</v>
      </c>
      <c r="F7510" t="s">
        <v>19</v>
      </c>
      <c r="G7510" t="s">
        <v>20</v>
      </c>
      <c r="J7510" t="s">
        <v>17</v>
      </c>
      <c r="K7510" t="str">
        <f>"345305118"</f>
        <v>345305118</v>
      </c>
      <c r="L7510" t="str">
        <f>"345305118"</f>
        <v>345305118</v>
      </c>
      <c r="M7510" t="s">
        <v>75</v>
      </c>
      <c r="N7510" s="1">
        <v>42872.849305555559</v>
      </c>
      <c r="O7510" t="s">
        <v>19</v>
      </c>
    </row>
    <row r="7511" spans="1:15" x14ac:dyDescent="0.25">
      <c r="A7511" t="s">
        <v>5316</v>
      </c>
      <c r="B7511" t="s">
        <v>15</v>
      </c>
      <c r="C7511" t="s">
        <v>25</v>
      </c>
      <c r="D7511" t="s">
        <v>17</v>
      </c>
      <c r="E7511" t="s">
        <v>18</v>
      </c>
      <c r="F7511" t="s">
        <v>19</v>
      </c>
      <c r="G7511" t="s">
        <v>20</v>
      </c>
      <c r="J7511" t="s">
        <v>17</v>
      </c>
      <c r="K7511" t="str">
        <f>"765305118"</f>
        <v>765305118</v>
      </c>
      <c r="L7511" t="str">
        <f>"765305118"</f>
        <v>765305118</v>
      </c>
      <c r="M7511" t="s">
        <v>75</v>
      </c>
      <c r="N7511" s="1">
        <v>42872.849305555559</v>
      </c>
      <c r="O7511" t="s">
        <v>19</v>
      </c>
    </row>
    <row r="7512" spans="1:15" x14ac:dyDescent="0.25">
      <c r="A7512" t="s">
        <v>5316</v>
      </c>
      <c r="B7512" t="s">
        <v>15</v>
      </c>
      <c r="C7512" t="s">
        <v>25</v>
      </c>
      <c r="D7512" t="s">
        <v>17</v>
      </c>
      <c r="E7512" t="s">
        <v>18</v>
      </c>
      <c r="F7512" t="s">
        <v>19</v>
      </c>
      <c r="G7512" t="s">
        <v>20</v>
      </c>
      <c r="J7512" t="s">
        <v>17</v>
      </c>
      <c r="K7512" t="str">
        <f>"763305118"</f>
        <v>763305118</v>
      </c>
      <c r="L7512" t="str">
        <f>"763305118"</f>
        <v>763305118</v>
      </c>
      <c r="M7512" t="s">
        <v>75</v>
      </c>
      <c r="N7512" s="1">
        <v>42872.849305555559</v>
      </c>
      <c r="O7512" t="s">
        <v>19</v>
      </c>
    </row>
    <row r="7513" spans="1:15" x14ac:dyDescent="0.25">
      <c r="A7513" t="s">
        <v>5317</v>
      </c>
      <c r="B7513" t="s">
        <v>15</v>
      </c>
      <c r="C7513" t="s">
        <v>25</v>
      </c>
      <c r="D7513" t="s">
        <v>17</v>
      </c>
      <c r="E7513" t="s">
        <v>18</v>
      </c>
      <c r="F7513" t="s">
        <v>19</v>
      </c>
      <c r="G7513" t="s">
        <v>20</v>
      </c>
      <c r="J7513" t="s">
        <v>17</v>
      </c>
      <c r="K7513" t="str">
        <f>"763305304"</f>
        <v>763305304</v>
      </c>
      <c r="L7513" t="str">
        <f>"763305304"</f>
        <v>763305304</v>
      </c>
      <c r="M7513" t="s">
        <v>84</v>
      </c>
      <c r="N7513" s="1">
        <v>43286.731249999997</v>
      </c>
      <c r="O7513" t="s">
        <v>19</v>
      </c>
    </row>
    <row r="7514" spans="1:15" x14ac:dyDescent="0.25">
      <c r="A7514" t="s">
        <v>5317</v>
      </c>
      <c r="B7514" t="s">
        <v>15</v>
      </c>
      <c r="C7514" t="s">
        <v>25</v>
      </c>
      <c r="D7514" t="s">
        <v>17</v>
      </c>
      <c r="E7514" t="s">
        <v>18</v>
      </c>
      <c r="F7514" t="s">
        <v>19</v>
      </c>
      <c r="G7514" t="s">
        <v>20</v>
      </c>
      <c r="J7514" t="s">
        <v>17</v>
      </c>
      <c r="K7514" t="str">
        <f>"019836520170"</f>
        <v>019836520170</v>
      </c>
      <c r="L7514" t="str">
        <f>"613305304"</f>
        <v>613305304</v>
      </c>
      <c r="M7514" t="s">
        <v>84</v>
      </c>
      <c r="N7514" s="1">
        <v>43320.675694444442</v>
      </c>
      <c r="O7514" t="s">
        <v>19</v>
      </c>
    </row>
    <row r="7515" spans="1:15" x14ac:dyDescent="0.25">
      <c r="A7515" t="s">
        <v>5317</v>
      </c>
      <c r="B7515" t="s">
        <v>15</v>
      </c>
      <c r="C7515" t="s">
        <v>25</v>
      </c>
      <c r="D7515" t="s">
        <v>17</v>
      </c>
      <c r="E7515" t="s">
        <v>18</v>
      </c>
      <c r="F7515" t="s">
        <v>19</v>
      </c>
      <c r="G7515" t="s">
        <v>20</v>
      </c>
      <c r="J7515" t="s">
        <v>17</v>
      </c>
      <c r="K7515" t="str">
        <f>"183305329"</f>
        <v>183305329</v>
      </c>
      <c r="L7515" t="str">
        <f>"183305329"</f>
        <v>183305329</v>
      </c>
      <c r="M7515" t="s">
        <v>21</v>
      </c>
      <c r="N7515" s="1">
        <v>43397.622916666667</v>
      </c>
      <c r="O7515" t="s">
        <v>19</v>
      </c>
    </row>
    <row r="7516" spans="1:15" x14ac:dyDescent="0.25">
      <c r="A7516" t="s">
        <v>5317</v>
      </c>
      <c r="B7516" t="s">
        <v>15</v>
      </c>
      <c r="C7516" t="s">
        <v>25</v>
      </c>
      <c r="D7516" t="s">
        <v>17</v>
      </c>
      <c r="E7516" t="s">
        <v>18</v>
      </c>
      <c r="F7516" t="s">
        <v>19</v>
      </c>
      <c r="G7516" t="s">
        <v>20</v>
      </c>
      <c r="J7516" t="s">
        <v>17</v>
      </c>
      <c r="K7516" t="str">
        <f>"683305304"</f>
        <v>683305304</v>
      </c>
      <c r="L7516" t="str">
        <f>"683305304"</f>
        <v>683305304</v>
      </c>
      <c r="M7516" t="s">
        <v>21</v>
      </c>
      <c r="N7516" s="1">
        <v>43798.643055555556</v>
      </c>
      <c r="O7516" t="s">
        <v>19</v>
      </c>
    </row>
    <row r="7517" spans="1:15" x14ac:dyDescent="0.25">
      <c r="A7517" t="s">
        <v>5318</v>
      </c>
      <c r="B7517" t="s">
        <v>15</v>
      </c>
      <c r="C7517" t="s">
        <v>25</v>
      </c>
      <c r="D7517" t="s">
        <v>17</v>
      </c>
      <c r="E7517" t="s">
        <v>18</v>
      </c>
      <c r="F7517" t="s">
        <v>19</v>
      </c>
      <c r="G7517" t="s">
        <v>20</v>
      </c>
      <c r="J7517" t="s">
        <v>17</v>
      </c>
      <c r="K7517" t="str">
        <f>"2020060901053"</f>
        <v>2020060901053</v>
      </c>
      <c r="L7517" t="str">
        <f>"183305330"</f>
        <v>183305330</v>
      </c>
      <c r="M7517" t="s">
        <v>21</v>
      </c>
      <c r="N7517" s="1">
        <v>43595.915277777778</v>
      </c>
      <c r="O7517" t="s">
        <v>19</v>
      </c>
    </row>
    <row r="7518" spans="1:15" x14ac:dyDescent="0.25">
      <c r="A7518" t="s">
        <v>5318</v>
      </c>
      <c r="B7518" t="s">
        <v>15</v>
      </c>
      <c r="C7518" t="s">
        <v>25</v>
      </c>
      <c r="D7518" t="s">
        <v>17</v>
      </c>
      <c r="E7518" t="s">
        <v>18</v>
      </c>
      <c r="F7518" t="s">
        <v>19</v>
      </c>
      <c r="G7518" t="s">
        <v>20</v>
      </c>
      <c r="J7518" t="s">
        <v>17</v>
      </c>
      <c r="K7518" t="str">
        <f>"683305317"</f>
        <v>683305317</v>
      </c>
      <c r="L7518" t="str">
        <f>"683305317"</f>
        <v>683305317</v>
      </c>
      <c r="M7518" t="s">
        <v>21</v>
      </c>
      <c r="N7518" s="1">
        <v>43721.592361111114</v>
      </c>
      <c r="O7518" t="s">
        <v>19</v>
      </c>
    </row>
    <row r="7519" spans="1:15" x14ac:dyDescent="0.25">
      <c r="A7519" t="s">
        <v>5318</v>
      </c>
      <c r="B7519" t="s">
        <v>15</v>
      </c>
      <c r="C7519" t="s">
        <v>25</v>
      </c>
      <c r="D7519" t="s">
        <v>17</v>
      </c>
      <c r="E7519" t="s">
        <v>18</v>
      </c>
      <c r="F7519" t="s">
        <v>19</v>
      </c>
      <c r="G7519" t="s">
        <v>20</v>
      </c>
      <c r="J7519" t="s">
        <v>17</v>
      </c>
      <c r="K7519" t="str">
        <f>"343305317"</f>
        <v>343305317</v>
      </c>
      <c r="L7519" t="str">
        <f>"343305317"</f>
        <v>343305317</v>
      </c>
      <c r="M7519" t="s">
        <v>21</v>
      </c>
      <c r="N7519" s="1">
        <v>43819.792361111111</v>
      </c>
      <c r="O7519" t="s">
        <v>19</v>
      </c>
    </row>
    <row r="7520" spans="1:15" x14ac:dyDescent="0.25">
      <c r="A7520" t="s">
        <v>5319</v>
      </c>
      <c r="B7520" t="s">
        <v>15</v>
      </c>
      <c r="C7520" t="s">
        <v>25</v>
      </c>
      <c r="D7520" t="s">
        <v>17</v>
      </c>
      <c r="E7520" t="s">
        <v>18</v>
      </c>
      <c r="F7520" t="s">
        <v>19</v>
      </c>
      <c r="G7520" t="s">
        <v>20</v>
      </c>
      <c r="J7520" t="s">
        <v>17</v>
      </c>
      <c r="K7520" t="str">
        <f>"763305160"</f>
        <v>763305160</v>
      </c>
      <c r="L7520" t="str">
        <f>"763305160"</f>
        <v>763305160</v>
      </c>
      <c r="M7520" t="s">
        <v>75</v>
      </c>
      <c r="N7520" s="1">
        <v>43005.928472222222</v>
      </c>
      <c r="O7520" t="s">
        <v>19</v>
      </c>
    </row>
    <row r="7521" spans="1:15" x14ac:dyDescent="0.25">
      <c r="A7521" t="s">
        <v>5319</v>
      </c>
      <c r="B7521" t="s">
        <v>15</v>
      </c>
      <c r="C7521" t="s">
        <v>25</v>
      </c>
      <c r="D7521" t="s">
        <v>17</v>
      </c>
      <c r="E7521" t="s">
        <v>18</v>
      </c>
      <c r="F7521" t="s">
        <v>19</v>
      </c>
      <c r="G7521" t="s">
        <v>20</v>
      </c>
      <c r="J7521" t="s">
        <v>17</v>
      </c>
      <c r="K7521" t="str">
        <f>"173305160"</f>
        <v>173305160</v>
      </c>
      <c r="L7521" t="str">
        <f>"173305160"</f>
        <v>173305160</v>
      </c>
      <c r="M7521" t="s">
        <v>75</v>
      </c>
      <c r="N7521" s="1">
        <v>43131.931250000001</v>
      </c>
      <c r="O7521" t="s">
        <v>19</v>
      </c>
    </row>
    <row r="7522" spans="1:15" x14ac:dyDescent="0.25">
      <c r="A7522" t="s">
        <v>5319</v>
      </c>
      <c r="B7522" t="s">
        <v>15</v>
      </c>
      <c r="C7522" t="s">
        <v>25</v>
      </c>
      <c r="D7522" t="s">
        <v>17</v>
      </c>
      <c r="E7522" t="s">
        <v>18</v>
      </c>
      <c r="F7522" t="s">
        <v>19</v>
      </c>
      <c r="G7522" t="s">
        <v>20</v>
      </c>
      <c r="J7522" t="s">
        <v>17</v>
      </c>
      <c r="K7522" t="str">
        <f>"765305160"</f>
        <v>765305160</v>
      </c>
      <c r="L7522" t="str">
        <f>"765305160"</f>
        <v>765305160</v>
      </c>
      <c r="M7522" t="s">
        <v>75</v>
      </c>
      <c r="N7522" s="1">
        <v>43231.655555555553</v>
      </c>
      <c r="O7522" t="s">
        <v>19</v>
      </c>
    </row>
    <row r="7523" spans="1:15" x14ac:dyDescent="0.25">
      <c r="A7523" t="s">
        <v>5320</v>
      </c>
      <c r="B7523" t="s">
        <v>15</v>
      </c>
      <c r="C7523" t="s">
        <v>25</v>
      </c>
      <c r="D7523" t="s">
        <v>17</v>
      </c>
      <c r="E7523" t="s">
        <v>18</v>
      </c>
      <c r="F7523" t="s">
        <v>19</v>
      </c>
      <c r="G7523" t="s">
        <v>20</v>
      </c>
      <c r="J7523" t="s">
        <v>17</v>
      </c>
      <c r="K7523" t="str">
        <f>"763305312"</f>
        <v>763305312</v>
      </c>
      <c r="L7523" t="str">
        <f>"763305312"</f>
        <v>763305312</v>
      </c>
      <c r="M7523" t="s">
        <v>84</v>
      </c>
      <c r="N7523" s="1">
        <v>43518.88958333333</v>
      </c>
      <c r="O7523" t="s">
        <v>19</v>
      </c>
    </row>
    <row r="7524" spans="1:15" x14ac:dyDescent="0.25">
      <c r="A7524" t="s">
        <v>5321</v>
      </c>
      <c r="B7524" t="s">
        <v>15</v>
      </c>
      <c r="C7524" t="s">
        <v>25</v>
      </c>
      <c r="D7524" t="s">
        <v>17</v>
      </c>
      <c r="E7524" t="s">
        <v>18</v>
      </c>
      <c r="F7524" t="s">
        <v>19</v>
      </c>
      <c r="G7524" t="s">
        <v>20</v>
      </c>
      <c r="J7524" t="s">
        <v>17</v>
      </c>
      <c r="K7524" t="str">
        <f>"683305314"</f>
        <v>683305314</v>
      </c>
      <c r="L7524" t="str">
        <f>"683305314"</f>
        <v>683305314</v>
      </c>
      <c r="M7524" t="s">
        <v>84</v>
      </c>
      <c r="N7524" s="1">
        <v>43545.776388888888</v>
      </c>
      <c r="O7524" t="s">
        <v>19</v>
      </c>
    </row>
    <row r="7525" spans="1:15" x14ac:dyDescent="0.25">
      <c r="A7525" t="s">
        <v>5321</v>
      </c>
      <c r="B7525" t="s">
        <v>15</v>
      </c>
      <c r="C7525" t="s">
        <v>25</v>
      </c>
      <c r="D7525" t="s">
        <v>17</v>
      </c>
      <c r="E7525" t="s">
        <v>18</v>
      </c>
      <c r="F7525" t="s">
        <v>19</v>
      </c>
      <c r="G7525" t="s">
        <v>20</v>
      </c>
      <c r="J7525" t="s">
        <v>17</v>
      </c>
      <c r="K7525" t="str">
        <f>"2019120100130"</f>
        <v>2019120100130</v>
      </c>
      <c r="L7525" t="str">
        <f>"183305315"</f>
        <v>183305315</v>
      </c>
      <c r="M7525" t="s">
        <v>21</v>
      </c>
      <c r="N7525" s="1">
        <v>43595.915277777778</v>
      </c>
      <c r="O7525" t="s">
        <v>19</v>
      </c>
    </row>
    <row r="7526" spans="1:15" x14ac:dyDescent="0.25">
      <c r="A7526" t="s">
        <v>5321</v>
      </c>
      <c r="B7526" t="s">
        <v>15</v>
      </c>
      <c r="C7526" t="s">
        <v>25</v>
      </c>
      <c r="D7526" t="s">
        <v>17</v>
      </c>
      <c r="E7526" t="s">
        <v>18</v>
      </c>
      <c r="F7526" t="s">
        <v>19</v>
      </c>
      <c r="G7526" t="s">
        <v>20</v>
      </c>
      <c r="J7526" t="s">
        <v>17</v>
      </c>
      <c r="K7526" t="str">
        <f>"683305315"</f>
        <v>683305315</v>
      </c>
      <c r="L7526" t="str">
        <f>"683305315"</f>
        <v>683305315</v>
      </c>
      <c r="M7526" t="s">
        <v>21</v>
      </c>
      <c r="N7526" s="1">
        <v>43721.591666666667</v>
      </c>
      <c r="O7526" t="s">
        <v>19</v>
      </c>
    </row>
    <row r="7527" spans="1:15" x14ac:dyDescent="0.25">
      <c r="A7527" t="s">
        <v>5321</v>
      </c>
      <c r="B7527" t="s">
        <v>15</v>
      </c>
      <c r="C7527" t="s">
        <v>25</v>
      </c>
      <c r="D7527" t="s">
        <v>17</v>
      </c>
      <c r="E7527" t="s">
        <v>18</v>
      </c>
      <c r="F7527" t="s">
        <v>19</v>
      </c>
      <c r="G7527" t="s">
        <v>20</v>
      </c>
      <c r="J7527" t="s">
        <v>17</v>
      </c>
      <c r="K7527" t="str">
        <f>"343305315"</f>
        <v>343305315</v>
      </c>
      <c r="L7527" t="str">
        <f>"343305315"</f>
        <v>343305315</v>
      </c>
      <c r="M7527" t="s">
        <v>21</v>
      </c>
      <c r="N7527" s="1">
        <v>43819.792361111111</v>
      </c>
      <c r="O7527" t="s">
        <v>19</v>
      </c>
    </row>
    <row r="7528" spans="1:15" x14ac:dyDescent="0.25">
      <c r="A7528" t="s">
        <v>5321</v>
      </c>
      <c r="B7528" t="s">
        <v>15</v>
      </c>
      <c r="C7528" t="s">
        <v>25</v>
      </c>
      <c r="D7528" t="s">
        <v>17</v>
      </c>
      <c r="E7528" t="s">
        <v>18</v>
      </c>
      <c r="F7528" t="s">
        <v>19</v>
      </c>
      <c r="G7528" t="s">
        <v>20</v>
      </c>
      <c r="J7528" t="s">
        <v>17</v>
      </c>
      <c r="K7528" t="str">
        <f>"1578151330594"</f>
        <v>1578151330594</v>
      </c>
      <c r="L7528" t="str">
        <f>"61330598"</f>
        <v>61330598</v>
      </c>
      <c r="M7528" t="s">
        <v>21</v>
      </c>
      <c r="N7528" s="1">
        <v>43834.640277777777</v>
      </c>
      <c r="O7528" t="s">
        <v>19</v>
      </c>
    </row>
    <row r="7529" spans="1:15" x14ac:dyDescent="0.25">
      <c r="A7529" t="s">
        <v>5322</v>
      </c>
      <c r="B7529" t="s">
        <v>15</v>
      </c>
      <c r="C7529" t="s">
        <v>25</v>
      </c>
      <c r="D7529" t="s">
        <v>17</v>
      </c>
      <c r="E7529" t="s">
        <v>18</v>
      </c>
      <c r="F7529" t="s">
        <v>19</v>
      </c>
      <c r="G7529" t="s">
        <v>20</v>
      </c>
      <c r="J7529" t="s">
        <v>17</v>
      </c>
      <c r="K7529" t="str">
        <f>"993305162"</f>
        <v>993305162</v>
      </c>
      <c r="L7529" t="str">
        <f>"993305162"</f>
        <v>993305162</v>
      </c>
      <c r="M7529" t="s">
        <v>75</v>
      </c>
      <c r="N7529" s="1">
        <v>43244.871527777781</v>
      </c>
      <c r="O7529" t="s">
        <v>19</v>
      </c>
    </row>
    <row r="7530" spans="1:15" x14ac:dyDescent="0.25">
      <c r="A7530" t="s">
        <v>5322</v>
      </c>
      <c r="B7530" t="s">
        <v>15</v>
      </c>
      <c r="C7530" t="s">
        <v>25</v>
      </c>
      <c r="D7530" t="s">
        <v>17</v>
      </c>
      <c r="E7530" t="s">
        <v>18</v>
      </c>
      <c r="F7530" t="s">
        <v>19</v>
      </c>
      <c r="G7530" t="s">
        <v>20</v>
      </c>
      <c r="J7530" t="s">
        <v>17</v>
      </c>
      <c r="K7530" t="str">
        <f>"763305162"</f>
        <v>763305162</v>
      </c>
      <c r="L7530" t="str">
        <f>"763305162"</f>
        <v>763305162</v>
      </c>
      <c r="M7530" t="s">
        <v>84</v>
      </c>
      <c r="N7530" s="1">
        <v>43259.636805555558</v>
      </c>
      <c r="O7530" t="s">
        <v>19</v>
      </c>
    </row>
    <row r="7531" spans="1:15" x14ac:dyDescent="0.25">
      <c r="A7531" t="s">
        <v>5322</v>
      </c>
      <c r="B7531" t="s">
        <v>15</v>
      </c>
      <c r="C7531" t="s">
        <v>25</v>
      </c>
      <c r="D7531" t="s">
        <v>17</v>
      </c>
      <c r="E7531" t="s">
        <v>18</v>
      </c>
      <c r="F7531" t="s">
        <v>19</v>
      </c>
      <c r="G7531" t="s">
        <v>20</v>
      </c>
      <c r="J7531" t="s">
        <v>17</v>
      </c>
      <c r="K7531" t="str">
        <f>"765305162"</f>
        <v>765305162</v>
      </c>
      <c r="L7531" t="str">
        <f>"765305162"</f>
        <v>765305162</v>
      </c>
      <c r="M7531" t="s">
        <v>84</v>
      </c>
      <c r="N7531" s="1">
        <v>43307.667361111111</v>
      </c>
      <c r="O7531" t="s">
        <v>19</v>
      </c>
    </row>
    <row r="7532" spans="1:15" x14ac:dyDescent="0.25">
      <c r="A7532" t="s">
        <v>5322</v>
      </c>
      <c r="B7532" t="s">
        <v>15</v>
      </c>
      <c r="C7532" t="s">
        <v>25</v>
      </c>
      <c r="D7532" t="s">
        <v>17</v>
      </c>
      <c r="E7532" t="s">
        <v>18</v>
      </c>
      <c r="F7532" t="s">
        <v>19</v>
      </c>
      <c r="G7532" t="s">
        <v>20</v>
      </c>
      <c r="J7532" t="s">
        <v>17</v>
      </c>
      <c r="K7532" t="str">
        <f>"2020060901084"</f>
        <v>2020060901084</v>
      </c>
      <c r="L7532" t="str">
        <f>"183305324"</f>
        <v>183305324</v>
      </c>
      <c r="M7532" t="s">
        <v>21</v>
      </c>
      <c r="N7532" s="1">
        <v>43397.620833333334</v>
      </c>
      <c r="O7532" t="s">
        <v>19</v>
      </c>
    </row>
    <row r="7533" spans="1:15" x14ac:dyDescent="0.25">
      <c r="A7533" t="s">
        <v>5322</v>
      </c>
      <c r="B7533" t="s">
        <v>15</v>
      </c>
      <c r="C7533" t="s">
        <v>25</v>
      </c>
      <c r="D7533" t="s">
        <v>17</v>
      </c>
      <c r="E7533" t="s">
        <v>18</v>
      </c>
      <c r="F7533" t="s">
        <v>19</v>
      </c>
      <c r="G7533" t="s">
        <v>20</v>
      </c>
      <c r="J7533" t="s">
        <v>17</v>
      </c>
      <c r="K7533" t="str">
        <f>"343305162"</f>
        <v>343305162</v>
      </c>
      <c r="L7533" t="str">
        <f>"343305162"</f>
        <v>343305162</v>
      </c>
      <c r="M7533" t="s">
        <v>21</v>
      </c>
      <c r="N7533" s="1">
        <v>43686.878472222219</v>
      </c>
      <c r="O7533" t="s">
        <v>19</v>
      </c>
    </row>
    <row r="7534" spans="1:15" x14ac:dyDescent="0.25">
      <c r="A7534" t="s">
        <v>5323</v>
      </c>
      <c r="B7534" t="s">
        <v>15</v>
      </c>
      <c r="C7534" t="s">
        <v>25</v>
      </c>
      <c r="D7534" t="s">
        <v>17</v>
      </c>
      <c r="E7534" t="s">
        <v>18</v>
      </c>
      <c r="F7534" t="s">
        <v>19</v>
      </c>
      <c r="G7534" t="s">
        <v>20</v>
      </c>
      <c r="J7534" t="s">
        <v>17</v>
      </c>
      <c r="K7534" t="str">
        <f>"2020060901091"</f>
        <v>2020060901091</v>
      </c>
      <c r="L7534" t="str">
        <f>"183305325"</f>
        <v>183305325</v>
      </c>
      <c r="M7534" t="s">
        <v>21</v>
      </c>
      <c r="N7534" s="1">
        <v>42872.849305555559</v>
      </c>
      <c r="O7534" t="s">
        <v>19</v>
      </c>
    </row>
    <row r="7535" spans="1:15" x14ac:dyDescent="0.25">
      <c r="A7535" t="s">
        <v>5323</v>
      </c>
      <c r="B7535" t="s">
        <v>15</v>
      </c>
      <c r="C7535" t="s">
        <v>25</v>
      </c>
      <c r="D7535" t="s">
        <v>17</v>
      </c>
      <c r="E7535" t="s">
        <v>18</v>
      </c>
      <c r="F7535" t="s">
        <v>19</v>
      </c>
      <c r="G7535" t="s">
        <v>20</v>
      </c>
      <c r="J7535" t="s">
        <v>17</v>
      </c>
      <c r="K7535" t="str">
        <f>"765305280"</f>
        <v>765305280</v>
      </c>
      <c r="L7535" t="str">
        <f>"765305280"</f>
        <v>765305280</v>
      </c>
      <c r="M7535" t="s">
        <v>75</v>
      </c>
      <c r="N7535" s="1">
        <v>43231.661111111112</v>
      </c>
      <c r="O7535" t="s">
        <v>19</v>
      </c>
    </row>
    <row r="7536" spans="1:15" x14ac:dyDescent="0.25">
      <c r="A7536" t="s">
        <v>5323</v>
      </c>
      <c r="B7536" t="s">
        <v>15</v>
      </c>
      <c r="C7536" t="s">
        <v>25</v>
      </c>
      <c r="D7536" t="s">
        <v>17</v>
      </c>
      <c r="E7536" t="s">
        <v>18</v>
      </c>
      <c r="F7536" t="s">
        <v>19</v>
      </c>
      <c r="G7536" t="s">
        <v>20</v>
      </c>
      <c r="J7536" t="s">
        <v>17</v>
      </c>
      <c r="K7536" t="str">
        <f>"863305280"</f>
        <v>863305280</v>
      </c>
      <c r="L7536" t="str">
        <f>"863305280"</f>
        <v>863305280</v>
      </c>
      <c r="M7536" t="s">
        <v>84</v>
      </c>
      <c r="N7536" s="1">
        <v>43367.677083333336</v>
      </c>
      <c r="O7536" t="s">
        <v>19</v>
      </c>
    </row>
    <row r="7537" spans="1:15" x14ac:dyDescent="0.25">
      <c r="A7537" t="s">
        <v>5324</v>
      </c>
      <c r="B7537" t="s">
        <v>15</v>
      </c>
      <c r="C7537" t="s">
        <v>25</v>
      </c>
      <c r="D7537" t="s">
        <v>17</v>
      </c>
      <c r="E7537" t="s">
        <v>18</v>
      </c>
      <c r="F7537" t="s">
        <v>19</v>
      </c>
      <c r="G7537" t="s">
        <v>20</v>
      </c>
      <c r="J7537" t="s">
        <v>17</v>
      </c>
      <c r="K7537" t="str">
        <f>"343305319"</f>
        <v>343305319</v>
      </c>
      <c r="L7537" t="str">
        <f>"343305319"</f>
        <v>343305319</v>
      </c>
      <c r="M7537" t="s">
        <v>21</v>
      </c>
      <c r="N7537" s="1">
        <v>43993.852083333331</v>
      </c>
      <c r="O7537" t="s">
        <v>19</v>
      </c>
    </row>
    <row r="7538" spans="1:15" x14ac:dyDescent="0.25">
      <c r="A7538" t="s">
        <v>5325</v>
      </c>
      <c r="B7538" t="s">
        <v>15</v>
      </c>
      <c r="C7538" t="s">
        <v>25</v>
      </c>
      <c r="D7538" t="s">
        <v>17</v>
      </c>
      <c r="E7538" t="s">
        <v>18</v>
      </c>
      <c r="F7538" t="s">
        <v>19</v>
      </c>
      <c r="G7538" t="s">
        <v>20</v>
      </c>
      <c r="J7538" t="s">
        <v>17</v>
      </c>
      <c r="K7538" t="str">
        <f>"763305161"</f>
        <v>763305161</v>
      </c>
      <c r="L7538" t="str">
        <f>"763305161"</f>
        <v>763305161</v>
      </c>
      <c r="M7538" t="s">
        <v>75</v>
      </c>
      <c r="N7538" s="1">
        <v>43231.65902777778</v>
      </c>
      <c r="O7538" t="s">
        <v>19</v>
      </c>
    </row>
    <row r="7539" spans="1:15" x14ac:dyDescent="0.25">
      <c r="A7539" t="s">
        <v>5325</v>
      </c>
      <c r="B7539" t="s">
        <v>15</v>
      </c>
      <c r="C7539" t="s">
        <v>25</v>
      </c>
      <c r="D7539" t="s">
        <v>17</v>
      </c>
      <c r="E7539" t="s">
        <v>18</v>
      </c>
      <c r="F7539" t="s">
        <v>19</v>
      </c>
      <c r="G7539" t="s">
        <v>20</v>
      </c>
      <c r="J7539" t="s">
        <v>17</v>
      </c>
      <c r="K7539" t="str">
        <f>"993305161"</f>
        <v>993305161</v>
      </c>
      <c r="L7539" t="str">
        <f>"993305161"</f>
        <v>993305161</v>
      </c>
      <c r="M7539" t="s">
        <v>75</v>
      </c>
      <c r="N7539" s="1">
        <v>43244.871527777781</v>
      </c>
      <c r="O7539" t="s">
        <v>19</v>
      </c>
    </row>
    <row r="7540" spans="1:15" x14ac:dyDescent="0.25">
      <c r="A7540" t="s">
        <v>5325</v>
      </c>
      <c r="B7540" t="s">
        <v>15</v>
      </c>
      <c r="C7540" t="s">
        <v>25</v>
      </c>
      <c r="D7540" t="s">
        <v>17</v>
      </c>
      <c r="E7540" t="s">
        <v>18</v>
      </c>
      <c r="F7540" t="s">
        <v>19</v>
      </c>
      <c r="G7540" t="s">
        <v>20</v>
      </c>
      <c r="J7540" t="s">
        <v>17</v>
      </c>
      <c r="K7540" t="str">
        <f>"863305161"</f>
        <v>863305161</v>
      </c>
      <c r="L7540" t="str">
        <f>"863305161"</f>
        <v>863305161</v>
      </c>
      <c r="M7540" t="s">
        <v>84</v>
      </c>
      <c r="N7540" s="1">
        <v>43367.677777777775</v>
      </c>
      <c r="O7540" t="s">
        <v>19</v>
      </c>
    </row>
    <row r="7541" spans="1:15" x14ac:dyDescent="0.25">
      <c r="A7541" t="s">
        <v>5325</v>
      </c>
      <c r="B7541" t="s">
        <v>15</v>
      </c>
      <c r="C7541" t="s">
        <v>25</v>
      </c>
      <c r="D7541" t="s">
        <v>17</v>
      </c>
      <c r="E7541" t="s">
        <v>18</v>
      </c>
      <c r="F7541" t="s">
        <v>19</v>
      </c>
      <c r="G7541" t="s">
        <v>20</v>
      </c>
      <c r="J7541" t="s">
        <v>17</v>
      </c>
      <c r="K7541" t="str">
        <f>"683305161"</f>
        <v>683305161</v>
      </c>
      <c r="L7541" t="str">
        <f>"683305161"</f>
        <v>683305161</v>
      </c>
      <c r="M7541" t="s">
        <v>84</v>
      </c>
      <c r="N7541" s="1">
        <v>43420.621527777781</v>
      </c>
      <c r="O7541" t="s">
        <v>19</v>
      </c>
    </row>
    <row r="7542" spans="1:15" x14ac:dyDescent="0.25">
      <c r="A7542" t="s">
        <v>5326</v>
      </c>
      <c r="B7542" t="s">
        <v>15</v>
      </c>
      <c r="C7542" t="s">
        <v>25</v>
      </c>
      <c r="D7542" t="s">
        <v>17</v>
      </c>
      <c r="E7542" t="s">
        <v>18</v>
      </c>
      <c r="F7542" t="s">
        <v>19</v>
      </c>
      <c r="G7542" t="s">
        <v>20</v>
      </c>
      <c r="J7542" t="s">
        <v>17</v>
      </c>
      <c r="K7542" t="str">
        <f>"673305310"</f>
        <v>673305310</v>
      </c>
      <c r="L7542" t="str">
        <f>"673305310"</f>
        <v>673305310</v>
      </c>
      <c r="M7542" t="s">
        <v>84</v>
      </c>
      <c r="N7542" s="1">
        <v>43502.654861111114</v>
      </c>
      <c r="O7542" t="s">
        <v>19</v>
      </c>
    </row>
    <row r="7543" spans="1:15" x14ac:dyDescent="0.25">
      <c r="A7543" t="s">
        <v>5326</v>
      </c>
      <c r="B7543" t="s">
        <v>15</v>
      </c>
      <c r="C7543" t="s">
        <v>25</v>
      </c>
      <c r="D7543" t="s">
        <v>17</v>
      </c>
      <c r="E7543" t="s">
        <v>18</v>
      </c>
      <c r="F7543" t="s">
        <v>19</v>
      </c>
      <c r="G7543" t="s">
        <v>20</v>
      </c>
      <c r="J7543" t="s">
        <v>17</v>
      </c>
      <c r="K7543" t="str">
        <f>"343305310"</f>
        <v>343305310</v>
      </c>
      <c r="L7543" t="str">
        <f>"343305310"</f>
        <v>343305310</v>
      </c>
      <c r="M7543" t="s">
        <v>84</v>
      </c>
      <c r="N7543" s="1">
        <v>43528.763194444444</v>
      </c>
      <c r="O7543" t="s">
        <v>19</v>
      </c>
    </row>
    <row r="7544" spans="1:15" x14ac:dyDescent="0.25">
      <c r="A7544" t="s">
        <v>5326</v>
      </c>
      <c r="B7544" t="s">
        <v>15</v>
      </c>
      <c r="C7544" t="s">
        <v>25</v>
      </c>
      <c r="D7544" t="s">
        <v>17</v>
      </c>
      <c r="E7544" t="s">
        <v>18</v>
      </c>
      <c r="F7544" t="s">
        <v>19</v>
      </c>
      <c r="G7544" t="s">
        <v>20</v>
      </c>
      <c r="J7544" t="s">
        <v>17</v>
      </c>
      <c r="K7544" t="str">
        <f>"683305310"</f>
        <v>683305310</v>
      </c>
      <c r="L7544" t="str">
        <f>"683305310"</f>
        <v>683305310</v>
      </c>
      <c r="M7544" t="s">
        <v>21</v>
      </c>
      <c r="N7544" s="1">
        <v>43721.59375</v>
      </c>
      <c r="O7544" t="s">
        <v>19</v>
      </c>
    </row>
    <row r="7545" spans="1:15" x14ac:dyDescent="0.25">
      <c r="A7545" t="s">
        <v>5326</v>
      </c>
      <c r="B7545" t="s">
        <v>15</v>
      </c>
      <c r="C7545" t="s">
        <v>25</v>
      </c>
      <c r="D7545" t="s">
        <v>17</v>
      </c>
      <c r="E7545" t="s">
        <v>18</v>
      </c>
      <c r="F7545" t="s">
        <v>19</v>
      </c>
      <c r="G7545" t="s">
        <v>20</v>
      </c>
      <c r="J7545" t="s">
        <v>17</v>
      </c>
      <c r="K7545" t="str">
        <f>"1578151297570"</f>
        <v>1578151297570</v>
      </c>
      <c r="L7545" t="str">
        <f>"61330597"</f>
        <v>61330597</v>
      </c>
      <c r="M7545" t="s">
        <v>21</v>
      </c>
      <c r="N7545" s="1">
        <v>43834.63958333333</v>
      </c>
      <c r="O7545" t="s">
        <v>19</v>
      </c>
    </row>
    <row r="7546" spans="1:15" x14ac:dyDescent="0.25">
      <c r="A7546" t="s">
        <v>5326</v>
      </c>
      <c r="B7546" t="s">
        <v>15</v>
      </c>
      <c r="C7546" t="s">
        <v>25</v>
      </c>
      <c r="D7546" t="s">
        <v>17</v>
      </c>
      <c r="E7546" t="s">
        <v>18</v>
      </c>
      <c r="F7546" t="s">
        <v>19</v>
      </c>
      <c r="G7546" t="s">
        <v>20</v>
      </c>
      <c r="J7546" t="s">
        <v>17</v>
      </c>
      <c r="K7546" t="str">
        <f>"2019120100147"</f>
        <v>2019120100147</v>
      </c>
      <c r="L7546" t="str">
        <f>"183305310"</f>
        <v>183305310</v>
      </c>
      <c r="M7546" t="s">
        <v>21</v>
      </c>
      <c r="N7546" s="1">
        <v>43866.746527777781</v>
      </c>
      <c r="O7546" t="s">
        <v>19</v>
      </c>
    </row>
    <row r="7547" spans="1:15" x14ac:dyDescent="0.25">
      <c r="A7547" t="s">
        <v>5327</v>
      </c>
      <c r="B7547" t="s">
        <v>15</v>
      </c>
      <c r="C7547" t="s">
        <v>25</v>
      </c>
      <c r="D7547" t="s">
        <v>17</v>
      </c>
      <c r="E7547" t="s">
        <v>18</v>
      </c>
      <c r="F7547" t="s">
        <v>19</v>
      </c>
      <c r="G7547" t="s">
        <v>20</v>
      </c>
      <c r="J7547" t="s">
        <v>17</v>
      </c>
      <c r="K7547" t="str">
        <f>"2019080300205"</f>
        <v>2019080300205</v>
      </c>
      <c r="L7547" t="str">
        <f>"183305319"</f>
        <v>183305319</v>
      </c>
      <c r="M7547" t="s">
        <v>21</v>
      </c>
      <c r="N7547" s="1">
        <v>43866.741666666669</v>
      </c>
      <c r="O7547" t="s">
        <v>19</v>
      </c>
    </row>
    <row r="7548" spans="1:15" x14ac:dyDescent="0.25">
      <c r="A7548" t="s">
        <v>5328</v>
      </c>
      <c r="B7548" t="s">
        <v>15</v>
      </c>
      <c r="C7548" t="s">
        <v>25</v>
      </c>
      <c r="D7548" t="s">
        <v>17</v>
      </c>
      <c r="E7548" t="s">
        <v>18</v>
      </c>
      <c r="F7548" t="s">
        <v>19</v>
      </c>
      <c r="G7548" t="s">
        <v>20</v>
      </c>
      <c r="J7548" t="s">
        <v>17</v>
      </c>
      <c r="K7548" t="str">
        <f>"765301112"</f>
        <v>765301112</v>
      </c>
      <c r="L7548" t="str">
        <f>"765301112"</f>
        <v>765301112</v>
      </c>
      <c r="M7548" t="s">
        <v>75</v>
      </c>
      <c r="N7548" s="1">
        <v>42872.849305555559</v>
      </c>
      <c r="O7548" t="s">
        <v>19</v>
      </c>
    </row>
    <row r="7549" spans="1:15" x14ac:dyDescent="0.25">
      <c r="A7549" t="s">
        <v>5329</v>
      </c>
      <c r="B7549" t="s">
        <v>15</v>
      </c>
      <c r="C7549" t="s">
        <v>25</v>
      </c>
      <c r="D7549" t="s">
        <v>17</v>
      </c>
      <c r="E7549" t="s">
        <v>18</v>
      </c>
      <c r="F7549" t="s">
        <v>19</v>
      </c>
      <c r="G7549" t="s">
        <v>20</v>
      </c>
      <c r="J7549" t="s">
        <v>17</v>
      </c>
      <c r="K7549" t="str">
        <f>"34330701"</f>
        <v>34330701</v>
      </c>
      <c r="L7549" t="str">
        <f>"34330701"</f>
        <v>34330701</v>
      </c>
      <c r="M7549" t="s">
        <v>84</v>
      </c>
      <c r="N7549" s="1">
        <v>43502.890972222223</v>
      </c>
      <c r="O7549" t="s">
        <v>19</v>
      </c>
    </row>
    <row r="7550" spans="1:15" x14ac:dyDescent="0.25">
      <c r="A7550" t="s">
        <v>5330</v>
      </c>
      <c r="B7550" t="s">
        <v>15</v>
      </c>
      <c r="C7550" t="s">
        <v>25</v>
      </c>
      <c r="D7550" t="s">
        <v>17</v>
      </c>
      <c r="E7550" t="s">
        <v>18</v>
      </c>
      <c r="F7550" t="s">
        <v>19</v>
      </c>
      <c r="G7550" t="s">
        <v>20</v>
      </c>
      <c r="J7550" t="s">
        <v>17</v>
      </c>
      <c r="K7550" t="str">
        <f>"345300102"</f>
        <v>345300102</v>
      </c>
      <c r="L7550" t="str">
        <f>"345300102"</f>
        <v>345300102</v>
      </c>
      <c r="M7550" t="s">
        <v>75</v>
      </c>
      <c r="N7550" s="1">
        <v>42872.849305555559</v>
      </c>
      <c r="O7550" t="s">
        <v>19</v>
      </c>
    </row>
    <row r="7551" spans="1:15" x14ac:dyDescent="0.25">
      <c r="A7551" t="s">
        <v>5331</v>
      </c>
      <c r="B7551" t="s">
        <v>15</v>
      </c>
      <c r="C7551" t="s">
        <v>25</v>
      </c>
      <c r="D7551" t="s">
        <v>17</v>
      </c>
      <c r="E7551" t="s">
        <v>18</v>
      </c>
      <c r="F7551" t="s">
        <v>19</v>
      </c>
      <c r="G7551" t="s">
        <v>20</v>
      </c>
      <c r="J7551" t="s">
        <v>17</v>
      </c>
      <c r="K7551" t="str">
        <f>"175308141"</f>
        <v>175308141</v>
      </c>
      <c r="L7551" t="str">
        <f>"175308141"</f>
        <v>175308141</v>
      </c>
      <c r="M7551" t="s">
        <v>75</v>
      </c>
      <c r="N7551" s="1">
        <v>42872.849305555559</v>
      </c>
      <c r="O7551" t="s">
        <v>19</v>
      </c>
    </row>
    <row r="7552" spans="1:15" x14ac:dyDescent="0.25">
      <c r="A7552" t="s">
        <v>5331</v>
      </c>
      <c r="B7552" t="s">
        <v>15</v>
      </c>
      <c r="C7552" t="s">
        <v>25</v>
      </c>
      <c r="D7552" t="s">
        <v>17</v>
      </c>
      <c r="E7552" t="s">
        <v>18</v>
      </c>
      <c r="F7552" t="s">
        <v>19</v>
      </c>
      <c r="G7552" t="s">
        <v>20</v>
      </c>
      <c r="J7552" t="s">
        <v>17</v>
      </c>
      <c r="K7552" t="str">
        <f>"1000001003092"</f>
        <v>1000001003092</v>
      </c>
      <c r="L7552" t="str">
        <f>"76330700"</f>
        <v>76330700</v>
      </c>
      <c r="M7552" t="s">
        <v>84</v>
      </c>
      <c r="N7552" s="1">
        <v>42941.938888888886</v>
      </c>
      <c r="O7552" t="s">
        <v>19</v>
      </c>
    </row>
    <row r="7553" spans="1:15" x14ac:dyDescent="0.25">
      <c r="A7553" t="s">
        <v>5331</v>
      </c>
      <c r="B7553" t="s">
        <v>15</v>
      </c>
      <c r="C7553" t="s">
        <v>25</v>
      </c>
      <c r="D7553" t="s">
        <v>17</v>
      </c>
      <c r="E7553" t="s">
        <v>18</v>
      </c>
      <c r="F7553" t="s">
        <v>19</v>
      </c>
      <c r="G7553" t="s">
        <v>20</v>
      </c>
      <c r="J7553" t="s">
        <v>17</v>
      </c>
      <c r="K7553" t="str">
        <f>"34330700"</f>
        <v>34330700</v>
      </c>
      <c r="L7553" t="str">
        <f>"34330700"</f>
        <v>34330700</v>
      </c>
      <c r="M7553" t="s">
        <v>84</v>
      </c>
      <c r="N7553" s="1">
        <v>43257.790277777778</v>
      </c>
      <c r="O7553" t="s">
        <v>19</v>
      </c>
    </row>
    <row r="7554" spans="1:15" x14ac:dyDescent="0.25">
      <c r="A7554" t="s">
        <v>5332</v>
      </c>
      <c r="B7554" t="s">
        <v>15</v>
      </c>
      <c r="C7554" t="s">
        <v>25</v>
      </c>
      <c r="D7554" t="s">
        <v>17</v>
      </c>
      <c r="E7554" t="s">
        <v>18</v>
      </c>
      <c r="F7554" t="s">
        <v>19</v>
      </c>
      <c r="G7554" t="s">
        <v>20</v>
      </c>
      <c r="J7554" t="s">
        <v>17</v>
      </c>
      <c r="K7554" t="str">
        <f>"61330700"</f>
        <v>61330700</v>
      </c>
      <c r="L7554" t="str">
        <f>"61330700"</f>
        <v>61330700</v>
      </c>
      <c r="M7554" t="s">
        <v>84</v>
      </c>
      <c r="N7554" s="1">
        <v>43463.957638888889</v>
      </c>
      <c r="O7554" t="s">
        <v>19</v>
      </c>
    </row>
    <row r="7555" spans="1:15" x14ac:dyDescent="0.25">
      <c r="A7555" t="s">
        <v>5333</v>
      </c>
      <c r="B7555" t="s">
        <v>15</v>
      </c>
      <c r="C7555" t="s">
        <v>25</v>
      </c>
      <c r="D7555" t="s">
        <v>17</v>
      </c>
      <c r="E7555" t="s">
        <v>18</v>
      </c>
      <c r="F7555" t="s">
        <v>19</v>
      </c>
      <c r="G7555" t="s">
        <v>20</v>
      </c>
      <c r="J7555" t="s">
        <v>17</v>
      </c>
      <c r="K7555" t="str">
        <f>"34530715"</f>
        <v>34530715</v>
      </c>
      <c r="L7555" t="str">
        <f>"34530715"</f>
        <v>34530715</v>
      </c>
      <c r="M7555" t="s">
        <v>75</v>
      </c>
      <c r="N7555" s="1">
        <v>42872.839583333334</v>
      </c>
      <c r="O7555" t="s">
        <v>19</v>
      </c>
    </row>
    <row r="7556" spans="1:15" x14ac:dyDescent="0.25">
      <c r="A7556" t="s">
        <v>5334</v>
      </c>
      <c r="B7556" t="s">
        <v>15</v>
      </c>
      <c r="C7556" t="s">
        <v>25</v>
      </c>
      <c r="D7556" t="s">
        <v>17</v>
      </c>
      <c r="E7556" t="s">
        <v>18</v>
      </c>
      <c r="F7556" t="s">
        <v>19</v>
      </c>
      <c r="G7556" t="s">
        <v>20</v>
      </c>
      <c r="J7556" t="s">
        <v>17</v>
      </c>
      <c r="K7556" t="str">
        <f>"343307602"</f>
        <v>343307602</v>
      </c>
      <c r="L7556" t="str">
        <f>"343307602"</f>
        <v>343307602</v>
      </c>
      <c r="M7556" t="s">
        <v>21</v>
      </c>
      <c r="N7556" s="1">
        <v>43969.775694444441</v>
      </c>
      <c r="O7556" t="s">
        <v>19</v>
      </c>
    </row>
    <row r="7557" spans="1:15" x14ac:dyDescent="0.25">
      <c r="A7557" t="s">
        <v>5335</v>
      </c>
      <c r="B7557" t="s">
        <v>15</v>
      </c>
      <c r="C7557" t="s">
        <v>25</v>
      </c>
      <c r="D7557" t="s">
        <v>17</v>
      </c>
      <c r="E7557" t="s">
        <v>18</v>
      </c>
      <c r="F7557" t="s">
        <v>19</v>
      </c>
      <c r="G7557" t="s">
        <v>20</v>
      </c>
      <c r="J7557" t="s">
        <v>17</v>
      </c>
      <c r="K7557" t="str">
        <f>"17530714"</f>
        <v>17530714</v>
      </c>
      <c r="L7557" t="str">
        <f>"17530714"</f>
        <v>17530714</v>
      </c>
      <c r="M7557" t="s">
        <v>75</v>
      </c>
      <c r="N7557" s="1">
        <v>42872.839583333334</v>
      </c>
      <c r="O7557" t="s">
        <v>19</v>
      </c>
    </row>
    <row r="7558" spans="1:15" x14ac:dyDescent="0.25">
      <c r="A7558" t="s">
        <v>5335</v>
      </c>
      <c r="B7558" t="s">
        <v>15</v>
      </c>
      <c r="C7558" t="s">
        <v>25</v>
      </c>
      <c r="D7558" t="s">
        <v>17</v>
      </c>
      <c r="E7558" t="s">
        <v>18</v>
      </c>
      <c r="F7558" t="s">
        <v>19</v>
      </c>
      <c r="G7558" t="s">
        <v>20</v>
      </c>
      <c r="J7558" t="s">
        <v>17</v>
      </c>
      <c r="K7558" t="str">
        <f>"34330714"</f>
        <v>34330714</v>
      </c>
      <c r="L7558" t="str">
        <f>"34330714"</f>
        <v>34330714</v>
      </c>
      <c r="M7558" t="s">
        <v>75</v>
      </c>
      <c r="N7558" s="1">
        <v>42872.839583333334</v>
      </c>
      <c r="O7558" t="s">
        <v>19</v>
      </c>
    </row>
    <row r="7559" spans="1:15" x14ac:dyDescent="0.25">
      <c r="A7559" t="s">
        <v>5335</v>
      </c>
      <c r="B7559" t="s">
        <v>15</v>
      </c>
      <c r="C7559" t="s">
        <v>25</v>
      </c>
      <c r="D7559" t="s">
        <v>17</v>
      </c>
      <c r="E7559" t="s">
        <v>18</v>
      </c>
      <c r="F7559" t="s">
        <v>19</v>
      </c>
      <c r="G7559" t="s">
        <v>20</v>
      </c>
      <c r="J7559" t="s">
        <v>17</v>
      </c>
      <c r="K7559" t="str">
        <f>"34530714"</f>
        <v>34530714</v>
      </c>
      <c r="L7559" t="str">
        <f>"34530714"</f>
        <v>34530714</v>
      </c>
      <c r="M7559" t="s">
        <v>75</v>
      </c>
      <c r="N7559" s="1">
        <v>42872.839583333334</v>
      </c>
      <c r="O7559" t="s">
        <v>19</v>
      </c>
    </row>
    <row r="7560" spans="1:15" x14ac:dyDescent="0.25">
      <c r="A7560" t="s">
        <v>5335</v>
      </c>
      <c r="B7560" t="s">
        <v>15</v>
      </c>
      <c r="C7560" t="s">
        <v>25</v>
      </c>
      <c r="D7560" t="s">
        <v>17</v>
      </c>
      <c r="E7560" t="s">
        <v>18</v>
      </c>
      <c r="F7560" t="s">
        <v>19</v>
      </c>
      <c r="G7560" t="s">
        <v>20</v>
      </c>
      <c r="J7560" t="s">
        <v>17</v>
      </c>
      <c r="K7560" t="str">
        <f>"76330714"</f>
        <v>76330714</v>
      </c>
      <c r="L7560" t="str">
        <f>"76330714"</f>
        <v>76330714</v>
      </c>
      <c r="M7560" t="s">
        <v>75</v>
      </c>
      <c r="N7560" s="1">
        <v>42872.847222222219</v>
      </c>
      <c r="O7560" t="s">
        <v>19</v>
      </c>
    </row>
    <row r="7561" spans="1:15" x14ac:dyDescent="0.25">
      <c r="A7561" t="s">
        <v>5335</v>
      </c>
      <c r="B7561" t="s">
        <v>15</v>
      </c>
      <c r="C7561" t="s">
        <v>25</v>
      </c>
      <c r="D7561" t="s">
        <v>17</v>
      </c>
      <c r="E7561" t="s">
        <v>18</v>
      </c>
      <c r="F7561" t="s">
        <v>19</v>
      </c>
      <c r="G7561" t="s">
        <v>20</v>
      </c>
      <c r="J7561" t="s">
        <v>17</v>
      </c>
      <c r="K7561" t="str">
        <f>"76530714"</f>
        <v>76530714</v>
      </c>
      <c r="L7561" t="str">
        <f>"76530714"</f>
        <v>76530714</v>
      </c>
      <c r="M7561" t="s">
        <v>75</v>
      </c>
      <c r="N7561" s="1">
        <v>42872.847222222219</v>
      </c>
      <c r="O7561" t="s">
        <v>19</v>
      </c>
    </row>
    <row r="7562" spans="1:15" x14ac:dyDescent="0.25">
      <c r="A7562" t="s">
        <v>5336</v>
      </c>
      <c r="B7562" t="s">
        <v>15</v>
      </c>
      <c r="C7562" t="s">
        <v>25</v>
      </c>
      <c r="D7562" t="s">
        <v>17</v>
      </c>
      <c r="E7562" t="s">
        <v>18</v>
      </c>
      <c r="F7562" t="s">
        <v>19</v>
      </c>
      <c r="G7562" t="s">
        <v>20</v>
      </c>
      <c r="J7562" t="s">
        <v>17</v>
      </c>
      <c r="K7562" t="str">
        <f>"17530715"</f>
        <v>17530715</v>
      </c>
      <c r="L7562" t="str">
        <f>"17530715"</f>
        <v>17530715</v>
      </c>
      <c r="M7562" t="s">
        <v>75</v>
      </c>
      <c r="N7562" s="1">
        <v>42872.839583333334</v>
      </c>
      <c r="O7562" t="s">
        <v>19</v>
      </c>
    </row>
    <row r="7563" spans="1:15" x14ac:dyDescent="0.25">
      <c r="A7563" t="s">
        <v>5336</v>
      </c>
      <c r="B7563" t="s">
        <v>15</v>
      </c>
      <c r="C7563" t="s">
        <v>25</v>
      </c>
      <c r="D7563" t="s">
        <v>17</v>
      </c>
      <c r="E7563" t="s">
        <v>18</v>
      </c>
      <c r="F7563" t="s">
        <v>19</v>
      </c>
      <c r="G7563" t="s">
        <v>20</v>
      </c>
      <c r="J7563" t="s">
        <v>17</v>
      </c>
      <c r="K7563" t="str">
        <f>"34330715"</f>
        <v>34330715</v>
      </c>
      <c r="L7563" t="str">
        <f>"34330715"</f>
        <v>34330715</v>
      </c>
      <c r="M7563" t="s">
        <v>75</v>
      </c>
      <c r="N7563" s="1">
        <v>42872.839583333334</v>
      </c>
      <c r="O7563" t="s">
        <v>19</v>
      </c>
    </row>
    <row r="7564" spans="1:15" x14ac:dyDescent="0.25">
      <c r="A7564" t="s">
        <v>5336</v>
      </c>
      <c r="B7564" t="s">
        <v>15</v>
      </c>
      <c r="C7564" t="s">
        <v>25</v>
      </c>
      <c r="D7564" t="s">
        <v>17</v>
      </c>
      <c r="E7564" t="s">
        <v>18</v>
      </c>
      <c r="F7564" t="s">
        <v>19</v>
      </c>
      <c r="G7564" t="s">
        <v>20</v>
      </c>
      <c r="J7564" t="s">
        <v>17</v>
      </c>
      <c r="K7564" t="str">
        <f>"1000001000510"</f>
        <v>1000001000510</v>
      </c>
      <c r="L7564" t="str">
        <f>"76330715"</f>
        <v>76330715</v>
      </c>
      <c r="M7564" t="s">
        <v>84</v>
      </c>
      <c r="N7564" s="1">
        <v>42872.847222222219</v>
      </c>
      <c r="O7564" t="s">
        <v>19</v>
      </c>
    </row>
    <row r="7565" spans="1:15" x14ac:dyDescent="0.25">
      <c r="A7565" t="s">
        <v>5336</v>
      </c>
      <c r="B7565" t="s">
        <v>15</v>
      </c>
      <c r="C7565" t="s">
        <v>25</v>
      </c>
      <c r="D7565" t="s">
        <v>17</v>
      </c>
      <c r="E7565" t="s">
        <v>18</v>
      </c>
      <c r="F7565" t="s">
        <v>19</v>
      </c>
      <c r="G7565" t="s">
        <v>20</v>
      </c>
      <c r="J7565" t="s">
        <v>17</v>
      </c>
      <c r="K7565" t="str">
        <f>"86330715"</f>
        <v>86330715</v>
      </c>
      <c r="L7565" t="str">
        <f>"86330715"</f>
        <v>86330715</v>
      </c>
      <c r="M7565" t="s">
        <v>75</v>
      </c>
      <c r="N7565" s="1">
        <v>42872.847222222219</v>
      </c>
      <c r="O7565" t="s">
        <v>19</v>
      </c>
    </row>
    <row r="7566" spans="1:15" x14ac:dyDescent="0.25">
      <c r="A7566" t="s">
        <v>5336</v>
      </c>
      <c r="B7566" t="s">
        <v>15</v>
      </c>
      <c r="C7566" t="s">
        <v>25</v>
      </c>
      <c r="D7566" t="s">
        <v>17</v>
      </c>
      <c r="E7566" t="s">
        <v>18</v>
      </c>
      <c r="F7566" t="s">
        <v>19</v>
      </c>
      <c r="G7566" t="s">
        <v>20</v>
      </c>
      <c r="J7566" t="s">
        <v>17</v>
      </c>
      <c r="K7566" t="str">
        <f>"76530715"</f>
        <v>76530715</v>
      </c>
      <c r="L7566" t="str">
        <f>"76530715"</f>
        <v>76530715</v>
      </c>
      <c r="M7566" t="s">
        <v>75</v>
      </c>
      <c r="N7566" s="1">
        <v>42872.847222222219</v>
      </c>
      <c r="O7566" t="s">
        <v>19</v>
      </c>
    </row>
    <row r="7567" spans="1:15" x14ac:dyDescent="0.25">
      <c r="A7567" t="s">
        <v>5336</v>
      </c>
      <c r="B7567" t="s">
        <v>15</v>
      </c>
      <c r="C7567" t="s">
        <v>25</v>
      </c>
      <c r="D7567" t="s">
        <v>17</v>
      </c>
      <c r="E7567" t="s">
        <v>18</v>
      </c>
      <c r="F7567" t="s">
        <v>19</v>
      </c>
      <c r="G7567" t="s">
        <v>20</v>
      </c>
      <c r="J7567" t="s">
        <v>17</v>
      </c>
      <c r="K7567" t="str">
        <f>"93330715"</f>
        <v>93330715</v>
      </c>
      <c r="L7567" t="str">
        <f>"93330715"</f>
        <v>93330715</v>
      </c>
      <c r="M7567" t="s">
        <v>75</v>
      </c>
      <c r="N7567" s="1">
        <v>42872.847222222219</v>
      </c>
      <c r="O7567" t="s">
        <v>19</v>
      </c>
    </row>
    <row r="7568" spans="1:15" x14ac:dyDescent="0.25">
      <c r="A7568" t="s">
        <v>5336</v>
      </c>
      <c r="B7568" t="s">
        <v>15</v>
      </c>
      <c r="C7568" t="s">
        <v>25</v>
      </c>
      <c r="D7568" t="s">
        <v>17</v>
      </c>
      <c r="E7568" t="s">
        <v>18</v>
      </c>
      <c r="F7568" t="s">
        <v>19</v>
      </c>
      <c r="G7568" t="s">
        <v>20</v>
      </c>
      <c r="J7568" t="s">
        <v>17</v>
      </c>
      <c r="K7568" t="str">
        <f>"41300715"</f>
        <v>41300715</v>
      </c>
      <c r="L7568" t="str">
        <f>"41300715"</f>
        <v>41300715</v>
      </c>
      <c r="M7568" t="s">
        <v>75</v>
      </c>
      <c r="N7568" s="1">
        <v>42895.726388888892</v>
      </c>
      <c r="O7568" t="s">
        <v>19</v>
      </c>
    </row>
    <row r="7569" spans="1:15" x14ac:dyDescent="0.25">
      <c r="A7569" t="s">
        <v>5336</v>
      </c>
      <c r="B7569" t="s">
        <v>15</v>
      </c>
      <c r="C7569" t="s">
        <v>25</v>
      </c>
      <c r="D7569" t="s">
        <v>17</v>
      </c>
      <c r="E7569" t="s">
        <v>18</v>
      </c>
      <c r="F7569" t="s">
        <v>19</v>
      </c>
      <c r="G7569" t="s">
        <v>20</v>
      </c>
      <c r="J7569" t="s">
        <v>17</v>
      </c>
      <c r="K7569" t="str">
        <f>"68330715"</f>
        <v>68330715</v>
      </c>
      <c r="L7569" t="str">
        <f>"68330715"</f>
        <v>68330715</v>
      </c>
      <c r="M7569" t="s">
        <v>84</v>
      </c>
      <c r="N7569" s="1">
        <v>43545.779166666667</v>
      </c>
      <c r="O7569" t="s">
        <v>19</v>
      </c>
    </row>
    <row r="7570" spans="1:15" x14ac:dyDescent="0.25">
      <c r="A7570" t="s">
        <v>5336</v>
      </c>
      <c r="B7570" t="s">
        <v>15</v>
      </c>
      <c r="C7570" t="s">
        <v>25</v>
      </c>
      <c r="D7570" t="s">
        <v>17</v>
      </c>
      <c r="E7570" t="s">
        <v>18</v>
      </c>
      <c r="F7570" t="s">
        <v>19</v>
      </c>
      <c r="G7570" t="s">
        <v>20</v>
      </c>
      <c r="J7570" t="s">
        <v>17</v>
      </c>
      <c r="K7570" t="str">
        <f>"1578150723528"</f>
        <v>1578150723528</v>
      </c>
      <c r="L7570" t="str">
        <f>"61330586"</f>
        <v>61330586</v>
      </c>
      <c r="M7570" t="s">
        <v>21</v>
      </c>
      <c r="N7570" s="1">
        <v>43834.633333333331</v>
      </c>
      <c r="O7570" t="s">
        <v>19</v>
      </c>
    </row>
    <row r="7571" spans="1:15" x14ac:dyDescent="0.25">
      <c r="A7571" t="s">
        <v>5337</v>
      </c>
      <c r="B7571" t="s">
        <v>15</v>
      </c>
      <c r="C7571" t="s">
        <v>25</v>
      </c>
      <c r="D7571" t="s">
        <v>17</v>
      </c>
      <c r="E7571" t="s">
        <v>18</v>
      </c>
      <c r="F7571" t="s">
        <v>19</v>
      </c>
      <c r="G7571" t="s">
        <v>20</v>
      </c>
      <c r="J7571" t="s">
        <v>17</v>
      </c>
      <c r="K7571" t="str">
        <f>"17330715"</f>
        <v>17330715</v>
      </c>
      <c r="L7571" t="str">
        <f>"17330715"</f>
        <v>17330715</v>
      </c>
      <c r="M7571" t="s">
        <v>75</v>
      </c>
      <c r="N7571" s="1">
        <v>43131.933333333334</v>
      </c>
      <c r="O7571" t="s">
        <v>19</v>
      </c>
    </row>
    <row r="7572" spans="1:15" x14ac:dyDescent="0.25">
      <c r="A7572" t="s">
        <v>5338</v>
      </c>
      <c r="B7572" t="s">
        <v>15</v>
      </c>
      <c r="C7572" t="s">
        <v>25</v>
      </c>
      <c r="D7572" t="s">
        <v>17</v>
      </c>
      <c r="E7572" t="s">
        <v>18</v>
      </c>
      <c r="F7572" t="s">
        <v>19</v>
      </c>
      <c r="G7572" t="s">
        <v>20</v>
      </c>
      <c r="J7572" t="s">
        <v>17</v>
      </c>
      <c r="K7572" t="str">
        <f>"17530717"</f>
        <v>17530717</v>
      </c>
      <c r="L7572" t="str">
        <f>"17530717"</f>
        <v>17530717</v>
      </c>
      <c r="M7572" t="s">
        <v>75</v>
      </c>
      <c r="N7572" s="1">
        <v>42872.839583333334</v>
      </c>
      <c r="O7572" t="s">
        <v>19</v>
      </c>
    </row>
    <row r="7573" spans="1:15" x14ac:dyDescent="0.25">
      <c r="A7573" t="s">
        <v>5338</v>
      </c>
      <c r="B7573" t="s">
        <v>15</v>
      </c>
      <c r="C7573" t="s">
        <v>25</v>
      </c>
      <c r="D7573" t="s">
        <v>17</v>
      </c>
      <c r="E7573" t="s">
        <v>18</v>
      </c>
      <c r="F7573" t="s">
        <v>19</v>
      </c>
      <c r="G7573" t="s">
        <v>20</v>
      </c>
      <c r="J7573" t="s">
        <v>17</v>
      </c>
      <c r="K7573" t="str">
        <f>"34330716"</f>
        <v>34330716</v>
      </c>
      <c r="L7573" t="str">
        <f>"34330716"</f>
        <v>34330716</v>
      </c>
      <c r="M7573" t="s">
        <v>75</v>
      </c>
      <c r="N7573" s="1">
        <v>42872.839583333334</v>
      </c>
      <c r="O7573" t="s">
        <v>19</v>
      </c>
    </row>
    <row r="7574" spans="1:15" x14ac:dyDescent="0.25">
      <c r="A7574" t="s">
        <v>5338</v>
      </c>
      <c r="B7574" t="s">
        <v>15</v>
      </c>
      <c r="C7574" t="s">
        <v>25</v>
      </c>
      <c r="D7574" t="s">
        <v>17</v>
      </c>
      <c r="E7574" t="s">
        <v>18</v>
      </c>
      <c r="F7574" t="s">
        <v>19</v>
      </c>
      <c r="G7574" t="s">
        <v>20</v>
      </c>
      <c r="J7574" t="s">
        <v>17</v>
      </c>
      <c r="K7574" t="str">
        <f>"34530716"</f>
        <v>34530716</v>
      </c>
      <c r="L7574" t="str">
        <f>"34530716"</f>
        <v>34530716</v>
      </c>
      <c r="M7574" t="s">
        <v>75</v>
      </c>
      <c r="N7574" s="1">
        <v>42872.839583333334</v>
      </c>
      <c r="O7574" t="s">
        <v>19</v>
      </c>
    </row>
    <row r="7575" spans="1:15" x14ac:dyDescent="0.25">
      <c r="A7575" t="s">
        <v>5338</v>
      </c>
      <c r="B7575" t="s">
        <v>15</v>
      </c>
      <c r="C7575" t="s">
        <v>25</v>
      </c>
      <c r="D7575" t="s">
        <v>17</v>
      </c>
      <c r="E7575" t="s">
        <v>18</v>
      </c>
      <c r="F7575" t="s">
        <v>19</v>
      </c>
      <c r="G7575" t="s">
        <v>20</v>
      </c>
      <c r="J7575" t="s">
        <v>17</v>
      </c>
      <c r="K7575" t="str">
        <f>"006436520174"</f>
        <v>006436520174</v>
      </c>
      <c r="L7575" t="str">
        <f>"76330716"</f>
        <v>76330716</v>
      </c>
      <c r="M7575" t="s">
        <v>21</v>
      </c>
      <c r="N7575" s="1">
        <v>42872.847222222219</v>
      </c>
      <c r="O7575" t="s">
        <v>19</v>
      </c>
    </row>
    <row r="7576" spans="1:15" x14ac:dyDescent="0.25">
      <c r="A7576" t="s">
        <v>5338</v>
      </c>
      <c r="B7576" t="s">
        <v>15</v>
      </c>
      <c r="C7576" t="s">
        <v>25</v>
      </c>
      <c r="D7576" t="s">
        <v>17</v>
      </c>
      <c r="E7576" t="s">
        <v>18</v>
      </c>
      <c r="F7576" t="s">
        <v>19</v>
      </c>
      <c r="G7576" t="s">
        <v>20</v>
      </c>
      <c r="J7576" t="s">
        <v>17</v>
      </c>
      <c r="K7576" t="str">
        <f>"76330717"</f>
        <v>76330717</v>
      </c>
      <c r="L7576" t="str">
        <f>"76330717"</f>
        <v>76330717</v>
      </c>
      <c r="M7576" t="s">
        <v>75</v>
      </c>
      <c r="N7576" s="1">
        <v>42872.847222222219</v>
      </c>
      <c r="O7576" t="s">
        <v>19</v>
      </c>
    </row>
    <row r="7577" spans="1:15" x14ac:dyDescent="0.25">
      <c r="A7577" t="s">
        <v>5338</v>
      </c>
      <c r="B7577" t="s">
        <v>15</v>
      </c>
      <c r="C7577" t="s">
        <v>25</v>
      </c>
      <c r="D7577" t="s">
        <v>17</v>
      </c>
      <c r="E7577" t="s">
        <v>18</v>
      </c>
      <c r="F7577" t="s">
        <v>19</v>
      </c>
      <c r="G7577" t="s">
        <v>20</v>
      </c>
      <c r="J7577" t="s">
        <v>17</v>
      </c>
      <c r="K7577" t="str">
        <f>"76530716"</f>
        <v>76530716</v>
      </c>
      <c r="L7577" t="str">
        <f>"76530716"</f>
        <v>76530716</v>
      </c>
      <c r="M7577" t="s">
        <v>75</v>
      </c>
      <c r="N7577" s="1">
        <v>42872.847222222219</v>
      </c>
      <c r="O7577" t="s">
        <v>19</v>
      </c>
    </row>
    <row r="7578" spans="1:15" x14ac:dyDescent="0.25">
      <c r="A7578" t="s">
        <v>5338</v>
      </c>
      <c r="B7578" t="s">
        <v>15</v>
      </c>
      <c r="C7578" t="s">
        <v>25</v>
      </c>
      <c r="D7578" t="s">
        <v>17</v>
      </c>
      <c r="E7578" t="s">
        <v>18</v>
      </c>
      <c r="F7578" t="s">
        <v>19</v>
      </c>
      <c r="G7578" t="s">
        <v>20</v>
      </c>
      <c r="J7578" t="s">
        <v>17</v>
      </c>
      <c r="K7578" t="str">
        <f>"334530717"</f>
        <v>334530717</v>
      </c>
      <c r="L7578" t="str">
        <f>"334530717"</f>
        <v>334530717</v>
      </c>
      <c r="M7578" t="s">
        <v>75</v>
      </c>
      <c r="N7578" s="1">
        <v>42872.849305555559</v>
      </c>
      <c r="O7578" t="s">
        <v>19</v>
      </c>
    </row>
    <row r="7579" spans="1:15" x14ac:dyDescent="0.25">
      <c r="A7579" t="s">
        <v>5338</v>
      </c>
      <c r="B7579" t="s">
        <v>15</v>
      </c>
      <c r="C7579" t="s">
        <v>25</v>
      </c>
      <c r="D7579" t="s">
        <v>17</v>
      </c>
      <c r="E7579" t="s">
        <v>18</v>
      </c>
      <c r="F7579" t="s">
        <v>19</v>
      </c>
      <c r="G7579" t="s">
        <v>20</v>
      </c>
      <c r="J7579" t="s">
        <v>17</v>
      </c>
      <c r="K7579" t="str">
        <f>"41300716"</f>
        <v>41300716</v>
      </c>
      <c r="L7579" t="str">
        <f>"41300716"</f>
        <v>41300716</v>
      </c>
      <c r="M7579" t="s">
        <v>75</v>
      </c>
      <c r="N7579" s="1">
        <v>42895.727083333331</v>
      </c>
      <c r="O7579" t="s">
        <v>19</v>
      </c>
    </row>
    <row r="7580" spans="1:15" x14ac:dyDescent="0.25">
      <c r="A7580" t="s">
        <v>5338</v>
      </c>
      <c r="B7580" t="s">
        <v>15</v>
      </c>
      <c r="C7580" t="s">
        <v>25</v>
      </c>
      <c r="D7580" t="s">
        <v>17</v>
      </c>
      <c r="E7580" t="s">
        <v>18</v>
      </c>
      <c r="F7580" t="s">
        <v>19</v>
      </c>
      <c r="G7580" t="s">
        <v>20</v>
      </c>
      <c r="J7580" t="s">
        <v>17</v>
      </c>
      <c r="K7580" t="str">
        <f>"68330716"</f>
        <v>68330716</v>
      </c>
      <c r="L7580" t="str">
        <f>"68330716"</f>
        <v>68330716</v>
      </c>
      <c r="M7580" t="s">
        <v>84</v>
      </c>
      <c r="N7580" s="1">
        <v>43545.775694444441</v>
      </c>
      <c r="O7580" t="s">
        <v>19</v>
      </c>
    </row>
    <row r="7581" spans="1:15" x14ac:dyDescent="0.25">
      <c r="A7581" t="s">
        <v>5338</v>
      </c>
      <c r="B7581" t="s">
        <v>15</v>
      </c>
      <c r="C7581" t="s">
        <v>25</v>
      </c>
      <c r="D7581" t="s">
        <v>17</v>
      </c>
      <c r="E7581" t="s">
        <v>18</v>
      </c>
      <c r="F7581" t="s">
        <v>19</v>
      </c>
      <c r="G7581" t="s">
        <v>20</v>
      </c>
      <c r="J7581" t="s">
        <v>17</v>
      </c>
      <c r="K7581" t="str">
        <f>"2020060901015"</f>
        <v>2020060901015</v>
      </c>
      <c r="L7581" t="str">
        <f>"18330716"</f>
        <v>18330716</v>
      </c>
      <c r="M7581" t="s">
        <v>21</v>
      </c>
      <c r="N7581" s="1">
        <v>43595.911805555559</v>
      </c>
      <c r="O7581" t="s">
        <v>19</v>
      </c>
    </row>
    <row r="7582" spans="1:15" x14ac:dyDescent="0.25">
      <c r="A7582" t="s">
        <v>5339</v>
      </c>
      <c r="B7582" t="s">
        <v>15</v>
      </c>
      <c r="C7582" t="s">
        <v>25</v>
      </c>
      <c r="D7582" t="s">
        <v>17</v>
      </c>
      <c r="E7582" t="s">
        <v>18</v>
      </c>
      <c r="F7582" t="s">
        <v>19</v>
      </c>
      <c r="G7582" t="s">
        <v>20</v>
      </c>
      <c r="J7582" t="s">
        <v>17</v>
      </c>
      <c r="K7582" t="str">
        <f>"17530716"</f>
        <v>17530716</v>
      </c>
      <c r="L7582" t="str">
        <f>"17530716"</f>
        <v>17530716</v>
      </c>
      <c r="M7582" t="s">
        <v>75</v>
      </c>
      <c r="N7582" s="1">
        <v>42872.839583333334</v>
      </c>
      <c r="O7582" t="s">
        <v>19</v>
      </c>
    </row>
    <row r="7583" spans="1:15" x14ac:dyDescent="0.25">
      <c r="A7583" t="s">
        <v>5340</v>
      </c>
      <c r="B7583" t="s">
        <v>15</v>
      </c>
      <c r="C7583" t="s">
        <v>25</v>
      </c>
      <c r="D7583" t="s">
        <v>17</v>
      </c>
      <c r="E7583" t="s">
        <v>18</v>
      </c>
      <c r="F7583" t="s">
        <v>19</v>
      </c>
      <c r="G7583" t="s">
        <v>20</v>
      </c>
      <c r="J7583" t="s">
        <v>17</v>
      </c>
      <c r="K7583" t="str">
        <f>"34530719"</f>
        <v>34530719</v>
      </c>
      <c r="L7583" t="str">
        <f>"34530719"</f>
        <v>34530719</v>
      </c>
      <c r="M7583" t="s">
        <v>75</v>
      </c>
      <c r="N7583" s="1">
        <v>42872.839583333334</v>
      </c>
      <c r="O7583" t="s">
        <v>19</v>
      </c>
    </row>
    <row r="7584" spans="1:15" x14ac:dyDescent="0.25">
      <c r="A7584" t="s">
        <v>5341</v>
      </c>
      <c r="B7584" t="s">
        <v>15</v>
      </c>
      <c r="C7584" t="s">
        <v>25</v>
      </c>
      <c r="D7584" t="s">
        <v>17</v>
      </c>
      <c r="E7584" t="s">
        <v>18</v>
      </c>
      <c r="F7584" t="s">
        <v>19</v>
      </c>
      <c r="G7584" t="s">
        <v>20</v>
      </c>
      <c r="J7584" t="s">
        <v>17</v>
      </c>
      <c r="K7584" t="str">
        <f>"34530717"</f>
        <v>34530717</v>
      </c>
      <c r="L7584" t="str">
        <f>"34530717"</f>
        <v>34530717</v>
      </c>
      <c r="M7584" t="s">
        <v>75</v>
      </c>
      <c r="N7584" s="1">
        <v>42872.839583333334</v>
      </c>
      <c r="O7584" t="s">
        <v>19</v>
      </c>
    </row>
    <row r="7585" spans="1:15" x14ac:dyDescent="0.25">
      <c r="A7585" t="s">
        <v>5341</v>
      </c>
      <c r="B7585" t="s">
        <v>15</v>
      </c>
      <c r="C7585" t="s">
        <v>25</v>
      </c>
      <c r="D7585" t="s">
        <v>17</v>
      </c>
      <c r="E7585" t="s">
        <v>18</v>
      </c>
      <c r="F7585" t="s">
        <v>19</v>
      </c>
      <c r="G7585" t="s">
        <v>20</v>
      </c>
      <c r="J7585" t="s">
        <v>17</v>
      </c>
      <c r="K7585" t="str">
        <f>"76530717"</f>
        <v>76530717</v>
      </c>
      <c r="L7585" t="str">
        <f>"76530717"</f>
        <v>76530717</v>
      </c>
      <c r="M7585" t="s">
        <v>75</v>
      </c>
      <c r="N7585" s="1">
        <v>42872.847222222219</v>
      </c>
      <c r="O7585" t="s">
        <v>19</v>
      </c>
    </row>
    <row r="7586" spans="1:15" x14ac:dyDescent="0.25">
      <c r="A7586" t="s">
        <v>5341</v>
      </c>
      <c r="B7586" t="s">
        <v>15</v>
      </c>
      <c r="C7586" t="s">
        <v>25</v>
      </c>
      <c r="D7586" t="s">
        <v>17</v>
      </c>
      <c r="E7586" t="s">
        <v>18</v>
      </c>
      <c r="F7586" t="s">
        <v>19</v>
      </c>
      <c r="G7586" t="s">
        <v>20</v>
      </c>
      <c r="J7586" t="s">
        <v>17</v>
      </c>
      <c r="K7586" t="str">
        <f>"767531417"</f>
        <v>767531417</v>
      </c>
      <c r="L7586" t="str">
        <f>"767531417"</f>
        <v>767531417</v>
      </c>
      <c r="M7586" t="s">
        <v>21</v>
      </c>
      <c r="N7586" s="1">
        <v>42872.849305555559</v>
      </c>
      <c r="O7586" t="s">
        <v>33</v>
      </c>
    </row>
    <row r="7587" spans="1:15" x14ac:dyDescent="0.25">
      <c r="A7587" t="s">
        <v>5342</v>
      </c>
      <c r="B7587" t="s">
        <v>15</v>
      </c>
      <c r="C7587" t="s">
        <v>25</v>
      </c>
      <c r="D7587" t="s">
        <v>17</v>
      </c>
      <c r="E7587" t="s">
        <v>18</v>
      </c>
      <c r="F7587" t="s">
        <v>19</v>
      </c>
      <c r="G7587" t="s">
        <v>20</v>
      </c>
      <c r="J7587" t="s">
        <v>17</v>
      </c>
      <c r="K7587" t="str">
        <f>"1578150523395"</f>
        <v>1578150523395</v>
      </c>
      <c r="L7587" t="str">
        <f>"61330585"</f>
        <v>61330585</v>
      </c>
      <c r="M7587" t="s">
        <v>21</v>
      </c>
      <c r="N7587" s="1">
        <v>43834.630555555559</v>
      </c>
      <c r="O7587" t="s">
        <v>19</v>
      </c>
    </row>
    <row r="7588" spans="1:15" x14ac:dyDescent="0.25">
      <c r="A7588" t="s">
        <v>5343</v>
      </c>
      <c r="B7588" t="s">
        <v>15</v>
      </c>
      <c r="C7588" t="s">
        <v>25</v>
      </c>
      <c r="D7588" t="s">
        <v>17</v>
      </c>
      <c r="E7588" t="s">
        <v>18</v>
      </c>
      <c r="F7588" t="s">
        <v>19</v>
      </c>
      <c r="G7588" t="s">
        <v>20</v>
      </c>
      <c r="J7588" t="s">
        <v>17</v>
      </c>
      <c r="K7588" t="str">
        <f>"343307253"</f>
        <v>343307253</v>
      </c>
      <c r="L7588" t="str">
        <f>"343307253"</f>
        <v>343307253</v>
      </c>
      <c r="M7588" t="s">
        <v>75</v>
      </c>
      <c r="N7588" s="1">
        <v>42872.849305555559</v>
      </c>
      <c r="O7588" t="s">
        <v>19</v>
      </c>
    </row>
    <row r="7589" spans="1:15" x14ac:dyDescent="0.25">
      <c r="A7589" t="s">
        <v>5343</v>
      </c>
      <c r="B7589" t="s">
        <v>15</v>
      </c>
      <c r="C7589" t="s">
        <v>25</v>
      </c>
      <c r="D7589" t="s">
        <v>17</v>
      </c>
      <c r="E7589" t="s">
        <v>18</v>
      </c>
      <c r="F7589" t="s">
        <v>19</v>
      </c>
      <c r="G7589" t="s">
        <v>20</v>
      </c>
      <c r="J7589" t="s">
        <v>17</v>
      </c>
      <c r="K7589" t="str">
        <f>"765307253"</f>
        <v>765307253</v>
      </c>
      <c r="L7589" t="str">
        <f>"765307253"</f>
        <v>765307253</v>
      </c>
      <c r="M7589" t="s">
        <v>75</v>
      </c>
      <c r="N7589" s="1">
        <v>42872.849305555559</v>
      </c>
      <c r="O7589" t="s">
        <v>19</v>
      </c>
    </row>
    <row r="7590" spans="1:15" x14ac:dyDescent="0.25">
      <c r="A7590" t="s">
        <v>5343</v>
      </c>
      <c r="B7590" t="s">
        <v>15</v>
      </c>
      <c r="C7590" t="s">
        <v>25</v>
      </c>
      <c r="D7590" t="s">
        <v>17</v>
      </c>
      <c r="E7590" t="s">
        <v>18</v>
      </c>
      <c r="F7590" t="s">
        <v>19</v>
      </c>
      <c r="G7590" t="s">
        <v>20</v>
      </c>
      <c r="J7590" t="s">
        <v>17</v>
      </c>
      <c r="K7590" t="str">
        <f>"765307254"</f>
        <v>765307254</v>
      </c>
      <c r="L7590" t="str">
        <f>"765307254"</f>
        <v>765307254</v>
      </c>
      <c r="M7590" t="s">
        <v>75</v>
      </c>
      <c r="N7590" s="1">
        <v>42872.849305555559</v>
      </c>
      <c r="O7590" t="s">
        <v>19</v>
      </c>
    </row>
    <row r="7591" spans="1:15" x14ac:dyDescent="0.25">
      <c r="A7591" t="s">
        <v>5343</v>
      </c>
      <c r="B7591" t="s">
        <v>15</v>
      </c>
      <c r="C7591" t="s">
        <v>25</v>
      </c>
      <c r="D7591" t="s">
        <v>17</v>
      </c>
      <c r="E7591" t="s">
        <v>18</v>
      </c>
      <c r="F7591" t="s">
        <v>19</v>
      </c>
      <c r="G7591" t="s">
        <v>20</v>
      </c>
      <c r="J7591" t="s">
        <v>17</v>
      </c>
      <c r="K7591" t="str">
        <f>"763307253"</f>
        <v>763307253</v>
      </c>
      <c r="L7591" t="str">
        <f>"763307253"</f>
        <v>763307253</v>
      </c>
      <c r="M7591" t="s">
        <v>75</v>
      </c>
      <c r="N7591" s="1">
        <v>42872.849305555559</v>
      </c>
      <c r="O7591" t="s">
        <v>19</v>
      </c>
    </row>
    <row r="7592" spans="1:15" x14ac:dyDescent="0.25">
      <c r="A7592" t="s">
        <v>5343</v>
      </c>
      <c r="B7592" t="s">
        <v>15</v>
      </c>
      <c r="C7592" t="s">
        <v>25</v>
      </c>
      <c r="D7592" t="s">
        <v>17</v>
      </c>
      <c r="E7592" t="s">
        <v>18</v>
      </c>
      <c r="F7592" t="s">
        <v>19</v>
      </c>
      <c r="G7592" t="s">
        <v>20</v>
      </c>
      <c r="J7592" t="s">
        <v>17</v>
      </c>
      <c r="K7592" t="str">
        <f>"183307253"</f>
        <v>183307253</v>
      </c>
      <c r="L7592" t="str">
        <f>"183307253"</f>
        <v>183307253</v>
      </c>
      <c r="M7592" t="s">
        <v>75</v>
      </c>
      <c r="N7592" s="1">
        <v>42882.757638888892</v>
      </c>
      <c r="O7592" t="s">
        <v>19</v>
      </c>
    </row>
    <row r="7593" spans="1:15" x14ac:dyDescent="0.25">
      <c r="A7593" t="s">
        <v>5343</v>
      </c>
      <c r="B7593" t="s">
        <v>15</v>
      </c>
      <c r="C7593" t="s">
        <v>25</v>
      </c>
      <c r="D7593" t="s">
        <v>17</v>
      </c>
      <c r="E7593" t="s">
        <v>18</v>
      </c>
      <c r="F7593" t="s">
        <v>19</v>
      </c>
      <c r="G7593" t="s">
        <v>20</v>
      </c>
      <c r="J7593" t="s">
        <v>17</v>
      </c>
      <c r="K7593" t="str">
        <f>"173307253"</f>
        <v>173307253</v>
      </c>
      <c r="L7593" t="str">
        <f>"173307253"</f>
        <v>173307253</v>
      </c>
      <c r="M7593" t="s">
        <v>75</v>
      </c>
      <c r="N7593" s="1">
        <v>43131.928472222222</v>
      </c>
      <c r="O7593" t="s">
        <v>19</v>
      </c>
    </row>
    <row r="7594" spans="1:15" x14ac:dyDescent="0.25">
      <c r="A7594" t="s">
        <v>5343</v>
      </c>
      <c r="B7594" t="s">
        <v>15</v>
      </c>
      <c r="C7594" t="s">
        <v>25</v>
      </c>
      <c r="D7594" t="s">
        <v>17</v>
      </c>
      <c r="E7594" t="s">
        <v>18</v>
      </c>
      <c r="F7594" t="s">
        <v>19</v>
      </c>
      <c r="G7594" t="s">
        <v>20</v>
      </c>
      <c r="J7594" t="s">
        <v>17</v>
      </c>
      <c r="K7594" t="str">
        <f>"683307253"</f>
        <v>683307253</v>
      </c>
      <c r="L7594" t="str">
        <f>"683307253"</f>
        <v>683307253</v>
      </c>
      <c r="M7594" t="s">
        <v>21</v>
      </c>
      <c r="N7594" s="1">
        <v>43798.64166666667</v>
      </c>
      <c r="O7594" t="s">
        <v>19</v>
      </c>
    </row>
    <row r="7595" spans="1:15" x14ac:dyDescent="0.25">
      <c r="A7595" t="s">
        <v>5344</v>
      </c>
      <c r="B7595" t="s">
        <v>15</v>
      </c>
      <c r="C7595" t="s">
        <v>25</v>
      </c>
      <c r="D7595" t="s">
        <v>17</v>
      </c>
      <c r="E7595" t="s">
        <v>18</v>
      </c>
      <c r="F7595" t="s">
        <v>19</v>
      </c>
      <c r="G7595" t="s">
        <v>20</v>
      </c>
      <c r="J7595" t="s">
        <v>17</v>
      </c>
      <c r="K7595" t="str">
        <f>"343307254"</f>
        <v>343307254</v>
      </c>
      <c r="L7595" t="str">
        <f>"343307254"</f>
        <v>343307254</v>
      </c>
      <c r="M7595" t="s">
        <v>75</v>
      </c>
      <c r="N7595" s="1">
        <v>42872.849305555559</v>
      </c>
      <c r="O7595" t="s">
        <v>19</v>
      </c>
    </row>
    <row r="7596" spans="1:15" x14ac:dyDescent="0.25">
      <c r="A7596" t="s">
        <v>5344</v>
      </c>
      <c r="B7596" t="s">
        <v>15</v>
      </c>
      <c r="C7596" t="s">
        <v>25</v>
      </c>
      <c r="D7596" t="s">
        <v>17</v>
      </c>
      <c r="E7596" t="s">
        <v>18</v>
      </c>
      <c r="F7596" t="s">
        <v>19</v>
      </c>
      <c r="G7596" t="s">
        <v>20</v>
      </c>
      <c r="J7596" t="s">
        <v>17</v>
      </c>
      <c r="K7596" t="str">
        <f>"763307254"</f>
        <v>763307254</v>
      </c>
      <c r="L7596" t="str">
        <f>"763307254"</f>
        <v>763307254</v>
      </c>
      <c r="M7596" t="s">
        <v>75</v>
      </c>
      <c r="N7596" s="1">
        <v>42872.849305555559</v>
      </c>
      <c r="O7596" t="s">
        <v>19</v>
      </c>
    </row>
    <row r="7597" spans="1:15" x14ac:dyDescent="0.25">
      <c r="A7597" t="s">
        <v>5345</v>
      </c>
      <c r="B7597" t="s">
        <v>15</v>
      </c>
      <c r="C7597" t="s">
        <v>25</v>
      </c>
      <c r="D7597" t="s">
        <v>17</v>
      </c>
      <c r="E7597" t="s">
        <v>18</v>
      </c>
      <c r="F7597" t="s">
        <v>19</v>
      </c>
      <c r="G7597" t="s">
        <v>20</v>
      </c>
      <c r="J7597" t="s">
        <v>17</v>
      </c>
      <c r="K7597" t="str">
        <f>"933307253"</f>
        <v>933307253</v>
      </c>
      <c r="L7597" t="str">
        <f>"933307253"</f>
        <v>933307253</v>
      </c>
      <c r="M7597" t="s">
        <v>75</v>
      </c>
      <c r="N7597" s="1">
        <v>42872.849305555559</v>
      </c>
      <c r="O7597" t="s">
        <v>19</v>
      </c>
    </row>
    <row r="7598" spans="1:15" x14ac:dyDescent="0.25">
      <c r="A7598" t="s">
        <v>5346</v>
      </c>
      <c r="B7598" t="s">
        <v>15</v>
      </c>
      <c r="C7598" t="s">
        <v>25</v>
      </c>
      <c r="D7598" t="s">
        <v>17</v>
      </c>
      <c r="E7598" t="s">
        <v>18</v>
      </c>
      <c r="F7598" t="s">
        <v>19</v>
      </c>
      <c r="G7598" t="s">
        <v>20</v>
      </c>
      <c r="J7598" t="s">
        <v>17</v>
      </c>
      <c r="K7598" t="str">
        <f>"173307256"</f>
        <v>173307256</v>
      </c>
      <c r="L7598" t="str">
        <f>"173307256"</f>
        <v>173307256</v>
      </c>
      <c r="M7598" t="s">
        <v>75</v>
      </c>
      <c r="N7598" s="1">
        <v>43131.938888888886</v>
      </c>
      <c r="O7598" t="s">
        <v>19</v>
      </c>
    </row>
    <row r="7599" spans="1:15" x14ac:dyDescent="0.25">
      <c r="A7599" t="s">
        <v>5346</v>
      </c>
      <c r="B7599" t="s">
        <v>15</v>
      </c>
      <c r="C7599" t="s">
        <v>25</v>
      </c>
      <c r="D7599" t="s">
        <v>17</v>
      </c>
      <c r="E7599" t="s">
        <v>18</v>
      </c>
      <c r="F7599" t="s">
        <v>19</v>
      </c>
      <c r="G7599" t="s">
        <v>20</v>
      </c>
      <c r="J7599" t="s">
        <v>17</v>
      </c>
      <c r="K7599" t="str">
        <f>"763307256"</f>
        <v>763307256</v>
      </c>
      <c r="L7599" t="str">
        <f>"763307256"</f>
        <v>763307256</v>
      </c>
      <c r="M7599" t="s">
        <v>75</v>
      </c>
      <c r="N7599" s="1">
        <v>43132.727083333331</v>
      </c>
      <c r="O7599" t="s">
        <v>19</v>
      </c>
    </row>
    <row r="7600" spans="1:15" x14ac:dyDescent="0.25">
      <c r="A7600" t="s">
        <v>5347</v>
      </c>
      <c r="B7600" t="s">
        <v>15</v>
      </c>
      <c r="C7600" t="s">
        <v>25</v>
      </c>
      <c r="D7600" t="s">
        <v>17</v>
      </c>
      <c r="E7600" t="s">
        <v>18</v>
      </c>
      <c r="F7600" t="s">
        <v>19</v>
      </c>
      <c r="G7600" t="s">
        <v>20</v>
      </c>
      <c r="J7600" t="s">
        <v>17</v>
      </c>
      <c r="K7600" t="str">
        <f>"763307257"</f>
        <v>763307257</v>
      </c>
      <c r="L7600" t="str">
        <f>"763307257"</f>
        <v>763307257</v>
      </c>
      <c r="M7600" t="s">
        <v>75</v>
      </c>
      <c r="N7600" s="1">
        <v>43097.611111111109</v>
      </c>
      <c r="O7600" t="s">
        <v>19</v>
      </c>
    </row>
    <row r="7601" spans="1:15" x14ac:dyDescent="0.25">
      <c r="A7601" t="s">
        <v>5347</v>
      </c>
      <c r="B7601" t="s">
        <v>15</v>
      </c>
      <c r="C7601" t="s">
        <v>25</v>
      </c>
      <c r="D7601" t="s">
        <v>17</v>
      </c>
      <c r="E7601" t="s">
        <v>18</v>
      </c>
      <c r="F7601" t="s">
        <v>19</v>
      </c>
      <c r="G7601" t="s">
        <v>20</v>
      </c>
      <c r="J7601" t="s">
        <v>17</v>
      </c>
      <c r="K7601" t="str">
        <f>"765307257"</f>
        <v>765307257</v>
      </c>
      <c r="L7601" t="str">
        <f>"765307257"</f>
        <v>765307257</v>
      </c>
      <c r="M7601" t="s">
        <v>84</v>
      </c>
      <c r="N7601" s="1">
        <v>43259.621527777781</v>
      </c>
      <c r="O7601" t="s">
        <v>19</v>
      </c>
    </row>
    <row r="7602" spans="1:15" x14ac:dyDescent="0.25">
      <c r="A7602" t="s">
        <v>5347</v>
      </c>
      <c r="B7602" t="s">
        <v>15</v>
      </c>
      <c r="C7602" t="s">
        <v>25</v>
      </c>
      <c r="D7602" t="s">
        <v>17</v>
      </c>
      <c r="E7602" t="s">
        <v>18</v>
      </c>
      <c r="F7602" t="s">
        <v>19</v>
      </c>
      <c r="G7602" t="s">
        <v>20</v>
      </c>
      <c r="J7602" t="s">
        <v>17</v>
      </c>
      <c r="K7602" t="str">
        <f>"343307257"</f>
        <v>343307257</v>
      </c>
      <c r="L7602" t="str">
        <f>"343307257"</f>
        <v>343307257</v>
      </c>
      <c r="M7602" t="s">
        <v>21</v>
      </c>
      <c r="N7602" s="1">
        <v>43720.948611111111</v>
      </c>
      <c r="O7602" t="s">
        <v>19</v>
      </c>
    </row>
    <row r="7603" spans="1:15" x14ac:dyDescent="0.25">
      <c r="A7603" t="s">
        <v>5347</v>
      </c>
      <c r="B7603" t="s">
        <v>15</v>
      </c>
      <c r="C7603" t="s">
        <v>25</v>
      </c>
      <c r="D7603" t="s">
        <v>17</v>
      </c>
      <c r="E7603" t="s">
        <v>18</v>
      </c>
      <c r="F7603" t="s">
        <v>19</v>
      </c>
      <c r="G7603" t="s">
        <v>20</v>
      </c>
      <c r="J7603" t="s">
        <v>17</v>
      </c>
      <c r="K7603" t="str">
        <f>"1578150688565"</f>
        <v>1578150688565</v>
      </c>
      <c r="L7603" t="str">
        <f>"61330582"</f>
        <v>61330582</v>
      </c>
      <c r="M7603" t="s">
        <v>21</v>
      </c>
      <c r="N7603" s="1">
        <v>43834.632638888892</v>
      </c>
      <c r="O7603" t="s">
        <v>19</v>
      </c>
    </row>
    <row r="7604" spans="1:15" x14ac:dyDescent="0.25">
      <c r="A7604" t="s">
        <v>5348</v>
      </c>
      <c r="B7604" t="s">
        <v>15</v>
      </c>
      <c r="C7604" t="s">
        <v>25</v>
      </c>
      <c r="D7604" t="s">
        <v>17</v>
      </c>
      <c r="E7604" t="s">
        <v>18</v>
      </c>
      <c r="F7604" t="s">
        <v>19</v>
      </c>
      <c r="G7604" t="s">
        <v>20</v>
      </c>
      <c r="J7604" t="s">
        <v>17</v>
      </c>
      <c r="K7604" t="str">
        <f>"763307259"</f>
        <v>763307259</v>
      </c>
      <c r="L7604" t="str">
        <f>"763307259"</f>
        <v>763307259</v>
      </c>
      <c r="M7604" t="s">
        <v>84</v>
      </c>
      <c r="N7604" s="1">
        <v>43419.856249999997</v>
      </c>
      <c r="O7604" t="s">
        <v>19</v>
      </c>
    </row>
    <row r="7605" spans="1:15" x14ac:dyDescent="0.25">
      <c r="A7605" t="s">
        <v>5348</v>
      </c>
      <c r="B7605" t="s">
        <v>15</v>
      </c>
      <c r="C7605" t="s">
        <v>25</v>
      </c>
      <c r="D7605" t="s">
        <v>17</v>
      </c>
      <c r="E7605" t="s">
        <v>18</v>
      </c>
      <c r="F7605" t="s">
        <v>19</v>
      </c>
      <c r="G7605" t="s">
        <v>20</v>
      </c>
      <c r="J7605" t="s">
        <v>17</v>
      </c>
      <c r="K7605" t="str">
        <f>"343307258"</f>
        <v>343307258</v>
      </c>
      <c r="L7605" t="str">
        <f>"343307258"</f>
        <v>343307258</v>
      </c>
      <c r="M7605" t="s">
        <v>21</v>
      </c>
      <c r="N7605" s="1">
        <v>43686.879166666666</v>
      </c>
      <c r="O7605" t="s">
        <v>19</v>
      </c>
    </row>
    <row r="7606" spans="1:15" x14ac:dyDescent="0.25">
      <c r="A7606" t="s">
        <v>5348</v>
      </c>
      <c r="B7606" t="s">
        <v>15</v>
      </c>
      <c r="C7606" t="s">
        <v>25</v>
      </c>
      <c r="D7606" t="s">
        <v>17</v>
      </c>
      <c r="E7606" t="s">
        <v>18</v>
      </c>
      <c r="F7606" t="s">
        <v>19</v>
      </c>
      <c r="G7606" t="s">
        <v>20</v>
      </c>
      <c r="J7606" t="s">
        <v>17</v>
      </c>
      <c r="K7606" t="str">
        <f>"1578150638604"</f>
        <v>1578150638604</v>
      </c>
      <c r="L7606" t="str">
        <f>"61330583"</f>
        <v>61330583</v>
      </c>
      <c r="M7606" t="s">
        <v>21</v>
      </c>
      <c r="N7606" s="1">
        <v>43834.631944444445</v>
      </c>
      <c r="O7606" t="s">
        <v>19</v>
      </c>
    </row>
    <row r="7607" spans="1:15" x14ac:dyDescent="0.25">
      <c r="A7607" t="s">
        <v>5348</v>
      </c>
      <c r="B7607" t="s">
        <v>15</v>
      </c>
      <c r="C7607" t="s">
        <v>25</v>
      </c>
      <c r="D7607" t="s">
        <v>17</v>
      </c>
      <c r="E7607" t="s">
        <v>18</v>
      </c>
      <c r="F7607" t="s">
        <v>19</v>
      </c>
      <c r="G7607" t="s">
        <v>20</v>
      </c>
      <c r="J7607" t="s">
        <v>17</v>
      </c>
      <c r="K7607" t="str">
        <f>"2018410400035"</f>
        <v>2018410400035</v>
      </c>
      <c r="L7607" t="str">
        <f>"183307259"</f>
        <v>183307259</v>
      </c>
      <c r="M7607" t="s">
        <v>21</v>
      </c>
      <c r="N7607" s="1">
        <v>43866.748611111114</v>
      </c>
      <c r="O7607" t="s">
        <v>19</v>
      </c>
    </row>
    <row r="7608" spans="1:15" x14ac:dyDescent="0.25">
      <c r="A7608" t="s">
        <v>5349</v>
      </c>
      <c r="B7608" t="s">
        <v>15</v>
      </c>
      <c r="C7608" t="s">
        <v>25</v>
      </c>
      <c r="D7608" t="s">
        <v>17</v>
      </c>
      <c r="E7608" t="s">
        <v>18</v>
      </c>
      <c r="F7608" t="s">
        <v>19</v>
      </c>
      <c r="G7608" t="s">
        <v>20</v>
      </c>
      <c r="J7608" t="s">
        <v>17</v>
      </c>
      <c r="K7608" t="str">
        <f>"763307258"</f>
        <v>763307258</v>
      </c>
      <c r="L7608" t="str">
        <f>"763307258"</f>
        <v>763307258</v>
      </c>
      <c r="M7608" t="s">
        <v>84</v>
      </c>
      <c r="N7608" s="1">
        <v>43419.856249999997</v>
      </c>
      <c r="O7608" t="s">
        <v>19</v>
      </c>
    </row>
    <row r="7609" spans="1:15" x14ac:dyDescent="0.25">
      <c r="A7609" t="s">
        <v>5349</v>
      </c>
      <c r="B7609" t="s">
        <v>15</v>
      </c>
      <c r="C7609" t="s">
        <v>25</v>
      </c>
      <c r="D7609" t="s">
        <v>17</v>
      </c>
      <c r="E7609" t="s">
        <v>18</v>
      </c>
      <c r="F7609" t="s">
        <v>19</v>
      </c>
      <c r="G7609" t="s">
        <v>20</v>
      </c>
      <c r="J7609" t="s">
        <v>17</v>
      </c>
      <c r="K7609" t="str">
        <f>"1578150579434"</f>
        <v>1578150579434</v>
      </c>
      <c r="L7609" t="str">
        <f>"61330584"</f>
        <v>61330584</v>
      </c>
      <c r="M7609" t="s">
        <v>21</v>
      </c>
      <c r="N7609" s="1">
        <v>43834.631249999999</v>
      </c>
      <c r="O7609" t="s">
        <v>19</v>
      </c>
    </row>
    <row r="7610" spans="1:15" x14ac:dyDescent="0.25">
      <c r="A7610" t="s">
        <v>5350</v>
      </c>
      <c r="B7610" t="s">
        <v>15</v>
      </c>
      <c r="C7610" t="s">
        <v>25</v>
      </c>
      <c r="D7610" t="s">
        <v>17</v>
      </c>
      <c r="E7610" t="s">
        <v>18</v>
      </c>
      <c r="F7610" t="s">
        <v>19</v>
      </c>
      <c r="G7610" t="s">
        <v>20</v>
      </c>
      <c r="J7610" t="s">
        <v>17</v>
      </c>
      <c r="K7610" t="str">
        <f>"76531417"</f>
        <v>76531417</v>
      </c>
      <c r="L7610" t="str">
        <f>"76531417"</f>
        <v>76531417</v>
      </c>
      <c r="M7610" t="s">
        <v>75</v>
      </c>
      <c r="N7610" s="1">
        <v>42872.847222222219</v>
      </c>
      <c r="O7610" t="s">
        <v>19</v>
      </c>
    </row>
    <row r="7611" spans="1:15" x14ac:dyDescent="0.25">
      <c r="A7611" t="s">
        <v>5350</v>
      </c>
      <c r="B7611" t="s">
        <v>15</v>
      </c>
      <c r="C7611" t="s">
        <v>25</v>
      </c>
      <c r="D7611" t="s">
        <v>17</v>
      </c>
      <c r="E7611" t="s">
        <v>18</v>
      </c>
      <c r="F7611" t="s">
        <v>19</v>
      </c>
      <c r="G7611" t="s">
        <v>20</v>
      </c>
      <c r="J7611" t="s">
        <v>17</v>
      </c>
      <c r="K7611" t="str">
        <f>"763307600"</f>
        <v>763307600</v>
      </c>
      <c r="L7611" t="str">
        <f>"763307600"</f>
        <v>763307600</v>
      </c>
      <c r="M7611" t="s">
        <v>84</v>
      </c>
      <c r="N7611" s="1">
        <v>43419.855555555558</v>
      </c>
      <c r="O7611" t="s">
        <v>19</v>
      </c>
    </row>
    <row r="7612" spans="1:15" x14ac:dyDescent="0.25">
      <c r="A7612" t="s">
        <v>5350</v>
      </c>
      <c r="B7612" t="s">
        <v>15</v>
      </c>
      <c r="C7612" t="s">
        <v>25</v>
      </c>
      <c r="D7612" t="s">
        <v>17</v>
      </c>
      <c r="E7612" t="s">
        <v>18</v>
      </c>
      <c r="F7612" t="s">
        <v>19</v>
      </c>
      <c r="G7612" t="s">
        <v>20</v>
      </c>
      <c r="J7612" t="s">
        <v>17</v>
      </c>
      <c r="K7612" t="str">
        <f>"2019029900060"</f>
        <v>2019029900060</v>
      </c>
      <c r="L7612" t="str">
        <f>"2018410400042"</f>
        <v>2018410400042</v>
      </c>
      <c r="M7612" t="s">
        <v>21</v>
      </c>
      <c r="N7612" s="1">
        <v>43595.912499999999</v>
      </c>
      <c r="O7612" t="s">
        <v>19</v>
      </c>
    </row>
    <row r="7613" spans="1:15" x14ac:dyDescent="0.25">
      <c r="A7613" t="s">
        <v>5351</v>
      </c>
      <c r="B7613" t="s">
        <v>15</v>
      </c>
      <c r="C7613" t="s">
        <v>25</v>
      </c>
      <c r="D7613" t="s">
        <v>17</v>
      </c>
      <c r="E7613" t="s">
        <v>18</v>
      </c>
      <c r="F7613" t="s">
        <v>19</v>
      </c>
      <c r="G7613" t="s">
        <v>20</v>
      </c>
      <c r="J7613" t="s">
        <v>17</v>
      </c>
      <c r="K7613" t="str">
        <f>"345332233"</f>
        <v>345332233</v>
      </c>
      <c r="L7613" t="str">
        <f>"345332233"</f>
        <v>345332233</v>
      </c>
      <c r="M7613" t="s">
        <v>75</v>
      </c>
      <c r="N7613" s="1">
        <v>42872.849305555559</v>
      </c>
      <c r="O7613" t="s">
        <v>19</v>
      </c>
    </row>
    <row r="7614" spans="1:15" x14ac:dyDescent="0.25">
      <c r="A7614" t="s">
        <v>5352</v>
      </c>
      <c r="B7614" t="s">
        <v>15</v>
      </c>
      <c r="C7614" t="s">
        <v>25</v>
      </c>
      <c r="D7614" t="s">
        <v>17</v>
      </c>
      <c r="E7614" t="s">
        <v>18</v>
      </c>
      <c r="F7614" t="s">
        <v>19</v>
      </c>
      <c r="G7614" t="s">
        <v>20</v>
      </c>
      <c r="J7614" t="s">
        <v>17</v>
      </c>
      <c r="K7614" t="str">
        <f>"345332263"</f>
        <v>345332263</v>
      </c>
      <c r="L7614" t="str">
        <f>"345332263"</f>
        <v>345332263</v>
      </c>
      <c r="M7614" t="s">
        <v>75</v>
      </c>
      <c r="N7614" s="1">
        <v>42872.849305555559</v>
      </c>
      <c r="O7614" t="s">
        <v>19</v>
      </c>
    </row>
    <row r="7615" spans="1:15" x14ac:dyDescent="0.25">
      <c r="A7615" t="s">
        <v>5353</v>
      </c>
      <c r="B7615" t="s">
        <v>15</v>
      </c>
      <c r="C7615" t="s">
        <v>25</v>
      </c>
      <c r="D7615" t="s">
        <v>17</v>
      </c>
      <c r="E7615" t="s">
        <v>18</v>
      </c>
      <c r="F7615" t="s">
        <v>19</v>
      </c>
      <c r="G7615" t="s">
        <v>20</v>
      </c>
      <c r="J7615" t="s">
        <v>17</v>
      </c>
      <c r="K7615" t="str">
        <f>"345332262"</f>
        <v>345332262</v>
      </c>
      <c r="L7615" t="str">
        <f>"345332262"</f>
        <v>345332262</v>
      </c>
      <c r="M7615" t="s">
        <v>75</v>
      </c>
      <c r="N7615" s="1">
        <v>42872.849305555559</v>
      </c>
      <c r="O7615" t="s">
        <v>19</v>
      </c>
    </row>
    <row r="7616" spans="1:15" x14ac:dyDescent="0.25">
      <c r="A7616" t="s">
        <v>5354</v>
      </c>
      <c r="B7616" t="s">
        <v>15</v>
      </c>
      <c r="C7616" t="s">
        <v>25</v>
      </c>
      <c r="D7616" t="s">
        <v>17</v>
      </c>
      <c r="E7616" t="s">
        <v>18</v>
      </c>
      <c r="F7616" t="s">
        <v>19</v>
      </c>
      <c r="G7616" t="s">
        <v>20</v>
      </c>
      <c r="J7616" t="s">
        <v>17</v>
      </c>
      <c r="K7616" t="str">
        <f>"763301233"</f>
        <v>763301233</v>
      </c>
      <c r="L7616" t="str">
        <f>"763301233"</f>
        <v>763301233</v>
      </c>
      <c r="M7616" t="s">
        <v>75</v>
      </c>
      <c r="N7616" s="1">
        <v>42872.849305555559</v>
      </c>
      <c r="O7616" t="s">
        <v>19</v>
      </c>
    </row>
    <row r="7617" spans="1:15" x14ac:dyDescent="0.25">
      <c r="A7617" t="s">
        <v>5354</v>
      </c>
      <c r="B7617" t="s">
        <v>15</v>
      </c>
      <c r="C7617" t="s">
        <v>25</v>
      </c>
      <c r="D7617" t="s">
        <v>17</v>
      </c>
      <c r="E7617" t="s">
        <v>18</v>
      </c>
      <c r="F7617" t="s">
        <v>19</v>
      </c>
      <c r="G7617" t="s">
        <v>20</v>
      </c>
      <c r="J7617" t="s">
        <v>17</v>
      </c>
      <c r="K7617" t="str">
        <f>"763332233"</f>
        <v>763332233</v>
      </c>
      <c r="L7617" t="str">
        <f>"763332233"</f>
        <v>763332233</v>
      </c>
      <c r="M7617" t="s">
        <v>75</v>
      </c>
      <c r="N7617" s="1">
        <v>42872.849305555559</v>
      </c>
      <c r="O7617" t="s">
        <v>19</v>
      </c>
    </row>
    <row r="7618" spans="1:15" x14ac:dyDescent="0.25">
      <c r="A7618" t="s">
        <v>5355</v>
      </c>
      <c r="B7618" t="s">
        <v>15</v>
      </c>
      <c r="C7618" t="s">
        <v>25</v>
      </c>
      <c r="D7618" t="s">
        <v>17</v>
      </c>
      <c r="E7618" t="s">
        <v>18</v>
      </c>
      <c r="F7618" t="s">
        <v>19</v>
      </c>
      <c r="G7618" t="s">
        <v>20</v>
      </c>
      <c r="J7618" t="s">
        <v>17</v>
      </c>
      <c r="K7618" t="str">
        <f>"345332245"</f>
        <v>345332245</v>
      </c>
      <c r="L7618" t="str">
        <f>"345332245"</f>
        <v>345332245</v>
      </c>
      <c r="M7618" t="s">
        <v>75</v>
      </c>
      <c r="N7618" s="1">
        <v>42872.849305555559</v>
      </c>
      <c r="O7618" t="s">
        <v>19</v>
      </c>
    </row>
    <row r="7619" spans="1:15" x14ac:dyDescent="0.25">
      <c r="A7619" t="s">
        <v>5355</v>
      </c>
      <c r="B7619" t="s">
        <v>15</v>
      </c>
      <c r="C7619" t="s">
        <v>25</v>
      </c>
      <c r="D7619" t="s">
        <v>17</v>
      </c>
      <c r="E7619" t="s">
        <v>18</v>
      </c>
      <c r="F7619" t="s">
        <v>19</v>
      </c>
      <c r="G7619" t="s">
        <v>20</v>
      </c>
      <c r="J7619" t="s">
        <v>17</v>
      </c>
      <c r="K7619" t="str">
        <f>"765332245"</f>
        <v>765332245</v>
      </c>
      <c r="L7619" t="str">
        <f>"765332245"</f>
        <v>765332245</v>
      </c>
      <c r="M7619" t="s">
        <v>75</v>
      </c>
      <c r="N7619" s="1">
        <v>42872.849305555559</v>
      </c>
      <c r="O7619" t="s">
        <v>19</v>
      </c>
    </row>
    <row r="7620" spans="1:15" x14ac:dyDescent="0.25">
      <c r="A7620" t="s">
        <v>5355</v>
      </c>
      <c r="B7620" t="s">
        <v>15</v>
      </c>
      <c r="C7620" t="s">
        <v>25</v>
      </c>
      <c r="D7620" t="s">
        <v>17</v>
      </c>
      <c r="E7620" t="s">
        <v>18</v>
      </c>
      <c r="F7620" t="s">
        <v>19</v>
      </c>
      <c r="G7620" t="s">
        <v>20</v>
      </c>
      <c r="J7620" t="s">
        <v>17</v>
      </c>
      <c r="K7620" t="str">
        <f>"763332245"</f>
        <v>763332245</v>
      </c>
      <c r="L7620" t="str">
        <f>"763332245"</f>
        <v>763332245</v>
      </c>
      <c r="M7620" t="s">
        <v>75</v>
      </c>
      <c r="N7620" s="1">
        <v>42893.936111111114</v>
      </c>
      <c r="O7620" t="s">
        <v>19</v>
      </c>
    </row>
    <row r="7621" spans="1:15" x14ac:dyDescent="0.25">
      <c r="A7621" t="s">
        <v>5356</v>
      </c>
      <c r="B7621" t="s">
        <v>15</v>
      </c>
      <c r="C7621" t="s">
        <v>25</v>
      </c>
      <c r="D7621" t="s">
        <v>17</v>
      </c>
      <c r="E7621" t="s">
        <v>18</v>
      </c>
      <c r="F7621" t="s">
        <v>19</v>
      </c>
      <c r="G7621" t="s">
        <v>20</v>
      </c>
      <c r="J7621" t="s">
        <v>17</v>
      </c>
      <c r="K7621" t="str">
        <f>"765332214"</f>
        <v>765332214</v>
      </c>
      <c r="L7621" t="str">
        <f>"765332214"</f>
        <v>765332214</v>
      </c>
      <c r="M7621" t="s">
        <v>75</v>
      </c>
      <c r="N7621" s="1">
        <v>42872.849305555559</v>
      </c>
      <c r="O7621" t="s">
        <v>19</v>
      </c>
    </row>
    <row r="7622" spans="1:15" x14ac:dyDescent="0.25">
      <c r="A7622" t="s">
        <v>5357</v>
      </c>
      <c r="B7622" t="s">
        <v>15</v>
      </c>
      <c r="C7622" t="s">
        <v>25</v>
      </c>
      <c r="D7622" t="s">
        <v>17</v>
      </c>
      <c r="E7622" t="s">
        <v>18</v>
      </c>
      <c r="F7622" t="s">
        <v>19</v>
      </c>
      <c r="G7622" t="s">
        <v>20</v>
      </c>
      <c r="J7622" t="s">
        <v>17</v>
      </c>
      <c r="K7622" t="str">
        <f>"343332272"</f>
        <v>343332272</v>
      </c>
      <c r="L7622" t="str">
        <f>"343332272"</f>
        <v>343332272</v>
      </c>
      <c r="M7622" t="s">
        <v>75</v>
      </c>
      <c r="N7622" s="1">
        <v>42872.849305555559</v>
      </c>
      <c r="O7622" t="s">
        <v>19</v>
      </c>
    </row>
    <row r="7623" spans="1:15" x14ac:dyDescent="0.25">
      <c r="A7623" t="s">
        <v>5357</v>
      </c>
      <c r="B7623" t="s">
        <v>15</v>
      </c>
      <c r="C7623" t="s">
        <v>25</v>
      </c>
      <c r="D7623" t="s">
        <v>17</v>
      </c>
      <c r="E7623" t="s">
        <v>18</v>
      </c>
      <c r="F7623" t="s">
        <v>19</v>
      </c>
      <c r="G7623" t="s">
        <v>20</v>
      </c>
      <c r="J7623" t="s">
        <v>17</v>
      </c>
      <c r="K7623" t="str">
        <f>"765332272"</f>
        <v>765332272</v>
      </c>
      <c r="L7623" t="str">
        <f>"765332272"</f>
        <v>765332272</v>
      </c>
      <c r="M7623" t="s">
        <v>75</v>
      </c>
      <c r="N7623" s="1">
        <v>42872.849305555559</v>
      </c>
      <c r="O7623" t="s">
        <v>19</v>
      </c>
    </row>
    <row r="7624" spans="1:15" x14ac:dyDescent="0.25">
      <c r="A7624" t="s">
        <v>5358</v>
      </c>
      <c r="B7624" t="s">
        <v>15</v>
      </c>
      <c r="C7624" t="s">
        <v>25</v>
      </c>
      <c r="D7624" t="s">
        <v>17</v>
      </c>
      <c r="E7624" t="s">
        <v>18</v>
      </c>
      <c r="F7624" t="s">
        <v>19</v>
      </c>
      <c r="G7624" t="s">
        <v>20</v>
      </c>
      <c r="J7624" t="s">
        <v>17</v>
      </c>
      <c r="K7624" t="str">
        <f>"345332214"</f>
        <v>345332214</v>
      </c>
      <c r="L7624" t="str">
        <f>"345332214"</f>
        <v>345332214</v>
      </c>
      <c r="M7624" t="s">
        <v>75</v>
      </c>
      <c r="N7624" s="1">
        <v>42872.849305555559</v>
      </c>
      <c r="O7624" t="s">
        <v>19</v>
      </c>
    </row>
    <row r="7625" spans="1:15" x14ac:dyDescent="0.25">
      <c r="A7625" t="s">
        <v>5358</v>
      </c>
      <c r="B7625" t="s">
        <v>15</v>
      </c>
      <c r="C7625" t="s">
        <v>25</v>
      </c>
      <c r="D7625" t="s">
        <v>17</v>
      </c>
      <c r="E7625" t="s">
        <v>18</v>
      </c>
      <c r="F7625" t="s">
        <v>19</v>
      </c>
      <c r="G7625" t="s">
        <v>20</v>
      </c>
      <c r="J7625" t="s">
        <v>17</v>
      </c>
      <c r="K7625" t="str">
        <f>"763332214"</f>
        <v>763332214</v>
      </c>
      <c r="L7625" t="str">
        <f>"763332214"</f>
        <v>763332214</v>
      </c>
      <c r="M7625" t="s">
        <v>75</v>
      </c>
      <c r="N7625" s="1">
        <v>42872.849305555559</v>
      </c>
      <c r="O7625" t="s">
        <v>19</v>
      </c>
    </row>
    <row r="7626" spans="1:15" x14ac:dyDescent="0.25">
      <c r="A7626" t="s">
        <v>5358</v>
      </c>
      <c r="B7626" t="s">
        <v>15</v>
      </c>
      <c r="C7626" t="s">
        <v>25</v>
      </c>
      <c r="D7626" t="s">
        <v>17</v>
      </c>
      <c r="E7626" t="s">
        <v>18</v>
      </c>
      <c r="F7626" t="s">
        <v>19</v>
      </c>
      <c r="G7626" t="s">
        <v>20</v>
      </c>
      <c r="J7626" t="s">
        <v>17</v>
      </c>
      <c r="K7626" t="str">
        <f>"863332214"</f>
        <v>863332214</v>
      </c>
      <c r="L7626" t="str">
        <f>"863332214"</f>
        <v>863332214</v>
      </c>
      <c r="M7626" t="s">
        <v>75</v>
      </c>
      <c r="N7626" s="1">
        <v>42872.849305555559</v>
      </c>
      <c r="O7626" t="s">
        <v>19</v>
      </c>
    </row>
    <row r="7627" spans="1:15" x14ac:dyDescent="0.25">
      <c r="A7627" t="s">
        <v>5358</v>
      </c>
      <c r="B7627" t="s">
        <v>15</v>
      </c>
      <c r="C7627" t="s">
        <v>25</v>
      </c>
      <c r="D7627" t="s">
        <v>17</v>
      </c>
      <c r="E7627" t="s">
        <v>18</v>
      </c>
      <c r="F7627" t="s">
        <v>19</v>
      </c>
      <c r="G7627" t="s">
        <v>20</v>
      </c>
      <c r="J7627" t="s">
        <v>17</v>
      </c>
      <c r="K7627" t="str">
        <f>"933332214"</f>
        <v>933332214</v>
      </c>
      <c r="L7627" t="str">
        <f>"933332214"</f>
        <v>933332214</v>
      </c>
      <c r="M7627" t="s">
        <v>75</v>
      </c>
      <c r="N7627" s="1">
        <v>42872.849305555559</v>
      </c>
      <c r="O7627" t="s">
        <v>19</v>
      </c>
    </row>
    <row r="7628" spans="1:15" x14ac:dyDescent="0.25">
      <c r="A7628" t="s">
        <v>5359</v>
      </c>
      <c r="B7628" t="s">
        <v>15</v>
      </c>
      <c r="C7628" t="s">
        <v>25</v>
      </c>
      <c r="D7628" t="s">
        <v>17</v>
      </c>
      <c r="E7628" t="s">
        <v>18</v>
      </c>
      <c r="F7628" t="s">
        <v>19</v>
      </c>
      <c r="G7628" t="s">
        <v>20</v>
      </c>
      <c r="J7628" t="s">
        <v>17</v>
      </c>
      <c r="K7628" t="str">
        <f>"763332295"</f>
        <v>763332295</v>
      </c>
      <c r="L7628" t="str">
        <f>"763332295"</f>
        <v>763332295</v>
      </c>
      <c r="M7628" t="s">
        <v>75</v>
      </c>
      <c r="N7628" s="1">
        <v>42872.849305555559</v>
      </c>
      <c r="O7628" t="s">
        <v>19</v>
      </c>
    </row>
    <row r="7629" spans="1:15" x14ac:dyDescent="0.25">
      <c r="A7629" t="s">
        <v>5360</v>
      </c>
      <c r="B7629" t="s">
        <v>15</v>
      </c>
      <c r="C7629" t="s">
        <v>25</v>
      </c>
      <c r="D7629" t="s">
        <v>17</v>
      </c>
      <c r="E7629" t="s">
        <v>18</v>
      </c>
      <c r="F7629" t="s">
        <v>19</v>
      </c>
      <c r="G7629" t="s">
        <v>20</v>
      </c>
      <c r="J7629" t="s">
        <v>17</v>
      </c>
      <c r="K7629" t="str">
        <f>"413332296"</f>
        <v>413332296</v>
      </c>
      <c r="L7629" t="str">
        <f>"413332296"</f>
        <v>413332296</v>
      </c>
      <c r="M7629" t="s">
        <v>75</v>
      </c>
      <c r="N7629" s="1">
        <v>42895.742361111108</v>
      </c>
      <c r="O7629" t="s">
        <v>19</v>
      </c>
    </row>
    <row r="7630" spans="1:15" x14ac:dyDescent="0.25">
      <c r="A7630" t="s">
        <v>5360</v>
      </c>
      <c r="B7630" t="s">
        <v>15</v>
      </c>
      <c r="C7630" t="s">
        <v>25</v>
      </c>
      <c r="D7630" t="s">
        <v>17</v>
      </c>
      <c r="E7630" t="s">
        <v>18</v>
      </c>
      <c r="F7630" t="s">
        <v>19</v>
      </c>
      <c r="G7630" t="s">
        <v>20</v>
      </c>
      <c r="J7630" t="s">
        <v>17</v>
      </c>
      <c r="K7630" t="str">
        <f>"763332296"</f>
        <v>763332296</v>
      </c>
      <c r="L7630" t="str">
        <f>"763332296"</f>
        <v>763332296</v>
      </c>
      <c r="M7630" t="s">
        <v>75</v>
      </c>
      <c r="N7630" s="1">
        <v>43082.934027777781</v>
      </c>
      <c r="O7630" t="s">
        <v>19</v>
      </c>
    </row>
    <row r="7631" spans="1:15" x14ac:dyDescent="0.25">
      <c r="A7631" t="s">
        <v>5361</v>
      </c>
      <c r="B7631" t="s">
        <v>15</v>
      </c>
      <c r="C7631" t="s">
        <v>25</v>
      </c>
      <c r="D7631" t="s">
        <v>17</v>
      </c>
      <c r="E7631" t="s">
        <v>18</v>
      </c>
      <c r="F7631" t="s">
        <v>19</v>
      </c>
      <c r="G7631" t="s">
        <v>20</v>
      </c>
      <c r="J7631" t="s">
        <v>17</v>
      </c>
      <c r="K7631" t="str">
        <f>"345332280"</f>
        <v>345332280</v>
      </c>
      <c r="L7631" t="str">
        <f>"345332280"</f>
        <v>345332280</v>
      </c>
      <c r="M7631" t="s">
        <v>75</v>
      </c>
      <c r="N7631" s="1">
        <v>42872.849305555559</v>
      </c>
      <c r="O7631" t="s">
        <v>19</v>
      </c>
    </row>
    <row r="7632" spans="1:15" x14ac:dyDescent="0.25">
      <c r="A7632" t="s">
        <v>5361</v>
      </c>
      <c r="B7632" t="s">
        <v>15</v>
      </c>
      <c r="C7632" t="s">
        <v>25</v>
      </c>
      <c r="D7632" t="s">
        <v>17</v>
      </c>
      <c r="E7632" t="s">
        <v>18</v>
      </c>
      <c r="F7632" t="s">
        <v>19</v>
      </c>
      <c r="G7632" t="s">
        <v>20</v>
      </c>
      <c r="J7632" t="s">
        <v>17</v>
      </c>
      <c r="K7632" t="str">
        <f>"345332287"</f>
        <v>345332287</v>
      </c>
      <c r="L7632" t="str">
        <f>"345332287"</f>
        <v>345332287</v>
      </c>
      <c r="M7632" t="s">
        <v>75</v>
      </c>
      <c r="N7632" s="1">
        <v>42872.849305555559</v>
      </c>
      <c r="O7632" t="s">
        <v>19</v>
      </c>
    </row>
    <row r="7633" spans="1:15" x14ac:dyDescent="0.25">
      <c r="A7633" t="s">
        <v>5362</v>
      </c>
      <c r="B7633" t="s">
        <v>15</v>
      </c>
      <c r="C7633" t="s">
        <v>25</v>
      </c>
      <c r="D7633" t="s">
        <v>17</v>
      </c>
      <c r="E7633" t="s">
        <v>18</v>
      </c>
      <c r="F7633" t="s">
        <v>19</v>
      </c>
      <c r="G7633" t="s">
        <v>20</v>
      </c>
      <c r="J7633" t="s">
        <v>17</v>
      </c>
      <c r="K7633" t="str">
        <f>"345332264"</f>
        <v>345332264</v>
      </c>
      <c r="L7633" t="str">
        <f>"345332264"</f>
        <v>345332264</v>
      </c>
      <c r="M7633" t="s">
        <v>75</v>
      </c>
      <c r="N7633" s="1">
        <v>42872.849305555559</v>
      </c>
      <c r="O7633" t="s">
        <v>19</v>
      </c>
    </row>
    <row r="7634" spans="1:15" x14ac:dyDescent="0.25">
      <c r="A7634" t="s">
        <v>5363</v>
      </c>
      <c r="B7634" t="s">
        <v>15</v>
      </c>
      <c r="C7634" t="s">
        <v>25</v>
      </c>
      <c r="D7634" t="s">
        <v>17</v>
      </c>
      <c r="E7634" t="s">
        <v>18</v>
      </c>
      <c r="F7634" t="s">
        <v>19</v>
      </c>
      <c r="G7634" t="s">
        <v>20</v>
      </c>
      <c r="J7634" t="s">
        <v>17</v>
      </c>
      <c r="K7634" t="str">
        <f>"763332297"</f>
        <v>763332297</v>
      </c>
      <c r="L7634" t="str">
        <f>"763332297"</f>
        <v>763332297</v>
      </c>
      <c r="M7634" t="s">
        <v>75</v>
      </c>
      <c r="N7634" s="1">
        <v>42893.935416666667</v>
      </c>
      <c r="O7634" t="s">
        <v>19</v>
      </c>
    </row>
    <row r="7635" spans="1:15" x14ac:dyDescent="0.25">
      <c r="A7635" t="s">
        <v>5364</v>
      </c>
      <c r="B7635" t="s">
        <v>15</v>
      </c>
      <c r="C7635" t="s">
        <v>25</v>
      </c>
      <c r="D7635" t="s">
        <v>17</v>
      </c>
      <c r="E7635" t="s">
        <v>18</v>
      </c>
      <c r="F7635" t="s">
        <v>19</v>
      </c>
      <c r="G7635" t="s">
        <v>20</v>
      </c>
      <c r="J7635" t="s">
        <v>17</v>
      </c>
      <c r="K7635" t="str">
        <f>"763332298"</f>
        <v>763332298</v>
      </c>
      <c r="L7635" t="str">
        <f>"763332298"</f>
        <v>763332298</v>
      </c>
      <c r="M7635" t="s">
        <v>75</v>
      </c>
      <c r="N7635" s="1">
        <v>42872.849305555559</v>
      </c>
      <c r="O7635" t="s">
        <v>19</v>
      </c>
    </row>
    <row r="7636" spans="1:15" x14ac:dyDescent="0.25">
      <c r="A7636" t="s">
        <v>5365</v>
      </c>
      <c r="B7636" t="s">
        <v>15</v>
      </c>
      <c r="C7636" t="s">
        <v>25</v>
      </c>
      <c r="D7636" t="s">
        <v>17</v>
      </c>
      <c r="E7636" t="s">
        <v>18</v>
      </c>
      <c r="F7636" t="s">
        <v>19</v>
      </c>
      <c r="G7636" t="s">
        <v>20</v>
      </c>
      <c r="J7636" t="s">
        <v>17</v>
      </c>
      <c r="K7636" t="str">
        <f>"765309221"</f>
        <v>765309221</v>
      </c>
      <c r="L7636" t="str">
        <f>"765309221"</f>
        <v>765309221</v>
      </c>
      <c r="M7636" t="s">
        <v>75</v>
      </c>
      <c r="N7636" s="1">
        <v>42872.849305555559</v>
      </c>
      <c r="O7636" t="s">
        <v>19</v>
      </c>
    </row>
    <row r="7637" spans="1:15" x14ac:dyDescent="0.25">
      <c r="A7637" t="s">
        <v>5366</v>
      </c>
      <c r="B7637" t="s">
        <v>15</v>
      </c>
      <c r="C7637" t="s">
        <v>25</v>
      </c>
      <c r="D7637" t="s">
        <v>17</v>
      </c>
      <c r="E7637" t="s">
        <v>18</v>
      </c>
      <c r="F7637" t="s">
        <v>19</v>
      </c>
      <c r="G7637" t="s">
        <v>20</v>
      </c>
      <c r="J7637" t="s">
        <v>17</v>
      </c>
      <c r="K7637" t="str">
        <f>"34530912"</f>
        <v>34530912</v>
      </c>
      <c r="L7637" t="str">
        <f>"34530912"</f>
        <v>34530912</v>
      </c>
      <c r="M7637" t="s">
        <v>75</v>
      </c>
      <c r="N7637" s="1">
        <v>42872.839583333334</v>
      </c>
      <c r="O7637" t="s">
        <v>19</v>
      </c>
    </row>
    <row r="7638" spans="1:15" x14ac:dyDescent="0.25">
      <c r="A7638" t="s">
        <v>5366</v>
      </c>
      <c r="B7638" t="s">
        <v>15</v>
      </c>
      <c r="C7638" t="s">
        <v>25</v>
      </c>
      <c r="D7638" t="s">
        <v>17</v>
      </c>
      <c r="E7638" t="s">
        <v>18</v>
      </c>
      <c r="F7638" t="s">
        <v>19</v>
      </c>
      <c r="G7638" t="s">
        <v>20</v>
      </c>
      <c r="J7638" t="s">
        <v>17</v>
      </c>
      <c r="K7638" t="str">
        <f>"345530912"</f>
        <v>345530912</v>
      </c>
      <c r="L7638" t="str">
        <f>"345530912"</f>
        <v>345530912</v>
      </c>
      <c r="M7638" t="s">
        <v>75</v>
      </c>
      <c r="N7638" s="1">
        <v>42872.849305555559</v>
      </c>
      <c r="O7638" t="s">
        <v>19</v>
      </c>
    </row>
    <row r="7639" spans="1:15" x14ac:dyDescent="0.25">
      <c r="A7639" t="s">
        <v>5367</v>
      </c>
      <c r="B7639" t="s">
        <v>15</v>
      </c>
      <c r="C7639" t="s">
        <v>25</v>
      </c>
      <c r="D7639" t="s">
        <v>17</v>
      </c>
      <c r="E7639" t="s">
        <v>18</v>
      </c>
      <c r="F7639" t="s">
        <v>19</v>
      </c>
      <c r="G7639" t="s">
        <v>20</v>
      </c>
      <c r="J7639" t="s">
        <v>17</v>
      </c>
      <c r="K7639" t="str">
        <f>"76530990"</f>
        <v>76530990</v>
      </c>
      <c r="L7639" t="str">
        <f>"76530990"</f>
        <v>76530990</v>
      </c>
      <c r="M7639" t="s">
        <v>75</v>
      </c>
      <c r="N7639" s="1">
        <v>42872.847222222219</v>
      </c>
      <c r="O7639" t="s">
        <v>19</v>
      </c>
    </row>
    <row r="7640" spans="1:15" x14ac:dyDescent="0.25">
      <c r="A7640" t="s">
        <v>5368</v>
      </c>
      <c r="B7640" t="s">
        <v>15</v>
      </c>
      <c r="C7640" t="s">
        <v>25</v>
      </c>
      <c r="D7640" t="s">
        <v>17</v>
      </c>
      <c r="E7640" t="s">
        <v>18</v>
      </c>
      <c r="F7640" t="s">
        <v>19</v>
      </c>
      <c r="G7640" t="s">
        <v>20</v>
      </c>
      <c r="J7640" t="s">
        <v>17</v>
      </c>
      <c r="K7640" t="str">
        <f>"765309104"</f>
        <v>765309104</v>
      </c>
      <c r="L7640" t="str">
        <f>"765309104"</f>
        <v>765309104</v>
      </c>
      <c r="M7640" t="s">
        <v>75</v>
      </c>
      <c r="N7640" s="1">
        <v>42872.849305555559</v>
      </c>
      <c r="O7640" t="s">
        <v>19</v>
      </c>
    </row>
    <row r="7641" spans="1:15" x14ac:dyDescent="0.25">
      <c r="A7641" t="s">
        <v>5369</v>
      </c>
      <c r="B7641" t="s">
        <v>15</v>
      </c>
      <c r="C7641" t="s">
        <v>25</v>
      </c>
      <c r="D7641" t="s">
        <v>17</v>
      </c>
      <c r="E7641" t="s">
        <v>18</v>
      </c>
      <c r="F7641" t="s">
        <v>19</v>
      </c>
      <c r="G7641" t="s">
        <v>20</v>
      </c>
      <c r="J7641" t="s">
        <v>17</v>
      </c>
      <c r="K7641" t="str">
        <f>"76530962"</f>
        <v>76530962</v>
      </c>
      <c r="L7641" t="str">
        <f>"76530962"</f>
        <v>76530962</v>
      </c>
      <c r="M7641" t="s">
        <v>75</v>
      </c>
      <c r="N7641" s="1">
        <v>42872.847222222219</v>
      </c>
      <c r="O7641" t="s">
        <v>19</v>
      </c>
    </row>
    <row r="7642" spans="1:15" x14ac:dyDescent="0.25">
      <c r="A7642" t="s">
        <v>5370</v>
      </c>
      <c r="B7642" t="s">
        <v>15</v>
      </c>
      <c r="C7642" t="s">
        <v>25</v>
      </c>
      <c r="D7642" t="s">
        <v>17</v>
      </c>
      <c r="E7642" t="s">
        <v>18</v>
      </c>
      <c r="F7642" t="s">
        <v>19</v>
      </c>
      <c r="G7642" t="s">
        <v>20</v>
      </c>
      <c r="J7642" t="s">
        <v>17</v>
      </c>
      <c r="K7642" t="str">
        <f>"34530963"</f>
        <v>34530963</v>
      </c>
      <c r="L7642" t="str">
        <f>"34530963"</f>
        <v>34530963</v>
      </c>
      <c r="M7642" t="s">
        <v>75</v>
      </c>
      <c r="N7642" s="1">
        <v>42872.839583333334</v>
      </c>
      <c r="O7642" t="s">
        <v>19</v>
      </c>
    </row>
    <row r="7643" spans="1:15" x14ac:dyDescent="0.25">
      <c r="A7643" t="s">
        <v>5370</v>
      </c>
      <c r="B7643" t="s">
        <v>15</v>
      </c>
      <c r="C7643" t="s">
        <v>25</v>
      </c>
      <c r="D7643" t="s">
        <v>17</v>
      </c>
      <c r="E7643" t="s">
        <v>18</v>
      </c>
      <c r="F7643" t="s">
        <v>19</v>
      </c>
      <c r="G7643" t="s">
        <v>20</v>
      </c>
      <c r="J7643" t="s">
        <v>17</v>
      </c>
      <c r="K7643" t="str">
        <f>"34539263"</f>
        <v>34539263</v>
      </c>
      <c r="L7643" t="str">
        <f>"34539263"</f>
        <v>34539263</v>
      </c>
      <c r="M7643" t="s">
        <v>75</v>
      </c>
      <c r="N7643" s="1">
        <v>42872.839583333334</v>
      </c>
      <c r="O7643" t="s">
        <v>19</v>
      </c>
    </row>
    <row r="7644" spans="1:15" x14ac:dyDescent="0.25">
      <c r="A7644" t="s">
        <v>5370</v>
      </c>
      <c r="B7644" t="s">
        <v>15</v>
      </c>
      <c r="C7644" t="s">
        <v>25</v>
      </c>
      <c r="D7644" t="s">
        <v>17</v>
      </c>
      <c r="E7644" t="s">
        <v>18</v>
      </c>
      <c r="F7644" t="s">
        <v>19</v>
      </c>
      <c r="G7644" t="s">
        <v>20</v>
      </c>
      <c r="J7644" t="s">
        <v>17</v>
      </c>
      <c r="K7644" t="str">
        <f>"76330963"</f>
        <v>76330963</v>
      </c>
      <c r="L7644" t="str">
        <f>"76330963"</f>
        <v>76330963</v>
      </c>
      <c r="M7644" t="s">
        <v>75</v>
      </c>
      <c r="N7644" s="1">
        <v>42872.847222222219</v>
      </c>
      <c r="O7644" t="s">
        <v>19</v>
      </c>
    </row>
    <row r="7645" spans="1:15" x14ac:dyDescent="0.25">
      <c r="A7645" t="s">
        <v>5370</v>
      </c>
      <c r="B7645" t="s">
        <v>15</v>
      </c>
      <c r="C7645" t="s">
        <v>25</v>
      </c>
      <c r="D7645" t="s">
        <v>17</v>
      </c>
      <c r="E7645" t="s">
        <v>18</v>
      </c>
      <c r="F7645" t="s">
        <v>19</v>
      </c>
      <c r="G7645" t="s">
        <v>20</v>
      </c>
      <c r="J7645" t="s">
        <v>17</v>
      </c>
      <c r="K7645" t="str">
        <f>"76530963"</f>
        <v>76530963</v>
      </c>
      <c r="L7645" t="str">
        <f>"76530963"</f>
        <v>76530963</v>
      </c>
      <c r="M7645" t="s">
        <v>75</v>
      </c>
      <c r="N7645" s="1">
        <v>42872.847222222219</v>
      </c>
      <c r="O7645" t="s">
        <v>19</v>
      </c>
    </row>
    <row r="7646" spans="1:15" x14ac:dyDescent="0.25">
      <c r="A7646" t="s">
        <v>5371</v>
      </c>
      <c r="B7646" t="s">
        <v>15</v>
      </c>
      <c r="C7646" t="s">
        <v>25</v>
      </c>
      <c r="D7646" t="s">
        <v>17</v>
      </c>
      <c r="E7646" t="s">
        <v>18</v>
      </c>
      <c r="F7646" t="s">
        <v>19</v>
      </c>
      <c r="G7646" t="s">
        <v>20</v>
      </c>
      <c r="J7646" t="s">
        <v>17</v>
      </c>
      <c r="K7646" t="str">
        <f>"17530964"</f>
        <v>17530964</v>
      </c>
      <c r="L7646" t="str">
        <f>"17530964"</f>
        <v>17530964</v>
      </c>
      <c r="M7646" t="s">
        <v>75</v>
      </c>
      <c r="N7646" s="1">
        <v>42872.839583333334</v>
      </c>
      <c r="O7646" t="s">
        <v>19</v>
      </c>
    </row>
    <row r="7647" spans="1:15" x14ac:dyDescent="0.25">
      <c r="A7647" t="s">
        <v>5371</v>
      </c>
      <c r="B7647" t="s">
        <v>15</v>
      </c>
      <c r="C7647" t="s">
        <v>25</v>
      </c>
      <c r="D7647" t="s">
        <v>17</v>
      </c>
      <c r="E7647" t="s">
        <v>18</v>
      </c>
      <c r="F7647" t="s">
        <v>19</v>
      </c>
      <c r="G7647" t="s">
        <v>20</v>
      </c>
      <c r="J7647" t="s">
        <v>17</v>
      </c>
      <c r="K7647" t="str">
        <f>"34530964"</f>
        <v>34530964</v>
      </c>
      <c r="L7647" t="str">
        <f>"34530964"</f>
        <v>34530964</v>
      </c>
      <c r="M7647" t="s">
        <v>75</v>
      </c>
      <c r="N7647" s="1">
        <v>42872.839583333334</v>
      </c>
      <c r="O7647" t="s">
        <v>19</v>
      </c>
    </row>
    <row r="7648" spans="1:15" x14ac:dyDescent="0.25">
      <c r="A7648" t="s">
        <v>5371</v>
      </c>
      <c r="B7648" t="s">
        <v>15</v>
      </c>
      <c r="C7648" t="s">
        <v>25</v>
      </c>
      <c r="D7648" t="s">
        <v>17</v>
      </c>
      <c r="E7648" t="s">
        <v>18</v>
      </c>
      <c r="F7648" t="s">
        <v>19</v>
      </c>
      <c r="G7648" t="s">
        <v>20</v>
      </c>
      <c r="J7648" t="s">
        <v>17</v>
      </c>
      <c r="K7648" t="str">
        <f>"76530964"</f>
        <v>76530964</v>
      </c>
      <c r="L7648" t="str">
        <f>"76530964"</f>
        <v>76530964</v>
      </c>
      <c r="M7648" t="s">
        <v>75</v>
      </c>
      <c r="N7648" s="1">
        <v>42872.847222222219</v>
      </c>
      <c r="O7648" t="s">
        <v>19</v>
      </c>
    </row>
    <row r="7649" spans="1:15" x14ac:dyDescent="0.25">
      <c r="A7649" t="s">
        <v>5372</v>
      </c>
      <c r="B7649" t="s">
        <v>15</v>
      </c>
      <c r="C7649" t="s">
        <v>25</v>
      </c>
      <c r="D7649" t="s">
        <v>17</v>
      </c>
      <c r="E7649" t="s">
        <v>18</v>
      </c>
      <c r="F7649" t="s">
        <v>19</v>
      </c>
      <c r="G7649" t="s">
        <v>20</v>
      </c>
      <c r="J7649" t="s">
        <v>17</v>
      </c>
      <c r="K7649" t="str">
        <f>"17530965"</f>
        <v>17530965</v>
      </c>
      <c r="L7649" t="str">
        <f>"17530965"</f>
        <v>17530965</v>
      </c>
      <c r="M7649" t="s">
        <v>75</v>
      </c>
      <c r="N7649" s="1">
        <v>42872.839583333334</v>
      </c>
      <c r="O7649" t="s">
        <v>19</v>
      </c>
    </row>
    <row r="7650" spans="1:15" x14ac:dyDescent="0.25">
      <c r="A7650" t="s">
        <v>5372</v>
      </c>
      <c r="B7650" t="s">
        <v>15</v>
      </c>
      <c r="C7650" t="s">
        <v>25</v>
      </c>
      <c r="D7650" t="s">
        <v>17</v>
      </c>
      <c r="E7650" t="s">
        <v>18</v>
      </c>
      <c r="F7650" t="s">
        <v>19</v>
      </c>
      <c r="G7650" t="s">
        <v>20</v>
      </c>
      <c r="J7650" t="s">
        <v>17</v>
      </c>
      <c r="K7650" t="str">
        <f>"34530965"</f>
        <v>34530965</v>
      </c>
      <c r="L7650" t="str">
        <f>"34530965"</f>
        <v>34530965</v>
      </c>
      <c r="M7650" t="s">
        <v>75</v>
      </c>
      <c r="N7650" s="1">
        <v>42872.839583333334</v>
      </c>
      <c r="O7650" t="s">
        <v>19</v>
      </c>
    </row>
    <row r="7651" spans="1:15" x14ac:dyDescent="0.25">
      <c r="A7651" t="s">
        <v>5373</v>
      </c>
      <c r="B7651" t="s">
        <v>15</v>
      </c>
      <c r="C7651" t="s">
        <v>25</v>
      </c>
      <c r="D7651" t="s">
        <v>17</v>
      </c>
      <c r="E7651" t="s">
        <v>18</v>
      </c>
      <c r="F7651" t="s">
        <v>19</v>
      </c>
      <c r="G7651" t="s">
        <v>20</v>
      </c>
      <c r="J7651" t="s">
        <v>17</v>
      </c>
      <c r="K7651" t="str">
        <f>"76530965"</f>
        <v>76530965</v>
      </c>
      <c r="L7651" t="str">
        <f>"76530965"</f>
        <v>76530965</v>
      </c>
      <c r="M7651" t="s">
        <v>75</v>
      </c>
      <c r="N7651" s="1">
        <v>42872.847222222219</v>
      </c>
      <c r="O7651" t="s">
        <v>19</v>
      </c>
    </row>
    <row r="7652" spans="1:15" x14ac:dyDescent="0.25">
      <c r="A7652" t="s">
        <v>5374</v>
      </c>
      <c r="B7652" t="s">
        <v>15</v>
      </c>
      <c r="C7652" t="s">
        <v>25</v>
      </c>
      <c r="D7652" t="s">
        <v>17</v>
      </c>
      <c r="E7652" t="s">
        <v>18</v>
      </c>
      <c r="F7652" t="s">
        <v>19</v>
      </c>
      <c r="G7652" t="s">
        <v>20</v>
      </c>
      <c r="J7652" t="s">
        <v>17</v>
      </c>
      <c r="K7652" t="str">
        <f>"34530966"</f>
        <v>34530966</v>
      </c>
      <c r="L7652" t="str">
        <f>"34530966"</f>
        <v>34530966</v>
      </c>
      <c r="M7652" t="s">
        <v>75</v>
      </c>
      <c r="N7652" s="1">
        <v>42872.839583333334</v>
      </c>
      <c r="O7652" t="s">
        <v>19</v>
      </c>
    </row>
    <row r="7653" spans="1:15" x14ac:dyDescent="0.25">
      <c r="A7653" t="s">
        <v>5374</v>
      </c>
      <c r="B7653" t="s">
        <v>15</v>
      </c>
      <c r="C7653" t="s">
        <v>25</v>
      </c>
      <c r="D7653" t="s">
        <v>17</v>
      </c>
      <c r="E7653" t="s">
        <v>18</v>
      </c>
      <c r="F7653" t="s">
        <v>19</v>
      </c>
      <c r="G7653" t="s">
        <v>20</v>
      </c>
      <c r="J7653" t="s">
        <v>17</v>
      </c>
      <c r="K7653" t="str">
        <f>"76330966"</f>
        <v>76330966</v>
      </c>
      <c r="L7653" t="str">
        <f>"76330966"</f>
        <v>76330966</v>
      </c>
      <c r="M7653" t="s">
        <v>75</v>
      </c>
      <c r="N7653" s="1">
        <v>42872.847222222219</v>
      </c>
      <c r="O7653" t="s">
        <v>19</v>
      </c>
    </row>
    <row r="7654" spans="1:15" x14ac:dyDescent="0.25">
      <c r="A7654" t="s">
        <v>5374</v>
      </c>
      <c r="B7654" t="s">
        <v>15</v>
      </c>
      <c r="C7654" t="s">
        <v>25</v>
      </c>
      <c r="D7654" t="s">
        <v>17</v>
      </c>
      <c r="E7654" t="s">
        <v>18</v>
      </c>
      <c r="F7654" t="s">
        <v>19</v>
      </c>
      <c r="G7654" t="s">
        <v>20</v>
      </c>
      <c r="J7654" t="s">
        <v>17</v>
      </c>
      <c r="K7654" t="str">
        <f>"76530966"</f>
        <v>76530966</v>
      </c>
      <c r="L7654" t="str">
        <f>"76530966"</f>
        <v>76530966</v>
      </c>
      <c r="M7654" t="s">
        <v>75</v>
      </c>
      <c r="N7654" s="1">
        <v>42872.847222222219</v>
      </c>
      <c r="O7654" t="s">
        <v>19</v>
      </c>
    </row>
    <row r="7655" spans="1:15" x14ac:dyDescent="0.25">
      <c r="A7655" t="s">
        <v>5375</v>
      </c>
      <c r="B7655" t="s">
        <v>15</v>
      </c>
      <c r="C7655" t="s">
        <v>25</v>
      </c>
      <c r="D7655" t="s">
        <v>17</v>
      </c>
      <c r="E7655" t="s">
        <v>18</v>
      </c>
      <c r="F7655" t="s">
        <v>19</v>
      </c>
      <c r="G7655" t="s">
        <v>20</v>
      </c>
      <c r="J7655" t="s">
        <v>17</v>
      </c>
      <c r="K7655" t="str">
        <f>"76330951"</f>
        <v>76330951</v>
      </c>
      <c r="L7655" t="str">
        <f>"76330951"</f>
        <v>76330951</v>
      </c>
      <c r="M7655" t="s">
        <v>75</v>
      </c>
      <c r="N7655" s="1">
        <v>42989.875694444447</v>
      </c>
      <c r="O7655" t="s">
        <v>19</v>
      </c>
    </row>
    <row r="7656" spans="1:15" x14ac:dyDescent="0.25">
      <c r="A7656" t="s">
        <v>5376</v>
      </c>
      <c r="B7656" t="s">
        <v>15</v>
      </c>
      <c r="C7656" t="s">
        <v>25</v>
      </c>
      <c r="D7656" t="s">
        <v>17</v>
      </c>
      <c r="E7656" t="s">
        <v>18</v>
      </c>
      <c r="F7656" t="s">
        <v>19</v>
      </c>
      <c r="G7656" t="s">
        <v>20</v>
      </c>
      <c r="J7656" t="s">
        <v>17</v>
      </c>
      <c r="K7656" t="str">
        <f>"34530956"</f>
        <v>34530956</v>
      </c>
      <c r="L7656" t="str">
        <f>"34530956"</f>
        <v>34530956</v>
      </c>
      <c r="M7656" t="s">
        <v>75</v>
      </c>
      <c r="N7656" s="1">
        <v>42872.839583333334</v>
      </c>
      <c r="O7656" t="s">
        <v>19</v>
      </c>
    </row>
    <row r="7657" spans="1:15" x14ac:dyDescent="0.25">
      <c r="A7657" t="s">
        <v>5376</v>
      </c>
      <c r="B7657" t="s">
        <v>15</v>
      </c>
      <c r="C7657" t="s">
        <v>25</v>
      </c>
      <c r="D7657" t="s">
        <v>17</v>
      </c>
      <c r="E7657" t="s">
        <v>18</v>
      </c>
      <c r="F7657" t="s">
        <v>19</v>
      </c>
      <c r="G7657" t="s">
        <v>20</v>
      </c>
      <c r="J7657" t="s">
        <v>17</v>
      </c>
      <c r="K7657" t="str">
        <f>"34530959"</f>
        <v>34530959</v>
      </c>
      <c r="L7657" t="str">
        <f>"34530959"</f>
        <v>34530959</v>
      </c>
      <c r="M7657" t="s">
        <v>75</v>
      </c>
      <c r="N7657" s="1">
        <v>42872.839583333334</v>
      </c>
      <c r="O7657" t="s">
        <v>19</v>
      </c>
    </row>
    <row r="7658" spans="1:15" x14ac:dyDescent="0.25">
      <c r="A7658" t="s">
        <v>5376</v>
      </c>
      <c r="B7658" t="s">
        <v>15</v>
      </c>
      <c r="C7658" t="s">
        <v>25</v>
      </c>
      <c r="D7658" t="s">
        <v>17</v>
      </c>
      <c r="E7658" t="s">
        <v>18</v>
      </c>
      <c r="F7658" t="s">
        <v>19</v>
      </c>
      <c r="G7658" t="s">
        <v>20</v>
      </c>
      <c r="J7658" t="s">
        <v>17</v>
      </c>
      <c r="K7658" t="str">
        <f>"76530956"</f>
        <v>76530956</v>
      </c>
      <c r="L7658" t="str">
        <f>"76530956"</f>
        <v>76530956</v>
      </c>
      <c r="M7658" t="s">
        <v>75</v>
      </c>
      <c r="N7658" s="1">
        <v>42872.847222222219</v>
      </c>
      <c r="O7658" t="s">
        <v>19</v>
      </c>
    </row>
    <row r="7659" spans="1:15" x14ac:dyDescent="0.25">
      <c r="A7659" t="s">
        <v>5376</v>
      </c>
      <c r="B7659" t="s">
        <v>15</v>
      </c>
      <c r="C7659" t="s">
        <v>25</v>
      </c>
      <c r="D7659" t="s">
        <v>17</v>
      </c>
      <c r="E7659" t="s">
        <v>18</v>
      </c>
      <c r="F7659" t="s">
        <v>19</v>
      </c>
      <c r="G7659" t="s">
        <v>20</v>
      </c>
      <c r="J7659" t="s">
        <v>17</v>
      </c>
      <c r="K7659" t="str">
        <f>"17330956"</f>
        <v>17330956</v>
      </c>
      <c r="L7659" t="str">
        <f>"17330956"</f>
        <v>17330956</v>
      </c>
      <c r="M7659" t="s">
        <v>75</v>
      </c>
      <c r="N7659" s="1">
        <v>42989.728472222225</v>
      </c>
      <c r="O7659" t="s">
        <v>19</v>
      </c>
    </row>
    <row r="7660" spans="1:15" x14ac:dyDescent="0.25">
      <c r="A7660" t="s">
        <v>5377</v>
      </c>
      <c r="B7660" t="s">
        <v>15</v>
      </c>
      <c r="C7660" t="s">
        <v>25</v>
      </c>
      <c r="D7660" t="s">
        <v>17</v>
      </c>
      <c r="E7660" t="s">
        <v>18</v>
      </c>
      <c r="F7660" t="s">
        <v>19</v>
      </c>
      <c r="G7660" t="s">
        <v>20</v>
      </c>
      <c r="J7660" t="s">
        <v>17</v>
      </c>
      <c r="K7660" t="str">
        <f>"17530952"</f>
        <v>17530952</v>
      </c>
      <c r="L7660" t="str">
        <f>"17530952"</f>
        <v>17530952</v>
      </c>
      <c r="M7660" t="s">
        <v>75</v>
      </c>
      <c r="N7660" s="1">
        <v>42872.839583333334</v>
      </c>
      <c r="O7660" t="s">
        <v>19</v>
      </c>
    </row>
    <row r="7661" spans="1:15" x14ac:dyDescent="0.25">
      <c r="A7661" t="s">
        <v>5377</v>
      </c>
      <c r="B7661" t="s">
        <v>15</v>
      </c>
      <c r="C7661" t="s">
        <v>25</v>
      </c>
      <c r="D7661" t="s">
        <v>17</v>
      </c>
      <c r="E7661" t="s">
        <v>18</v>
      </c>
      <c r="F7661" t="s">
        <v>19</v>
      </c>
      <c r="G7661" t="s">
        <v>20</v>
      </c>
      <c r="J7661" t="s">
        <v>17</v>
      </c>
      <c r="K7661" t="str">
        <f>"76530952"</f>
        <v>76530952</v>
      </c>
      <c r="L7661" t="str">
        <f>"76530952"</f>
        <v>76530952</v>
      </c>
      <c r="M7661" t="s">
        <v>75</v>
      </c>
      <c r="N7661" s="1">
        <v>42872.847222222219</v>
      </c>
      <c r="O7661" t="s">
        <v>19</v>
      </c>
    </row>
    <row r="7662" spans="1:15" x14ac:dyDescent="0.25">
      <c r="A7662" t="s">
        <v>5377</v>
      </c>
      <c r="B7662" t="s">
        <v>15</v>
      </c>
      <c r="C7662" t="s">
        <v>25</v>
      </c>
      <c r="D7662" t="s">
        <v>17</v>
      </c>
      <c r="E7662" t="s">
        <v>18</v>
      </c>
      <c r="F7662" t="s">
        <v>19</v>
      </c>
      <c r="G7662" t="s">
        <v>20</v>
      </c>
      <c r="J7662" t="s">
        <v>17</v>
      </c>
      <c r="K7662" t="str">
        <f>"110170464"</f>
        <v>110170464</v>
      </c>
      <c r="L7662" t="str">
        <f>"110170464"</f>
        <v>110170464</v>
      </c>
      <c r="M7662" t="s">
        <v>75</v>
      </c>
      <c r="N7662" s="1">
        <v>42872.847222222219</v>
      </c>
      <c r="O7662" t="s">
        <v>19</v>
      </c>
    </row>
    <row r="7663" spans="1:15" x14ac:dyDescent="0.25">
      <c r="A7663" t="s">
        <v>5377</v>
      </c>
      <c r="B7663" t="s">
        <v>15</v>
      </c>
      <c r="C7663" t="s">
        <v>25</v>
      </c>
      <c r="D7663" t="s">
        <v>17</v>
      </c>
      <c r="E7663" t="s">
        <v>18</v>
      </c>
      <c r="F7663" t="s">
        <v>19</v>
      </c>
      <c r="G7663" t="s">
        <v>20</v>
      </c>
      <c r="J7663" t="s">
        <v>17</v>
      </c>
      <c r="K7663" t="str">
        <f>"325309154"</f>
        <v>325309154</v>
      </c>
      <c r="L7663" t="str">
        <f>"325309154"</f>
        <v>325309154</v>
      </c>
      <c r="M7663" t="s">
        <v>75</v>
      </c>
      <c r="N7663" s="1">
        <v>42872.849305555559</v>
      </c>
      <c r="O7663" t="s">
        <v>19</v>
      </c>
    </row>
    <row r="7664" spans="1:15" x14ac:dyDescent="0.25">
      <c r="A7664" t="s">
        <v>5377</v>
      </c>
      <c r="B7664" t="s">
        <v>15</v>
      </c>
      <c r="C7664" t="s">
        <v>25</v>
      </c>
      <c r="D7664" t="s">
        <v>17</v>
      </c>
      <c r="E7664" t="s">
        <v>18</v>
      </c>
      <c r="F7664" t="s">
        <v>19</v>
      </c>
      <c r="G7664" t="s">
        <v>20</v>
      </c>
      <c r="J7664" t="s">
        <v>17</v>
      </c>
      <c r="K7664" t="str">
        <f>"345309154"</f>
        <v>345309154</v>
      </c>
      <c r="L7664" t="str">
        <f>"345309154"</f>
        <v>345309154</v>
      </c>
      <c r="M7664" t="s">
        <v>75</v>
      </c>
      <c r="N7664" s="1">
        <v>42872.849305555559</v>
      </c>
      <c r="O7664" t="s">
        <v>19</v>
      </c>
    </row>
    <row r="7665" spans="1:15" x14ac:dyDescent="0.25">
      <c r="A7665" t="s">
        <v>5377</v>
      </c>
      <c r="B7665" t="s">
        <v>15</v>
      </c>
      <c r="C7665" t="s">
        <v>25</v>
      </c>
      <c r="D7665" t="s">
        <v>17</v>
      </c>
      <c r="E7665" t="s">
        <v>18</v>
      </c>
      <c r="F7665" t="s">
        <v>19</v>
      </c>
      <c r="G7665" t="s">
        <v>20</v>
      </c>
      <c r="J7665" t="s">
        <v>17</v>
      </c>
      <c r="K7665" t="str">
        <f>"763309154"</f>
        <v>763309154</v>
      </c>
      <c r="L7665" t="str">
        <f>"763309154"</f>
        <v>763309154</v>
      </c>
      <c r="M7665" t="s">
        <v>75</v>
      </c>
      <c r="N7665" s="1">
        <v>42872.849305555559</v>
      </c>
      <c r="O7665" t="s">
        <v>19</v>
      </c>
    </row>
    <row r="7666" spans="1:15" x14ac:dyDescent="0.25">
      <c r="A7666" t="s">
        <v>5377</v>
      </c>
      <c r="B7666" t="s">
        <v>15</v>
      </c>
      <c r="C7666" t="s">
        <v>25</v>
      </c>
      <c r="D7666" t="s">
        <v>17</v>
      </c>
      <c r="E7666" t="s">
        <v>18</v>
      </c>
      <c r="F7666" t="s">
        <v>19</v>
      </c>
      <c r="G7666" t="s">
        <v>20</v>
      </c>
      <c r="J7666" t="s">
        <v>17</v>
      </c>
      <c r="K7666" t="str">
        <f>"863309154"</f>
        <v>863309154</v>
      </c>
      <c r="L7666" t="str">
        <f>"863309154"</f>
        <v>863309154</v>
      </c>
      <c r="M7666" t="s">
        <v>75</v>
      </c>
      <c r="N7666" s="1">
        <v>42872.849305555559</v>
      </c>
      <c r="O7666" t="s">
        <v>19</v>
      </c>
    </row>
    <row r="7667" spans="1:15" x14ac:dyDescent="0.25">
      <c r="A7667" t="s">
        <v>5377</v>
      </c>
      <c r="B7667" t="s">
        <v>15</v>
      </c>
      <c r="C7667" t="s">
        <v>25</v>
      </c>
      <c r="D7667" t="s">
        <v>17</v>
      </c>
      <c r="E7667" t="s">
        <v>18</v>
      </c>
      <c r="F7667" t="s">
        <v>19</v>
      </c>
      <c r="G7667" t="s">
        <v>20</v>
      </c>
      <c r="J7667" t="s">
        <v>17</v>
      </c>
      <c r="K7667" t="str">
        <f>"765309154"</f>
        <v>765309154</v>
      </c>
      <c r="L7667" t="str">
        <f>"765309154"</f>
        <v>765309154</v>
      </c>
      <c r="M7667" t="s">
        <v>75</v>
      </c>
      <c r="N7667" s="1">
        <v>42872.849305555559</v>
      </c>
      <c r="O7667" t="s">
        <v>19</v>
      </c>
    </row>
    <row r="7668" spans="1:15" x14ac:dyDescent="0.25">
      <c r="A7668" t="s">
        <v>5378</v>
      </c>
      <c r="B7668" t="s">
        <v>15</v>
      </c>
      <c r="C7668" t="s">
        <v>25</v>
      </c>
      <c r="D7668" t="s">
        <v>17</v>
      </c>
      <c r="E7668" t="s">
        <v>18</v>
      </c>
      <c r="F7668" t="s">
        <v>19</v>
      </c>
      <c r="G7668" t="s">
        <v>20</v>
      </c>
      <c r="J7668" t="s">
        <v>17</v>
      </c>
      <c r="K7668" t="str">
        <f>"345309205"</f>
        <v>345309205</v>
      </c>
      <c r="L7668" t="str">
        <f>"345309205"</f>
        <v>345309205</v>
      </c>
      <c r="M7668" t="s">
        <v>75</v>
      </c>
      <c r="N7668" s="1">
        <v>42872.849305555559</v>
      </c>
      <c r="O7668" t="s">
        <v>19</v>
      </c>
    </row>
    <row r="7669" spans="1:15" x14ac:dyDescent="0.25">
      <c r="A7669" t="s">
        <v>5378</v>
      </c>
      <c r="B7669" t="s">
        <v>15</v>
      </c>
      <c r="C7669" t="s">
        <v>25</v>
      </c>
      <c r="D7669" t="s">
        <v>17</v>
      </c>
      <c r="E7669" t="s">
        <v>18</v>
      </c>
      <c r="F7669" t="s">
        <v>19</v>
      </c>
      <c r="G7669" t="s">
        <v>20</v>
      </c>
      <c r="J7669" t="s">
        <v>17</v>
      </c>
      <c r="K7669" t="str">
        <f>"763309205"</f>
        <v>763309205</v>
      </c>
      <c r="L7669" t="str">
        <f>"763309205"</f>
        <v>763309205</v>
      </c>
      <c r="M7669" t="s">
        <v>75</v>
      </c>
      <c r="N7669" s="1">
        <v>42872.849305555559</v>
      </c>
      <c r="O7669" t="s">
        <v>19</v>
      </c>
    </row>
    <row r="7670" spans="1:15" x14ac:dyDescent="0.25">
      <c r="A7670" t="s">
        <v>5379</v>
      </c>
      <c r="B7670" t="s">
        <v>15</v>
      </c>
      <c r="C7670" t="s">
        <v>25</v>
      </c>
      <c r="D7670" t="s">
        <v>17</v>
      </c>
      <c r="E7670" t="s">
        <v>18</v>
      </c>
      <c r="F7670" t="s">
        <v>19</v>
      </c>
      <c r="G7670" t="s">
        <v>20</v>
      </c>
      <c r="J7670" t="s">
        <v>17</v>
      </c>
      <c r="K7670" t="str">
        <f>"763309290"</f>
        <v>763309290</v>
      </c>
      <c r="L7670" t="str">
        <f>"763309290"</f>
        <v>763309290</v>
      </c>
      <c r="M7670" t="s">
        <v>75</v>
      </c>
      <c r="N7670" s="1">
        <v>42933.662499999999</v>
      </c>
      <c r="O7670" t="s">
        <v>19</v>
      </c>
    </row>
    <row r="7671" spans="1:15" x14ac:dyDescent="0.25">
      <c r="A7671" t="s">
        <v>5380</v>
      </c>
      <c r="B7671" t="s">
        <v>15</v>
      </c>
      <c r="C7671" t="s">
        <v>25</v>
      </c>
      <c r="D7671" t="s">
        <v>17</v>
      </c>
      <c r="E7671" t="s">
        <v>18</v>
      </c>
      <c r="F7671" t="s">
        <v>19</v>
      </c>
      <c r="G7671" t="s">
        <v>20</v>
      </c>
      <c r="J7671" t="s">
        <v>17</v>
      </c>
      <c r="K7671" t="str">
        <f>"343309221"</f>
        <v>343309221</v>
      </c>
      <c r="L7671" t="str">
        <f>"343309221"</f>
        <v>343309221</v>
      </c>
      <c r="M7671" t="s">
        <v>75</v>
      </c>
      <c r="N7671" s="1">
        <v>42872.849305555559</v>
      </c>
      <c r="O7671" t="s">
        <v>19</v>
      </c>
    </row>
    <row r="7672" spans="1:15" x14ac:dyDescent="0.25">
      <c r="A7672" t="s">
        <v>5380</v>
      </c>
      <c r="B7672" t="s">
        <v>15</v>
      </c>
      <c r="C7672" t="s">
        <v>25</v>
      </c>
      <c r="D7672" t="s">
        <v>17</v>
      </c>
      <c r="E7672" t="s">
        <v>18</v>
      </c>
      <c r="F7672" t="s">
        <v>19</v>
      </c>
      <c r="G7672" t="s">
        <v>20</v>
      </c>
      <c r="J7672" t="s">
        <v>17</v>
      </c>
      <c r="K7672" t="str">
        <f>"345309221"</f>
        <v>345309221</v>
      </c>
      <c r="L7672" t="str">
        <f>"345309221"</f>
        <v>345309221</v>
      </c>
      <c r="M7672" t="s">
        <v>75</v>
      </c>
      <c r="N7672" s="1">
        <v>42872.849305555559</v>
      </c>
      <c r="O7672" t="s">
        <v>19</v>
      </c>
    </row>
    <row r="7673" spans="1:15" x14ac:dyDescent="0.25">
      <c r="A7673" t="s">
        <v>5380</v>
      </c>
      <c r="B7673" t="s">
        <v>15</v>
      </c>
      <c r="C7673" t="s">
        <v>25</v>
      </c>
      <c r="D7673" t="s">
        <v>17</v>
      </c>
      <c r="E7673" t="s">
        <v>18</v>
      </c>
      <c r="F7673" t="s">
        <v>19</v>
      </c>
      <c r="G7673" t="s">
        <v>20</v>
      </c>
      <c r="J7673" t="s">
        <v>17</v>
      </c>
      <c r="K7673" t="str">
        <f>"763309221"</f>
        <v>763309221</v>
      </c>
      <c r="L7673" t="str">
        <f>"763309221"</f>
        <v>763309221</v>
      </c>
      <c r="M7673" t="s">
        <v>75</v>
      </c>
      <c r="N7673" s="1">
        <v>42872.849305555559</v>
      </c>
      <c r="O7673" t="s">
        <v>19</v>
      </c>
    </row>
    <row r="7674" spans="1:15" x14ac:dyDescent="0.25">
      <c r="A7674" t="s">
        <v>5380</v>
      </c>
      <c r="B7674" t="s">
        <v>15</v>
      </c>
      <c r="C7674" t="s">
        <v>25</v>
      </c>
      <c r="D7674" t="s">
        <v>17</v>
      </c>
      <c r="E7674" t="s">
        <v>18</v>
      </c>
      <c r="F7674" t="s">
        <v>19</v>
      </c>
      <c r="G7674" t="s">
        <v>20</v>
      </c>
      <c r="J7674" t="s">
        <v>17</v>
      </c>
      <c r="K7674" t="str">
        <f>"863309221"</f>
        <v>863309221</v>
      </c>
      <c r="L7674" t="str">
        <f>"863309221"</f>
        <v>863309221</v>
      </c>
      <c r="M7674" t="s">
        <v>75</v>
      </c>
      <c r="N7674" s="1">
        <v>42872.849305555559</v>
      </c>
      <c r="O7674" t="s">
        <v>19</v>
      </c>
    </row>
    <row r="7675" spans="1:15" x14ac:dyDescent="0.25">
      <c r="A7675" t="s">
        <v>5380</v>
      </c>
      <c r="B7675" t="s">
        <v>15</v>
      </c>
      <c r="C7675" t="s">
        <v>25</v>
      </c>
      <c r="D7675" t="s">
        <v>17</v>
      </c>
      <c r="E7675" t="s">
        <v>18</v>
      </c>
      <c r="F7675" t="s">
        <v>19</v>
      </c>
      <c r="G7675" t="s">
        <v>20</v>
      </c>
      <c r="J7675" t="s">
        <v>17</v>
      </c>
      <c r="K7675" t="str">
        <f>"173309221"</f>
        <v>173309221</v>
      </c>
      <c r="L7675" t="str">
        <f>"173309221"</f>
        <v>173309221</v>
      </c>
      <c r="M7675" t="s">
        <v>75</v>
      </c>
      <c r="N7675" s="1">
        <v>43096.72152777778</v>
      </c>
      <c r="O7675" t="s">
        <v>19</v>
      </c>
    </row>
    <row r="7676" spans="1:15" x14ac:dyDescent="0.25">
      <c r="A7676" t="s">
        <v>5380</v>
      </c>
      <c r="B7676" t="s">
        <v>15</v>
      </c>
      <c r="C7676" t="s">
        <v>25</v>
      </c>
      <c r="D7676" t="s">
        <v>17</v>
      </c>
      <c r="E7676" t="s">
        <v>18</v>
      </c>
      <c r="F7676" t="s">
        <v>19</v>
      </c>
      <c r="G7676" t="s">
        <v>20</v>
      </c>
      <c r="J7676" t="s">
        <v>17</v>
      </c>
      <c r="K7676" t="str">
        <f>"693309221"</f>
        <v>693309221</v>
      </c>
      <c r="L7676" t="str">
        <f>"693309221"</f>
        <v>693309221</v>
      </c>
      <c r="M7676" t="s">
        <v>84</v>
      </c>
      <c r="N7676" s="1">
        <v>43328.838888888888</v>
      </c>
      <c r="O7676" t="s">
        <v>19</v>
      </c>
    </row>
    <row r="7677" spans="1:15" x14ac:dyDescent="0.25">
      <c r="A7677" t="s">
        <v>5381</v>
      </c>
      <c r="B7677" t="s">
        <v>15</v>
      </c>
      <c r="C7677" t="s">
        <v>25</v>
      </c>
      <c r="D7677" t="s">
        <v>17</v>
      </c>
      <c r="E7677" t="s">
        <v>18</v>
      </c>
      <c r="F7677" t="s">
        <v>19</v>
      </c>
      <c r="G7677" t="s">
        <v>20</v>
      </c>
      <c r="J7677" t="s">
        <v>17</v>
      </c>
      <c r="K7677" t="str">
        <f>"763309293"</f>
        <v>763309293</v>
      </c>
      <c r="L7677" t="str">
        <f>"763309293"</f>
        <v>763309293</v>
      </c>
      <c r="M7677" t="s">
        <v>75</v>
      </c>
      <c r="N7677" s="1">
        <v>42959.742361111108</v>
      </c>
      <c r="O7677" t="s">
        <v>19</v>
      </c>
    </row>
    <row r="7678" spans="1:15" x14ac:dyDescent="0.25">
      <c r="A7678" t="s">
        <v>5381</v>
      </c>
      <c r="B7678" t="s">
        <v>15</v>
      </c>
      <c r="C7678" t="s">
        <v>25</v>
      </c>
      <c r="D7678" t="s">
        <v>17</v>
      </c>
      <c r="E7678" t="s">
        <v>18</v>
      </c>
      <c r="F7678" t="s">
        <v>19</v>
      </c>
      <c r="G7678" t="s">
        <v>20</v>
      </c>
      <c r="J7678" t="s">
        <v>17</v>
      </c>
      <c r="K7678" t="str">
        <f>"173309293"</f>
        <v>173309293</v>
      </c>
      <c r="L7678" t="str">
        <f>"173309293"</f>
        <v>173309293</v>
      </c>
      <c r="M7678" t="s">
        <v>75</v>
      </c>
      <c r="N7678" s="1">
        <v>43131.929166666669</v>
      </c>
      <c r="O7678" t="s">
        <v>19</v>
      </c>
    </row>
    <row r="7679" spans="1:15" x14ac:dyDescent="0.25">
      <c r="A7679" t="s">
        <v>5381</v>
      </c>
      <c r="B7679" t="s">
        <v>15</v>
      </c>
      <c r="C7679" t="s">
        <v>25</v>
      </c>
      <c r="D7679" t="s">
        <v>17</v>
      </c>
      <c r="E7679" t="s">
        <v>18</v>
      </c>
      <c r="F7679" t="s">
        <v>19</v>
      </c>
      <c r="G7679" t="s">
        <v>20</v>
      </c>
      <c r="J7679" t="s">
        <v>17</v>
      </c>
      <c r="K7679" t="str">
        <f>"765309293"</f>
        <v>765309293</v>
      </c>
      <c r="L7679" t="str">
        <f>"765309293"</f>
        <v>765309293</v>
      </c>
      <c r="M7679" t="s">
        <v>75</v>
      </c>
      <c r="N7679" s="1">
        <v>43231.654166666667</v>
      </c>
      <c r="O7679" t="s">
        <v>19</v>
      </c>
    </row>
    <row r="7680" spans="1:15" x14ac:dyDescent="0.25">
      <c r="A7680" t="s">
        <v>5382</v>
      </c>
      <c r="B7680" t="s">
        <v>15</v>
      </c>
      <c r="C7680" t="s">
        <v>25</v>
      </c>
      <c r="D7680" t="s">
        <v>17</v>
      </c>
      <c r="E7680" t="s">
        <v>18</v>
      </c>
      <c r="F7680" t="s">
        <v>19</v>
      </c>
      <c r="G7680" t="s">
        <v>20</v>
      </c>
      <c r="J7680" t="s">
        <v>17</v>
      </c>
      <c r="K7680" t="str">
        <f>"763309327"</f>
        <v>763309327</v>
      </c>
      <c r="L7680" t="str">
        <f>"763309327"</f>
        <v>763309327</v>
      </c>
      <c r="M7680" t="s">
        <v>84</v>
      </c>
      <c r="N7680" s="1">
        <v>43370.911805555559</v>
      </c>
      <c r="O7680" t="s">
        <v>19</v>
      </c>
    </row>
    <row r="7681" spans="1:15" x14ac:dyDescent="0.25">
      <c r="A7681" t="s">
        <v>5383</v>
      </c>
      <c r="B7681" t="s">
        <v>15</v>
      </c>
      <c r="C7681" t="s">
        <v>25</v>
      </c>
      <c r="D7681" t="s">
        <v>17</v>
      </c>
      <c r="E7681" t="s">
        <v>18</v>
      </c>
      <c r="F7681" t="s">
        <v>19</v>
      </c>
      <c r="G7681" t="s">
        <v>20</v>
      </c>
      <c r="J7681" t="s">
        <v>17</v>
      </c>
      <c r="K7681" t="str">
        <f>"763309291"</f>
        <v>763309291</v>
      </c>
      <c r="L7681" t="str">
        <f>"763309291"</f>
        <v>763309291</v>
      </c>
      <c r="M7681" t="s">
        <v>75</v>
      </c>
      <c r="N7681" s="1">
        <v>42933.663888888892</v>
      </c>
      <c r="O7681" t="s">
        <v>19</v>
      </c>
    </row>
    <row r="7682" spans="1:15" x14ac:dyDescent="0.25">
      <c r="A7682" t="s">
        <v>5383</v>
      </c>
      <c r="B7682" t="s">
        <v>15</v>
      </c>
      <c r="C7682" t="s">
        <v>25</v>
      </c>
      <c r="D7682" t="s">
        <v>17</v>
      </c>
      <c r="E7682" t="s">
        <v>18</v>
      </c>
      <c r="F7682" t="s">
        <v>19</v>
      </c>
      <c r="G7682" t="s">
        <v>20</v>
      </c>
      <c r="J7682" t="s">
        <v>17</v>
      </c>
      <c r="K7682" t="str">
        <f>"765309291"</f>
        <v>765309291</v>
      </c>
      <c r="L7682" t="str">
        <f>"765309291"</f>
        <v>765309291</v>
      </c>
      <c r="M7682" t="s">
        <v>84</v>
      </c>
      <c r="N7682" s="1">
        <v>43259.625694444447</v>
      </c>
      <c r="O7682" t="s">
        <v>19</v>
      </c>
    </row>
    <row r="7683" spans="1:15" x14ac:dyDescent="0.25">
      <c r="A7683" t="s">
        <v>5383</v>
      </c>
      <c r="B7683" t="s">
        <v>15</v>
      </c>
      <c r="C7683" t="s">
        <v>25</v>
      </c>
      <c r="D7683" t="s">
        <v>17</v>
      </c>
      <c r="E7683" t="s">
        <v>18</v>
      </c>
      <c r="F7683" t="s">
        <v>19</v>
      </c>
      <c r="G7683" t="s">
        <v>20</v>
      </c>
      <c r="J7683" t="s">
        <v>17</v>
      </c>
      <c r="K7683" t="str">
        <f>"863309291"</f>
        <v>863309291</v>
      </c>
      <c r="L7683" t="str">
        <f>"863309291"</f>
        <v>863309291</v>
      </c>
      <c r="M7683" t="s">
        <v>84</v>
      </c>
      <c r="N7683" s="1">
        <v>43367.678472222222</v>
      </c>
      <c r="O7683" t="s">
        <v>19</v>
      </c>
    </row>
    <row r="7684" spans="1:15" x14ac:dyDescent="0.25">
      <c r="A7684" t="s">
        <v>5383</v>
      </c>
      <c r="B7684" t="s">
        <v>15</v>
      </c>
      <c r="C7684" t="s">
        <v>25</v>
      </c>
      <c r="D7684" t="s">
        <v>17</v>
      </c>
      <c r="E7684" t="s">
        <v>18</v>
      </c>
      <c r="F7684" t="s">
        <v>19</v>
      </c>
      <c r="G7684" t="s">
        <v>20</v>
      </c>
      <c r="J7684" t="s">
        <v>17</v>
      </c>
      <c r="K7684" t="str">
        <f>"683309291"</f>
        <v>683309291</v>
      </c>
      <c r="L7684" t="str">
        <f>"683309291"</f>
        <v>683309291</v>
      </c>
      <c r="M7684" t="s">
        <v>84</v>
      </c>
      <c r="N7684" s="1">
        <v>43545.777777777781</v>
      </c>
      <c r="O7684" t="s">
        <v>19</v>
      </c>
    </row>
    <row r="7685" spans="1:15" x14ac:dyDescent="0.25">
      <c r="A7685" t="s">
        <v>5383</v>
      </c>
      <c r="B7685" t="s">
        <v>15</v>
      </c>
      <c r="C7685" t="s">
        <v>25</v>
      </c>
      <c r="D7685" t="s">
        <v>17</v>
      </c>
      <c r="E7685" t="s">
        <v>18</v>
      </c>
      <c r="F7685" t="s">
        <v>19</v>
      </c>
      <c r="G7685" t="s">
        <v>20</v>
      </c>
      <c r="J7685" t="s">
        <v>17</v>
      </c>
      <c r="K7685" t="str">
        <f>"183309291"</f>
        <v>183309291</v>
      </c>
      <c r="L7685" t="str">
        <f>"183309291"</f>
        <v>183309291</v>
      </c>
      <c r="M7685" t="s">
        <v>21</v>
      </c>
      <c r="N7685" s="1">
        <v>43595.920138888891</v>
      </c>
      <c r="O7685" t="s">
        <v>19</v>
      </c>
    </row>
    <row r="7686" spans="1:15" x14ac:dyDescent="0.25">
      <c r="A7686" t="s">
        <v>5384</v>
      </c>
      <c r="B7686" t="s">
        <v>15</v>
      </c>
      <c r="C7686" t="s">
        <v>25</v>
      </c>
      <c r="D7686" t="s">
        <v>17</v>
      </c>
      <c r="E7686" t="s">
        <v>18</v>
      </c>
      <c r="F7686" t="s">
        <v>19</v>
      </c>
      <c r="G7686" t="s">
        <v>20</v>
      </c>
      <c r="J7686" t="s">
        <v>17</v>
      </c>
      <c r="K7686" t="str">
        <f>"763309334"</f>
        <v>763309334</v>
      </c>
      <c r="L7686" t="str">
        <f>"763309334"</f>
        <v>763309334</v>
      </c>
      <c r="M7686" t="s">
        <v>21</v>
      </c>
      <c r="N7686" s="1">
        <v>43798.679861111108</v>
      </c>
      <c r="O7686" t="s">
        <v>19</v>
      </c>
    </row>
    <row r="7687" spans="1:15" x14ac:dyDescent="0.25">
      <c r="A7687" t="s">
        <v>5385</v>
      </c>
      <c r="B7687" t="s">
        <v>15</v>
      </c>
      <c r="C7687" t="s">
        <v>25</v>
      </c>
      <c r="D7687" t="s">
        <v>17</v>
      </c>
      <c r="E7687" t="s">
        <v>18</v>
      </c>
      <c r="F7687" t="s">
        <v>19</v>
      </c>
      <c r="G7687" t="s">
        <v>20</v>
      </c>
      <c r="J7687" t="s">
        <v>17</v>
      </c>
      <c r="K7687" t="str">
        <f>"345309214"</f>
        <v>345309214</v>
      </c>
      <c r="L7687" t="str">
        <f>"345309214"</f>
        <v>345309214</v>
      </c>
      <c r="M7687" t="s">
        <v>75</v>
      </c>
      <c r="N7687" s="1">
        <v>42872.849305555559</v>
      </c>
      <c r="O7687" t="s">
        <v>19</v>
      </c>
    </row>
    <row r="7688" spans="1:15" x14ac:dyDescent="0.25">
      <c r="A7688" t="s">
        <v>5385</v>
      </c>
      <c r="B7688" t="s">
        <v>15</v>
      </c>
      <c r="C7688" t="s">
        <v>25</v>
      </c>
      <c r="D7688" t="s">
        <v>17</v>
      </c>
      <c r="E7688" t="s">
        <v>18</v>
      </c>
      <c r="F7688" t="s">
        <v>19</v>
      </c>
      <c r="G7688" t="s">
        <v>20</v>
      </c>
      <c r="J7688" t="s">
        <v>17</v>
      </c>
      <c r="K7688" t="str">
        <f>"763309214"</f>
        <v>763309214</v>
      </c>
      <c r="L7688" t="str">
        <f>"763309214"</f>
        <v>763309214</v>
      </c>
      <c r="M7688" t="s">
        <v>75</v>
      </c>
      <c r="N7688" s="1">
        <v>42872.849305555559</v>
      </c>
      <c r="O7688" t="s">
        <v>19</v>
      </c>
    </row>
    <row r="7689" spans="1:15" x14ac:dyDescent="0.25">
      <c r="A7689" t="s">
        <v>5386</v>
      </c>
      <c r="B7689" t="s">
        <v>15</v>
      </c>
      <c r="C7689" t="s">
        <v>25</v>
      </c>
      <c r="D7689" t="s">
        <v>17</v>
      </c>
      <c r="E7689" t="s">
        <v>18</v>
      </c>
      <c r="F7689" t="s">
        <v>19</v>
      </c>
      <c r="G7689" t="s">
        <v>20</v>
      </c>
      <c r="J7689" t="s">
        <v>17</v>
      </c>
      <c r="K7689" t="str">
        <f>"345309258"</f>
        <v>345309258</v>
      </c>
      <c r="L7689" t="str">
        <f>"345309258"</f>
        <v>345309258</v>
      </c>
      <c r="M7689" t="s">
        <v>75</v>
      </c>
      <c r="N7689" s="1">
        <v>42872.849305555559</v>
      </c>
      <c r="O7689" t="s">
        <v>19</v>
      </c>
    </row>
    <row r="7690" spans="1:15" x14ac:dyDescent="0.25">
      <c r="A7690" t="s">
        <v>5386</v>
      </c>
      <c r="B7690" t="s">
        <v>15</v>
      </c>
      <c r="C7690" t="s">
        <v>25</v>
      </c>
      <c r="D7690" t="s">
        <v>17</v>
      </c>
      <c r="E7690" t="s">
        <v>18</v>
      </c>
      <c r="F7690" t="s">
        <v>19</v>
      </c>
      <c r="G7690" t="s">
        <v>20</v>
      </c>
      <c r="J7690" t="s">
        <v>17</v>
      </c>
      <c r="K7690" t="str">
        <f>"765309258"</f>
        <v>765309258</v>
      </c>
      <c r="L7690" t="str">
        <f>"765309258"</f>
        <v>765309258</v>
      </c>
      <c r="M7690" t="s">
        <v>75</v>
      </c>
      <c r="N7690" s="1">
        <v>42872.849305555559</v>
      </c>
      <c r="O7690" t="s">
        <v>19</v>
      </c>
    </row>
    <row r="7691" spans="1:15" x14ac:dyDescent="0.25">
      <c r="A7691" t="s">
        <v>5386</v>
      </c>
      <c r="B7691" t="s">
        <v>15</v>
      </c>
      <c r="C7691" t="s">
        <v>25</v>
      </c>
      <c r="D7691" t="s">
        <v>17</v>
      </c>
      <c r="E7691" t="s">
        <v>18</v>
      </c>
      <c r="F7691" t="s">
        <v>19</v>
      </c>
      <c r="G7691" t="s">
        <v>20</v>
      </c>
      <c r="J7691" t="s">
        <v>17</v>
      </c>
      <c r="K7691" t="str">
        <f>"763309258"</f>
        <v>763309258</v>
      </c>
      <c r="L7691" t="str">
        <f>"763309258"</f>
        <v>763309258</v>
      </c>
      <c r="M7691" t="s">
        <v>75</v>
      </c>
      <c r="N7691" s="1">
        <v>43033.847916666666</v>
      </c>
      <c r="O7691" t="s">
        <v>19</v>
      </c>
    </row>
    <row r="7692" spans="1:15" x14ac:dyDescent="0.25">
      <c r="A7692" t="s">
        <v>5387</v>
      </c>
      <c r="B7692" t="s">
        <v>15</v>
      </c>
      <c r="C7692" t="s">
        <v>25</v>
      </c>
      <c r="D7692" t="s">
        <v>17</v>
      </c>
      <c r="E7692" t="s">
        <v>18</v>
      </c>
      <c r="F7692" t="s">
        <v>19</v>
      </c>
      <c r="G7692" t="s">
        <v>20</v>
      </c>
      <c r="J7692" t="s">
        <v>17</v>
      </c>
      <c r="K7692" t="str">
        <f>"183309213"</f>
        <v>183309213</v>
      </c>
      <c r="L7692" t="str">
        <f>"183309213"</f>
        <v>183309213</v>
      </c>
      <c r="M7692" t="s">
        <v>75</v>
      </c>
      <c r="N7692" s="1">
        <v>42872.849305555559</v>
      </c>
      <c r="O7692" t="s">
        <v>19</v>
      </c>
    </row>
    <row r="7693" spans="1:15" x14ac:dyDescent="0.25">
      <c r="A7693" t="s">
        <v>5387</v>
      </c>
      <c r="B7693" t="s">
        <v>15</v>
      </c>
      <c r="C7693" t="s">
        <v>25</v>
      </c>
      <c r="D7693" t="s">
        <v>17</v>
      </c>
      <c r="E7693" t="s">
        <v>18</v>
      </c>
      <c r="F7693" t="s">
        <v>19</v>
      </c>
      <c r="G7693" t="s">
        <v>20</v>
      </c>
      <c r="J7693" t="s">
        <v>17</v>
      </c>
      <c r="K7693" t="str">
        <f>"343309213"</f>
        <v>343309213</v>
      </c>
      <c r="L7693" t="str">
        <f>"343309213"</f>
        <v>343309213</v>
      </c>
      <c r="M7693" t="s">
        <v>75</v>
      </c>
      <c r="N7693" s="1">
        <v>42872.849305555559</v>
      </c>
      <c r="O7693" t="s">
        <v>19</v>
      </c>
    </row>
    <row r="7694" spans="1:15" x14ac:dyDescent="0.25">
      <c r="A7694" t="s">
        <v>5387</v>
      </c>
      <c r="B7694" t="s">
        <v>15</v>
      </c>
      <c r="C7694" t="s">
        <v>25</v>
      </c>
      <c r="D7694" t="s">
        <v>17</v>
      </c>
      <c r="E7694" t="s">
        <v>18</v>
      </c>
      <c r="F7694" t="s">
        <v>19</v>
      </c>
      <c r="G7694" t="s">
        <v>20</v>
      </c>
      <c r="J7694" t="s">
        <v>17</v>
      </c>
      <c r="K7694" t="str">
        <f>"345309213"</f>
        <v>345309213</v>
      </c>
      <c r="L7694" t="str">
        <f>"345309213"</f>
        <v>345309213</v>
      </c>
      <c r="M7694" t="s">
        <v>75</v>
      </c>
      <c r="N7694" s="1">
        <v>42872.849305555559</v>
      </c>
      <c r="O7694" t="s">
        <v>19</v>
      </c>
    </row>
    <row r="7695" spans="1:15" x14ac:dyDescent="0.25">
      <c r="A7695" t="s">
        <v>5387</v>
      </c>
      <c r="B7695" t="s">
        <v>15</v>
      </c>
      <c r="C7695" t="s">
        <v>25</v>
      </c>
      <c r="D7695" t="s">
        <v>17</v>
      </c>
      <c r="E7695" t="s">
        <v>18</v>
      </c>
      <c r="F7695" t="s">
        <v>19</v>
      </c>
      <c r="G7695" t="s">
        <v>20</v>
      </c>
      <c r="J7695" t="s">
        <v>17</v>
      </c>
      <c r="K7695" t="str">
        <f>"763309213"</f>
        <v>763309213</v>
      </c>
      <c r="L7695" t="str">
        <f>"763309213"</f>
        <v>763309213</v>
      </c>
      <c r="M7695" t="s">
        <v>75</v>
      </c>
      <c r="N7695" s="1">
        <v>42872.849305555559</v>
      </c>
      <c r="O7695" t="s">
        <v>19</v>
      </c>
    </row>
    <row r="7696" spans="1:15" x14ac:dyDescent="0.25">
      <c r="A7696" t="s">
        <v>5387</v>
      </c>
      <c r="B7696" t="s">
        <v>15</v>
      </c>
      <c r="C7696" t="s">
        <v>25</v>
      </c>
      <c r="D7696" t="s">
        <v>17</v>
      </c>
      <c r="E7696" t="s">
        <v>18</v>
      </c>
      <c r="F7696" t="s">
        <v>19</v>
      </c>
      <c r="G7696" t="s">
        <v>20</v>
      </c>
      <c r="J7696" t="s">
        <v>17</v>
      </c>
      <c r="K7696" t="str">
        <f>"765309213"</f>
        <v>765309213</v>
      </c>
      <c r="L7696" t="str">
        <f>"765309213"</f>
        <v>765309213</v>
      </c>
      <c r="M7696" t="s">
        <v>75</v>
      </c>
      <c r="N7696" s="1">
        <v>42872.849305555559</v>
      </c>
      <c r="O7696" t="s">
        <v>19</v>
      </c>
    </row>
    <row r="7697" spans="1:15" x14ac:dyDescent="0.25">
      <c r="A7697" t="s">
        <v>5388</v>
      </c>
      <c r="B7697" t="s">
        <v>15</v>
      </c>
      <c r="C7697" t="s">
        <v>25</v>
      </c>
      <c r="D7697" t="s">
        <v>17</v>
      </c>
      <c r="E7697" t="s">
        <v>18</v>
      </c>
      <c r="F7697" t="s">
        <v>19</v>
      </c>
      <c r="G7697" t="s">
        <v>20</v>
      </c>
      <c r="J7697" t="s">
        <v>17</v>
      </c>
      <c r="K7697" t="str">
        <f>"683309215"</f>
        <v>683309215</v>
      </c>
      <c r="L7697" t="str">
        <f>"683309215"</f>
        <v>683309215</v>
      </c>
      <c r="M7697" t="s">
        <v>75</v>
      </c>
      <c r="N7697" s="1">
        <v>43007.696527777778</v>
      </c>
      <c r="O7697" t="s">
        <v>19</v>
      </c>
    </row>
    <row r="7698" spans="1:15" x14ac:dyDescent="0.25">
      <c r="A7698" t="s">
        <v>5388</v>
      </c>
      <c r="B7698" t="s">
        <v>15</v>
      </c>
      <c r="C7698" t="s">
        <v>25</v>
      </c>
      <c r="D7698" t="s">
        <v>17</v>
      </c>
      <c r="E7698" t="s">
        <v>18</v>
      </c>
      <c r="F7698" t="s">
        <v>19</v>
      </c>
      <c r="G7698" t="s">
        <v>20</v>
      </c>
      <c r="J7698" t="s">
        <v>17</v>
      </c>
      <c r="K7698" t="str">
        <f>"763309215"</f>
        <v>763309215</v>
      </c>
      <c r="L7698" t="str">
        <f>"763309215"</f>
        <v>763309215</v>
      </c>
      <c r="M7698" t="s">
        <v>75</v>
      </c>
      <c r="N7698" s="1">
        <v>43112.986805555556</v>
      </c>
      <c r="O7698" t="s">
        <v>19</v>
      </c>
    </row>
    <row r="7699" spans="1:15" x14ac:dyDescent="0.25">
      <c r="A7699" t="s">
        <v>5388</v>
      </c>
      <c r="B7699" t="s">
        <v>15</v>
      </c>
      <c r="C7699" t="s">
        <v>25</v>
      </c>
      <c r="D7699" t="s">
        <v>17</v>
      </c>
      <c r="E7699" t="s">
        <v>18</v>
      </c>
      <c r="F7699" t="s">
        <v>19</v>
      </c>
      <c r="G7699" t="s">
        <v>20</v>
      </c>
      <c r="J7699" t="s">
        <v>17</v>
      </c>
      <c r="K7699" t="str">
        <f>"765309215"</f>
        <v>765309215</v>
      </c>
      <c r="L7699" t="str">
        <f>"765309215"</f>
        <v>765309215</v>
      </c>
      <c r="M7699" t="s">
        <v>84</v>
      </c>
      <c r="N7699" s="1">
        <v>43259.626388888886</v>
      </c>
      <c r="O7699" t="s">
        <v>19</v>
      </c>
    </row>
    <row r="7700" spans="1:15" x14ac:dyDescent="0.25">
      <c r="A7700" t="s">
        <v>5388</v>
      </c>
      <c r="B7700" t="s">
        <v>15</v>
      </c>
      <c r="C7700" t="s">
        <v>25</v>
      </c>
      <c r="D7700" t="s">
        <v>17</v>
      </c>
      <c r="E7700" t="s">
        <v>18</v>
      </c>
      <c r="F7700" t="s">
        <v>19</v>
      </c>
      <c r="G7700" t="s">
        <v>20</v>
      </c>
      <c r="J7700" t="s">
        <v>17</v>
      </c>
      <c r="K7700" t="str">
        <f>"693309215"</f>
        <v>693309215</v>
      </c>
      <c r="L7700" t="str">
        <f>"693309215"</f>
        <v>693309215</v>
      </c>
      <c r="M7700" t="s">
        <v>84</v>
      </c>
      <c r="N7700" s="1">
        <v>43336.836111111108</v>
      </c>
      <c r="O7700" t="s">
        <v>19</v>
      </c>
    </row>
    <row r="7701" spans="1:15" x14ac:dyDescent="0.25">
      <c r="A7701" t="s">
        <v>5388</v>
      </c>
      <c r="B7701" t="s">
        <v>15</v>
      </c>
      <c r="C7701" t="s">
        <v>25</v>
      </c>
      <c r="D7701" t="s">
        <v>17</v>
      </c>
      <c r="E7701" t="s">
        <v>18</v>
      </c>
      <c r="F7701" t="s">
        <v>19</v>
      </c>
      <c r="G7701" t="s">
        <v>20</v>
      </c>
      <c r="J7701" t="s">
        <v>17</v>
      </c>
      <c r="K7701" t="str">
        <f>"863309215"</f>
        <v>863309215</v>
      </c>
      <c r="L7701" t="str">
        <f>"863309215"</f>
        <v>863309215</v>
      </c>
      <c r="M7701" t="s">
        <v>84</v>
      </c>
      <c r="N7701" s="1">
        <v>43367.678472222222</v>
      </c>
      <c r="O7701" t="s">
        <v>19</v>
      </c>
    </row>
    <row r="7702" spans="1:15" x14ac:dyDescent="0.25">
      <c r="A7702" t="s">
        <v>5389</v>
      </c>
      <c r="B7702" t="s">
        <v>15</v>
      </c>
      <c r="C7702" t="s">
        <v>25</v>
      </c>
      <c r="D7702" t="s">
        <v>17</v>
      </c>
      <c r="E7702" t="s">
        <v>18</v>
      </c>
      <c r="F7702" t="s">
        <v>19</v>
      </c>
      <c r="G7702" t="s">
        <v>20</v>
      </c>
      <c r="J7702" t="s">
        <v>17</v>
      </c>
      <c r="K7702" t="str">
        <f>"683309330"</f>
        <v>683309330</v>
      </c>
      <c r="L7702" t="str">
        <f>"683309330"</f>
        <v>683309330</v>
      </c>
      <c r="M7702" t="s">
        <v>84</v>
      </c>
      <c r="N7702" s="1">
        <v>43420.620833333334</v>
      </c>
      <c r="O7702" t="s">
        <v>19</v>
      </c>
    </row>
    <row r="7703" spans="1:15" x14ac:dyDescent="0.25">
      <c r="A7703" t="s">
        <v>5389</v>
      </c>
      <c r="B7703" t="s">
        <v>15</v>
      </c>
      <c r="C7703" t="s">
        <v>25</v>
      </c>
      <c r="D7703" t="s">
        <v>17</v>
      </c>
      <c r="E7703" t="s">
        <v>18</v>
      </c>
      <c r="F7703" t="s">
        <v>19</v>
      </c>
      <c r="G7703" t="s">
        <v>20</v>
      </c>
      <c r="J7703" t="s">
        <v>17</v>
      </c>
      <c r="K7703" t="str">
        <f>"763309330"</f>
        <v>763309330</v>
      </c>
      <c r="L7703" t="str">
        <f>"763309330"</f>
        <v>763309330</v>
      </c>
      <c r="M7703" t="s">
        <v>21</v>
      </c>
      <c r="N7703" s="1">
        <v>43798.678472222222</v>
      </c>
      <c r="O7703" t="s">
        <v>19</v>
      </c>
    </row>
    <row r="7704" spans="1:15" x14ac:dyDescent="0.25">
      <c r="A7704" t="s">
        <v>5390</v>
      </c>
      <c r="B7704" t="s">
        <v>15</v>
      </c>
      <c r="C7704" t="s">
        <v>25</v>
      </c>
      <c r="D7704" t="s">
        <v>17</v>
      </c>
      <c r="E7704" t="s">
        <v>18</v>
      </c>
      <c r="F7704" t="s">
        <v>19</v>
      </c>
      <c r="G7704" t="s">
        <v>20</v>
      </c>
      <c r="J7704" t="s">
        <v>17</v>
      </c>
      <c r="K7704" t="str">
        <f>"763309329"</f>
        <v>763309329</v>
      </c>
      <c r="L7704" t="str">
        <f>"763309329"</f>
        <v>763309329</v>
      </c>
      <c r="M7704" t="s">
        <v>84</v>
      </c>
      <c r="N7704" s="1">
        <v>43545.659722222219</v>
      </c>
      <c r="O7704" t="s">
        <v>19</v>
      </c>
    </row>
    <row r="7705" spans="1:15" x14ac:dyDescent="0.25">
      <c r="A7705" t="s">
        <v>5391</v>
      </c>
      <c r="B7705" t="s">
        <v>15</v>
      </c>
      <c r="C7705" t="s">
        <v>25</v>
      </c>
      <c r="D7705" t="s">
        <v>17</v>
      </c>
      <c r="E7705" t="s">
        <v>18</v>
      </c>
      <c r="F7705" t="s">
        <v>19</v>
      </c>
      <c r="G7705" t="s">
        <v>20</v>
      </c>
      <c r="J7705" t="s">
        <v>17</v>
      </c>
      <c r="K7705" t="str">
        <f>"34530990"</f>
        <v>34530990</v>
      </c>
      <c r="L7705" t="str">
        <f>"34530990"</f>
        <v>34530990</v>
      </c>
      <c r="M7705" t="s">
        <v>75</v>
      </c>
      <c r="N7705" s="1">
        <v>42872.839583333334</v>
      </c>
      <c r="O7705" t="s">
        <v>19</v>
      </c>
    </row>
    <row r="7706" spans="1:15" x14ac:dyDescent="0.25">
      <c r="A7706" t="s">
        <v>5392</v>
      </c>
      <c r="B7706" t="s">
        <v>15</v>
      </c>
      <c r="C7706" t="s">
        <v>25</v>
      </c>
      <c r="D7706" t="s">
        <v>17</v>
      </c>
      <c r="E7706" t="s">
        <v>18</v>
      </c>
      <c r="F7706" t="s">
        <v>19</v>
      </c>
      <c r="G7706" t="s">
        <v>20</v>
      </c>
      <c r="J7706" t="s">
        <v>17</v>
      </c>
      <c r="K7706" t="str">
        <f>"345309107"</f>
        <v>345309107</v>
      </c>
      <c r="L7706" t="str">
        <f>"345309107"</f>
        <v>345309107</v>
      </c>
      <c r="M7706" t="s">
        <v>75</v>
      </c>
      <c r="N7706" s="1">
        <v>42872.849305555559</v>
      </c>
      <c r="O7706" t="s">
        <v>19</v>
      </c>
    </row>
    <row r="7707" spans="1:15" x14ac:dyDescent="0.25">
      <c r="A7707" t="s">
        <v>5392</v>
      </c>
      <c r="B7707" t="s">
        <v>15</v>
      </c>
      <c r="C7707" t="s">
        <v>25</v>
      </c>
      <c r="D7707" t="s">
        <v>17</v>
      </c>
      <c r="E7707" t="s">
        <v>18</v>
      </c>
      <c r="F7707" t="s">
        <v>19</v>
      </c>
      <c r="G7707" t="s">
        <v>20</v>
      </c>
      <c r="J7707" t="s">
        <v>17</v>
      </c>
      <c r="K7707" t="str">
        <f>"765309107"</f>
        <v>765309107</v>
      </c>
      <c r="L7707" t="str">
        <f>"765309107"</f>
        <v>765309107</v>
      </c>
      <c r="M7707" t="s">
        <v>75</v>
      </c>
      <c r="N7707" s="1">
        <v>42872.849305555559</v>
      </c>
      <c r="O7707" t="s">
        <v>19</v>
      </c>
    </row>
    <row r="7708" spans="1:15" x14ac:dyDescent="0.25">
      <c r="A7708" t="s">
        <v>5393</v>
      </c>
      <c r="B7708" t="s">
        <v>15</v>
      </c>
      <c r="C7708" t="s">
        <v>25</v>
      </c>
      <c r="D7708" t="s">
        <v>17</v>
      </c>
      <c r="E7708" t="s">
        <v>18</v>
      </c>
      <c r="F7708" t="s">
        <v>19</v>
      </c>
      <c r="G7708" t="s">
        <v>20</v>
      </c>
      <c r="J7708" t="s">
        <v>17</v>
      </c>
      <c r="K7708" t="str">
        <f>"34530971"</f>
        <v>34530971</v>
      </c>
      <c r="L7708" t="str">
        <f>"34530971"</f>
        <v>34530971</v>
      </c>
      <c r="M7708" t="s">
        <v>75</v>
      </c>
      <c r="N7708" s="1">
        <v>42872.839583333334</v>
      </c>
      <c r="O7708" t="s">
        <v>19</v>
      </c>
    </row>
    <row r="7709" spans="1:15" x14ac:dyDescent="0.25">
      <c r="A7709" t="s">
        <v>5393</v>
      </c>
      <c r="B7709" t="s">
        <v>15</v>
      </c>
      <c r="C7709" t="s">
        <v>25</v>
      </c>
      <c r="D7709" t="s">
        <v>17</v>
      </c>
      <c r="E7709" t="s">
        <v>18</v>
      </c>
      <c r="F7709" t="s">
        <v>19</v>
      </c>
      <c r="G7709" t="s">
        <v>20</v>
      </c>
      <c r="J7709" t="s">
        <v>17</v>
      </c>
      <c r="K7709" t="str">
        <f>"76530971"</f>
        <v>76530971</v>
      </c>
      <c r="L7709" t="str">
        <f>"76530971"</f>
        <v>76530971</v>
      </c>
      <c r="M7709" t="s">
        <v>75</v>
      </c>
      <c r="N7709" s="1">
        <v>42872.847222222219</v>
      </c>
      <c r="O7709" t="s">
        <v>19</v>
      </c>
    </row>
    <row r="7710" spans="1:15" x14ac:dyDescent="0.25">
      <c r="A7710" t="s">
        <v>5394</v>
      </c>
      <c r="B7710" t="s">
        <v>15</v>
      </c>
      <c r="C7710" t="s">
        <v>25</v>
      </c>
      <c r="D7710" t="s">
        <v>17</v>
      </c>
      <c r="E7710" t="s">
        <v>18</v>
      </c>
      <c r="F7710" t="s">
        <v>19</v>
      </c>
      <c r="G7710" t="s">
        <v>20</v>
      </c>
      <c r="J7710" t="s">
        <v>17</v>
      </c>
      <c r="K7710" t="str">
        <f>"765309110"</f>
        <v>765309110</v>
      </c>
      <c r="L7710" t="str">
        <f>"765309110"</f>
        <v>765309110</v>
      </c>
      <c r="M7710" t="s">
        <v>75</v>
      </c>
      <c r="N7710" s="1">
        <v>42872.849305555559</v>
      </c>
      <c r="O7710" t="s">
        <v>19</v>
      </c>
    </row>
    <row r="7711" spans="1:15" x14ac:dyDescent="0.25">
      <c r="A7711" t="s">
        <v>5395</v>
      </c>
      <c r="B7711" t="s">
        <v>15</v>
      </c>
      <c r="C7711" t="s">
        <v>25</v>
      </c>
      <c r="D7711" t="s">
        <v>17</v>
      </c>
      <c r="E7711" t="s">
        <v>18</v>
      </c>
      <c r="F7711" t="s">
        <v>19</v>
      </c>
      <c r="G7711" t="s">
        <v>20</v>
      </c>
      <c r="J7711" t="s">
        <v>17</v>
      </c>
      <c r="K7711" t="str">
        <f>"32530990"</f>
        <v>32530990</v>
      </c>
      <c r="L7711" t="str">
        <f>"32530990"</f>
        <v>32530990</v>
      </c>
      <c r="M7711" t="s">
        <v>75</v>
      </c>
      <c r="N7711" s="1">
        <v>42872.839583333334</v>
      </c>
      <c r="O7711" t="s">
        <v>19</v>
      </c>
    </row>
    <row r="7712" spans="1:15" x14ac:dyDescent="0.25">
      <c r="A7712" t="s">
        <v>5396</v>
      </c>
      <c r="B7712" t="s">
        <v>15</v>
      </c>
      <c r="C7712" t="s">
        <v>25</v>
      </c>
      <c r="D7712" t="s">
        <v>17</v>
      </c>
      <c r="E7712" t="s">
        <v>18</v>
      </c>
      <c r="F7712" t="s">
        <v>19</v>
      </c>
      <c r="G7712" t="s">
        <v>20</v>
      </c>
      <c r="J7712" t="s">
        <v>17</v>
      </c>
      <c r="K7712" t="str">
        <f>"34530910"</f>
        <v>34530910</v>
      </c>
      <c r="L7712" t="str">
        <f>"34530910"</f>
        <v>34530910</v>
      </c>
      <c r="M7712" t="s">
        <v>75</v>
      </c>
      <c r="N7712" s="1">
        <v>42872.839583333334</v>
      </c>
      <c r="O7712" t="s">
        <v>19</v>
      </c>
    </row>
    <row r="7713" spans="1:15" x14ac:dyDescent="0.25">
      <c r="A7713" t="s">
        <v>5396</v>
      </c>
      <c r="B7713" t="s">
        <v>15</v>
      </c>
      <c r="C7713" t="s">
        <v>25</v>
      </c>
      <c r="D7713" t="s">
        <v>17</v>
      </c>
      <c r="E7713" t="s">
        <v>18</v>
      </c>
      <c r="F7713" t="s">
        <v>19</v>
      </c>
      <c r="G7713" t="s">
        <v>20</v>
      </c>
      <c r="J7713" t="s">
        <v>17</v>
      </c>
      <c r="K7713" t="str">
        <f>"76530910"</f>
        <v>76530910</v>
      </c>
      <c r="L7713" t="str">
        <f>"76530910"</f>
        <v>76530910</v>
      </c>
      <c r="M7713" t="s">
        <v>75</v>
      </c>
      <c r="N7713" s="1">
        <v>42872.847222222219</v>
      </c>
      <c r="O7713" t="s">
        <v>19</v>
      </c>
    </row>
    <row r="7714" spans="1:15" x14ac:dyDescent="0.25">
      <c r="A7714" t="s">
        <v>5396</v>
      </c>
      <c r="B7714" t="s">
        <v>15</v>
      </c>
      <c r="C7714" t="s">
        <v>25</v>
      </c>
      <c r="D7714" t="s">
        <v>17</v>
      </c>
      <c r="E7714" t="s">
        <v>18</v>
      </c>
      <c r="F7714" t="s">
        <v>19</v>
      </c>
      <c r="G7714" t="s">
        <v>20</v>
      </c>
      <c r="J7714" t="s">
        <v>17</v>
      </c>
      <c r="K7714" t="str">
        <f>"76330910"</f>
        <v>76330910</v>
      </c>
      <c r="L7714" t="str">
        <f>"76330910"</f>
        <v>76330910</v>
      </c>
      <c r="M7714" t="s">
        <v>75</v>
      </c>
      <c r="N7714" s="1">
        <v>42893.93472222222</v>
      </c>
      <c r="O7714" t="s">
        <v>19</v>
      </c>
    </row>
    <row r="7715" spans="1:15" x14ac:dyDescent="0.25">
      <c r="A7715" t="s">
        <v>5397</v>
      </c>
      <c r="B7715" t="s">
        <v>15</v>
      </c>
      <c r="C7715" t="s">
        <v>25</v>
      </c>
      <c r="D7715" t="s">
        <v>17</v>
      </c>
      <c r="E7715" t="s">
        <v>18</v>
      </c>
      <c r="F7715" t="s">
        <v>19</v>
      </c>
      <c r="G7715" t="s">
        <v>20</v>
      </c>
      <c r="J7715" t="s">
        <v>17</v>
      </c>
      <c r="K7715" t="str">
        <f>"763309328"</f>
        <v>763309328</v>
      </c>
      <c r="L7715" t="str">
        <f>"763309328"</f>
        <v>763309328</v>
      </c>
      <c r="M7715" t="s">
        <v>84</v>
      </c>
      <c r="N7715" s="1">
        <v>43397.756249999999</v>
      </c>
      <c r="O7715" t="s">
        <v>19</v>
      </c>
    </row>
    <row r="7716" spans="1:15" x14ac:dyDescent="0.25">
      <c r="A7716" t="s">
        <v>5398</v>
      </c>
      <c r="B7716" t="s">
        <v>15</v>
      </c>
      <c r="C7716" t="s">
        <v>25</v>
      </c>
      <c r="D7716" t="s">
        <v>17</v>
      </c>
      <c r="E7716" t="s">
        <v>18</v>
      </c>
      <c r="F7716" t="s">
        <v>19</v>
      </c>
      <c r="G7716" t="s">
        <v>20</v>
      </c>
      <c r="J7716" t="s">
        <v>17</v>
      </c>
      <c r="K7716" t="str">
        <f>"763309325"</f>
        <v>763309325</v>
      </c>
      <c r="L7716" t="str">
        <f>"763309325"</f>
        <v>763309325</v>
      </c>
      <c r="M7716" t="s">
        <v>75</v>
      </c>
      <c r="N7716" s="1">
        <v>43064.724305555559</v>
      </c>
      <c r="O7716" t="s">
        <v>19</v>
      </c>
    </row>
    <row r="7717" spans="1:15" x14ac:dyDescent="0.25">
      <c r="A7717" t="s">
        <v>5398</v>
      </c>
      <c r="B7717" t="s">
        <v>15</v>
      </c>
      <c r="C7717" t="s">
        <v>25</v>
      </c>
      <c r="D7717" t="s">
        <v>17</v>
      </c>
      <c r="E7717" t="s">
        <v>18</v>
      </c>
      <c r="F7717" t="s">
        <v>19</v>
      </c>
      <c r="G7717" t="s">
        <v>20</v>
      </c>
      <c r="J7717" t="s">
        <v>17</v>
      </c>
      <c r="K7717" t="str">
        <f>"1000001002613"</f>
        <v>1000001002613</v>
      </c>
      <c r="L7717" t="str">
        <f>"765309325"</f>
        <v>765309325</v>
      </c>
      <c r="M7717" t="s">
        <v>84</v>
      </c>
      <c r="N7717" s="1">
        <v>43244.969444444447</v>
      </c>
      <c r="O7717" t="s">
        <v>19</v>
      </c>
    </row>
    <row r="7718" spans="1:15" x14ac:dyDescent="0.25">
      <c r="A7718" t="s">
        <v>5399</v>
      </c>
      <c r="B7718" t="s">
        <v>15</v>
      </c>
      <c r="C7718" t="s">
        <v>25</v>
      </c>
      <c r="D7718" t="s">
        <v>17</v>
      </c>
      <c r="E7718" t="s">
        <v>18</v>
      </c>
      <c r="F7718" t="s">
        <v>19</v>
      </c>
      <c r="G7718" t="s">
        <v>20</v>
      </c>
      <c r="J7718" t="s">
        <v>17</v>
      </c>
      <c r="K7718" t="str">
        <f>"763309333"</f>
        <v>763309333</v>
      </c>
      <c r="L7718" t="str">
        <f>"763309333"</f>
        <v>763309333</v>
      </c>
      <c r="M7718" t="s">
        <v>21</v>
      </c>
      <c r="N7718" s="1">
        <v>43798.679166666669</v>
      </c>
      <c r="O7718" t="s">
        <v>19</v>
      </c>
    </row>
    <row r="7719" spans="1:15" x14ac:dyDescent="0.25">
      <c r="A7719" t="s">
        <v>5400</v>
      </c>
      <c r="B7719" t="s">
        <v>15</v>
      </c>
      <c r="C7719" t="s">
        <v>25</v>
      </c>
      <c r="D7719" t="s">
        <v>17</v>
      </c>
      <c r="E7719" t="s">
        <v>18</v>
      </c>
      <c r="F7719" t="s">
        <v>19</v>
      </c>
      <c r="G7719" t="s">
        <v>20</v>
      </c>
      <c r="J7719" t="s">
        <v>17</v>
      </c>
      <c r="K7719" t="str">
        <f>"343309333"</f>
        <v>343309333</v>
      </c>
      <c r="L7719" t="str">
        <f>"343309333"</f>
        <v>343309333</v>
      </c>
      <c r="M7719" t="s">
        <v>21</v>
      </c>
      <c r="N7719" s="1">
        <v>43993.851388888892</v>
      </c>
      <c r="O7719" t="s">
        <v>19</v>
      </c>
    </row>
    <row r="7720" spans="1:15" x14ac:dyDescent="0.25">
      <c r="A7720" t="s">
        <v>5401</v>
      </c>
      <c r="B7720" t="s">
        <v>15</v>
      </c>
      <c r="C7720" t="s">
        <v>25</v>
      </c>
      <c r="D7720" t="s">
        <v>17</v>
      </c>
      <c r="E7720" t="s">
        <v>18</v>
      </c>
      <c r="F7720" t="s">
        <v>19</v>
      </c>
      <c r="G7720" t="s">
        <v>20</v>
      </c>
      <c r="J7720" t="s">
        <v>17</v>
      </c>
      <c r="K7720" t="str">
        <f>"765309250"</f>
        <v>765309250</v>
      </c>
      <c r="L7720" t="str">
        <f>"765309250"</f>
        <v>765309250</v>
      </c>
      <c r="M7720" t="s">
        <v>75</v>
      </c>
      <c r="N7720" s="1">
        <v>42872.849305555559</v>
      </c>
      <c r="O7720" t="s">
        <v>19</v>
      </c>
    </row>
    <row r="7721" spans="1:15" x14ac:dyDescent="0.25">
      <c r="A7721" t="s">
        <v>5402</v>
      </c>
      <c r="B7721" t="s">
        <v>15</v>
      </c>
      <c r="C7721" t="s">
        <v>25</v>
      </c>
      <c r="D7721" t="s">
        <v>17</v>
      </c>
      <c r="E7721" t="s">
        <v>18</v>
      </c>
      <c r="F7721" t="s">
        <v>19</v>
      </c>
      <c r="G7721" t="s">
        <v>20</v>
      </c>
      <c r="J7721" t="s">
        <v>17</v>
      </c>
      <c r="K7721" t="str">
        <f>"183309261"</f>
        <v>183309261</v>
      </c>
      <c r="L7721" t="str">
        <f>"183309261"</f>
        <v>183309261</v>
      </c>
      <c r="M7721" t="s">
        <v>75</v>
      </c>
      <c r="N7721" s="1">
        <v>42882.731944444444</v>
      </c>
      <c r="O7721" t="s">
        <v>19</v>
      </c>
    </row>
    <row r="7722" spans="1:15" x14ac:dyDescent="0.25">
      <c r="A7722" t="s">
        <v>5402</v>
      </c>
      <c r="B7722" t="s">
        <v>15</v>
      </c>
      <c r="C7722" t="s">
        <v>25</v>
      </c>
      <c r="D7722" t="s">
        <v>17</v>
      </c>
      <c r="E7722" t="s">
        <v>18</v>
      </c>
      <c r="F7722" t="s">
        <v>19</v>
      </c>
      <c r="G7722" t="s">
        <v>20</v>
      </c>
      <c r="J7722" t="s">
        <v>17</v>
      </c>
      <c r="K7722" t="str">
        <f>"763309261"</f>
        <v>763309261</v>
      </c>
      <c r="L7722" t="str">
        <f>"763309261"</f>
        <v>763309261</v>
      </c>
      <c r="M7722" t="s">
        <v>75</v>
      </c>
      <c r="N7722" s="1">
        <v>42933.665277777778</v>
      </c>
      <c r="O7722" t="s">
        <v>19</v>
      </c>
    </row>
    <row r="7723" spans="1:15" x14ac:dyDescent="0.25">
      <c r="A7723" t="s">
        <v>5403</v>
      </c>
      <c r="B7723" t="s">
        <v>15</v>
      </c>
      <c r="C7723" t="s">
        <v>25</v>
      </c>
      <c r="D7723" t="s">
        <v>17</v>
      </c>
      <c r="E7723" t="s">
        <v>18</v>
      </c>
      <c r="F7723" t="s">
        <v>19</v>
      </c>
      <c r="G7723" t="s">
        <v>20</v>
      </c>
      <c r="J7723" t="s">
        <v>17</v>
      </c>
      <c r="K7723" t="str">
        <f>"345309235"</f>
        <v>345309235</v>
      </c>
      <c r="L7723" t="str">
        <f>"345309235"</f>
        <v>345309235</v>
      </c>
      <c r="M7723" t="s">
        <v>75</v>
      </c>
      <c r="N7723" s="1">
        <v>42872.849305555559</v>
      </c>
      <c r="O7723" t="s">
        <v>19</v>
      </c>
    </row>
    <row r="7724" spans="1:15" x14ac:dyDescent="0.25">
      <c r="A7724" t="s">
        <v>5403</v>
      </c>
      <c r="B7724" t="s">
        <v>15</v>
      </c>
      <c r="C7724" t="s">
        <v>25</v>
      </c>
      <c r="D7724" t="s">
        <v>17</v>
      </c>
      <c r="E7724" t="s">
        <v>18</v>
      </c>
      <c r="F7724" t="s">
        <v>19</v>
      </c>
      <c r="G7724" t="s">
        <v>20</v>
      </c>
      <c r="J7724" t="s">
        <v>17</v>
      </c>
      <c r="K7724" t="str">
        <f>"765309235"</f>
        <v>765309235</v>
      </c>
      <c r="L7724" t="str">
        <f>"765309235"</f>
        <v>765309235</v>
      </c>
      <c r="M7724" t="s">
        <v>75</v>
      </c>
      <c r="N7724" s="1">
        <v>42872.849305555559</v>
      </c>
      <c r="O7724" t="s">
        <v>19</v>
      </c>
    </row>
    <row r="7725" spans="1:15" x14ac:dyDescent="0.25">
      <c r="A7725" t="s">
        <v>5403</v>
      </c>
      <c r="B7725" t="s">
        <v>15</v>
      </c>
      <c r="C7725" t="s">
        <v>25</v>
      </c>
      <c r="D7725" t="s">
        <v>17</v>
      </c>
      <c r="E7725" t="s">
        <v>18</v>
      </c>
      <c r="F7725" t="s">
        <v>19</v>
      </c>
      <c r="G7725" t="s">
        <v>20</v>
      </c>
      <c r="J7725" t="s">
        <v>17</v>
      </c>
      <c r="K7725" t="str">
        <f>"763309235"</f>
        <v>763309235</v>
      </c>
      <c r="L7725" t="str">
        <f>"763309235"</f>
        <v>763309235</v>
      </c>
      <c r="M7725" t="s">
        <v>75</v>
      </c>
      <c r="N7725" s="1">
        <v>42872.849305555559</v>
      </c>
      <c r="O7725" t="s">
        <v>19</v>
      </c>
    </row>
    <row r="7726" spans="1:15" x14ac:dyDescent="0.25">
      <c r="A7726" t="s">
        <v>5404</v>
      </c>
      <c r="B7726" t="s">
        <v>15</v>
      </c>
      <c r="C7726" t="s">
        <v>25</v>
      </c>
      <c r="D7726" t="s">
        <v>17</v>
      </c>
      <c r="E7726" t="s">
        <v>18</v>
      </c>
      <c r="F7726" t="s">
        <v>19</v>
      </c>
      <c r="G7726" t="s">
        <v>20</v>
      </c>
      <c r="J7726" t="s">
        <v>17</v>
      </c>
      <c r="K7726" t="str">
        <f>"17530951"</f>
        <v>17530951</v>
      </c>
      <c r="L7726" t="str">
        <f>"17530951"</f>
        <v>17530951</v>
      </c>
      <c r="M7726" t="s">
        <v>75</v>
      </c>
      <c r="N7726" s="1">
        <v>42872.839583333334</v>
      </c>
      <c r="O7726" t="s">
        <v>19</v>
      </c>
    </row>
    <row r="7727" spans="1:15" x14ac:dyDescent="0.25">
      <c r="A7727" t="s">
        <v>5404</v>
      </c>
      <c r="B7727" t="s">
        <v>15</v>
      </c>
      <c r="C7727" t="s">
        <v>25</v>
      </c>
      <c r="D7727" t="s">
        <v>17</v>
      </c>
      <c r="E7727" t="s">
        <v>18</v>
      </c>
      <c r="F7727" t="s">
        <v>19</v>
      </c>
      <c r="G7727" t="s">
        <v>20</v>
      </c>
      <c r="J7727" t="s">
        <v>17</v>
      </c>
      <c r="K7727" t="str">
        <f>"34530951"</f>
        <v>34530951</v>
      </c>
      <c r="L7727" t="str">
        <f>"34530951"</f>
        <v>34530951</v>
      </c>
      <c r="M7727" t="s">
        <v>75</v>
      </c>
      <c r="N7727" s="1">
        <v>42872.839583333334</v>
      </c>
      <c r="O7727" t="s">
        <v>19</v>
      </c>
    </row>
    <row r="7728" spans="1:15" x14ac:dyDescent="0.25">
      <c r="A7728" t="s">
        <v>5404</v>
      </c>
      <c r="B7728" t="s">
        <v>15</v>
      </c>
      <c r="C7728" t="s">
        <v>25</v>
      </c>
      <c r="D7728" t="s">
        <v>17</v>
      </c>
      <c r="E7728" t="s">
        <v>18</v>
      </c>
      <c r="F7728" t="s">
        <v>19</v>
      </c>
      <c r="G7728" t="s">
        <v>20</v>
      </c>
      <c r="J7728" t="s">
        <v>17</v>
      </c>
      <c r="K7728" t="str">
        <f>"76530951"</f>
        <v>76530951</v>
      </c>
      <c r="L7728" t="str">
        <f>"76530951"</f>
        <v>76530951</v>
      </c>
      <c r="M7728" t="s">
        <v>75</v>
      </c>
      <c r="N7728" s="1">
        <v>42872.847222222219</v>
      </c>
      <c r="O7728" t="s">
        <v>19</v>
      </c>
    </row>
    <row r="7729" spans="1:15" x14ac:dyDescent="0.25">
      <c r="A7729" t="s">
        <v>5404</v>
      </c>
      <c r="B7729" t="s">
        <v>15</v>
      </c>
      <c r="C7729" t="s">
        <v>25</v>
      </c>
      <c r="D7729" t="s">
        <v>17</v>
      </c>
      <c r="E7729" t="s">
        <v>18</v>
      </c>
      <c r="F7729" t="s">
        <v>19</v>
      </c>
      <c r="G7729" t="s">
        <v>20</v>
      </c>
      <c r="J7729" t="s">
        <v>17</v>
      </c>
      <c r="K7729" t="str">
        <f>"763309292"</f>
        <v>763309292</v>
      </c>
      <c r="L7729" t="str">
        <f>"763309292"</f>
        <v>763309292</v>
      </c>
      <c r="M7729" t="s">
        <v>75</v>
      </c>
      <c r="N7729" s="1">
        <v>42933.667361111111</v>
      </c>
      <c r="O7729" t="s">
        <v>19</v>
      </c>
    </row>
    <row r="7730" spans="1:15" x14ac:dyDescent="0.25">
      <c r="A7730" t="s">
        <v>5404</v>
      </c>
      <c r="B7730" t="s">
        <v>15</v>
      </c>
      <c r="C7730" t="s">
        <v>25</v>
      </c>
      <c r="D7730" t="s">
        <v>17</v>
      </c>
      <c r="E7730" t="s">
        <v>18</v>
      </c>
      <c r="F7730" t="s">
        <v>19</v>
      </c>
      <c r="G7730" t="s">
        <v>20</v>
      </c>
      <c r="J7730" t="s">
        <v>17</v>
      </c>
      <c r="K7730" t="str">
        <f>"343309292"</f>
        <v>343309292</v>
      </c>
      <c r="L7730" t="str">
        <f>"343309292"</f>
        <v>343309292</v>
      </c>
      <c r="M7730" t="s">
        <v>84</v>
      </c>
      <c r="N7730" s="1">
        <v>43259.830555555556</v>
      </c>
      <c r="O7730" t="s">
        <v>19</v>
      </c>
    </row>
    <row r="7731" spans="1:15" x14ac:dyDescent="0.25">
      <c r="A7731" t="s">
        <v>5404</v>
      </c>
      <c r="B7731" t="s">
        <v>15</v>
      </c>
      <c r="C7731" t="s">
        <v>25</v>
      </c>
      <c r="D7731" t="s">
        <v>17</v>
      </c>
      <c r="E7731" t="s">
        <v>18</v>
      </c>
      <c r="F7731" t="s">
        <v>19</v>
      </c>
      <c r="G7731" t="s">
        <v>20</v>
      </c>
      <c r="J7731" t="s">
        <v>17</v>
      </c>
      <c r="K7731" t="str">
        <f>"613309293"</f>
        <v>613309293</v>
      </c>
      <c r="L7731" t="str">
        <f>"613309293"</f>
        <v>613309293</v>
      </c>
      <c r="M7731" t="s">
        <v>84</v>
      </c>
      <c r="N7731" s="1">
        <v>43320.676388888889</v>
      </c>
      <c r="O7731" t="s">
        <v>19</v>
      </c>
    </row>
    <row r="7732" spans="1:15" x14ac:dyDescent="0.25">
      <c r="A7732" t="s">
        <v>5404</v>
      </c>
      <c r="B7732" t="s">
        <v>15</v>
      </c>
      <c r="C7732" t="s">
        <v>25</v>
      </c>
      <c r="D7732" t="s">
        <v>17</v>
      </c>
      <c r="E7732" t="s">
        <v>18</v>
      </c>
      <c r="F7732" t="s">
        <v>19</v>
      </c>
      <c r="G7732" t="s">
        <v>20</v>
      </c>
      <c r="J7732" t="s">
        <v>17</v>
      </c>
      <c r="K7732" t="str">
        <f>"613309261"</f>
        <v>613309261</v>
      </c>
      <c r="L7732" t="str">
        <f>"613309261"</f>
        <v>613309261</v>
      </c>
      <c r="M7732" t="s">
        <v>84</v>
      </c>
      <c r="N7732" s="1">
        <v>43320.679166666669</v>
      </c>
      <c r="O7732" t="s">
        <v>19</v>
      </c>
    </row>
    <row r="7733" spans="1:15" x14ac:dyDescent="0.25">
      <c r="A7733" t="s">
        <v>5404</v>
      </c>
      <c r="B7733" t="s">
        <v>15</v>
      </c>
      <c r="C7733" t="s">
        <v>25</v>
      </c>
      <c r="D7733" t="s">
        <v>17</v>
      </c>
      <c r="E7733" t="s">
        <v>18</v>
      </c>
      <c r="F7733" t="s">
        <v>19</v>
      </c>
      <c r="G7733" t="s">
        <v>20</v>
      </c>
      <c r="J7733" t="s">
        <v>17</v>
      </c>
      <c r="K7733" t="str">
        <f>"693309293"</f>
        <v>693309293</v>
      </c>
      <c r="L7733" t="str">
        <f>"693309293"</f>
        <v>693309293</v>
      </c>
      <c r="M7733" t="s">
        <v>84</v>
      </c>
      <c r="N7733" s="1">
        <v>43328.838888888888</v>
      </c>
      <c r="O7733" t="s">
        <v>19</v>
      </c>
    </row>
    <row r="7734" spans="1:15" x14ac:dyDescent="0.25">
      <c r="A7734" t="s">
        <v>5404</v>
      </c>
      <c r="B7734" t="s">
        <v>15</v>
      </c>
      <c r="C7734" t="s">
        <v>25</v>
      </c>
      <c r="D7734" t="s">
        <v>17</v>
      </c>
      <c r="E7734" t="s">
        <v>18</v>
      </c>
      <c r="F7734" t="s">
        <v>19</v>
      </c>
      <c r="G7734" t="s">
        <v>20</v>
      </c>
      <c r="J7734" t="s">
        <v>17</v>
      </c>
      <c r="K7734" t="str">
        <f>"693309292"</f>
        <v>693309292</v>
      </c>
      <c r="L7734" t="str">
        <f>"693309292"</f>
        <v>693309292</v>
      </c>
      <c r="M7734" t="s">
        <v>84</v>
      </c>
      <c r="N7734" s="1">
        <v>43336.836805555555</v>
      </c>
      <c r="O7734" t="s">
        <v>19</v>
      </c>
    </row>
    <row r="7735" spans="1:15" x14ac:dyDescent="0.25">
      <c r="A7735" t="s">
        <v>5404</v>
      </c>
      <c r="B7735" t="s">
        <v>15</v>
      </c>
      <c r="C7735" t="s">
        <v>25</v>
      </c>
      <c r="D7735" t="s">
        <v>17</v>
      </c>
      <c r="E7735" t="s">
        <v>18</v>
      </c>
      <c r="F7735" t="s">
        <v>19</v>
      </c>
      <c r="G7735" t="s">
        <v>20</v>
      </c>
      <c r="J7735" t="s">
        <v>17</v>
      </c>
      <c r="K7735" t="str">
        <f>"2018410300274"</f>
        <v>2018410300274</v>
      </c>
      <c r="L7735" t="str">
        <f>"183309292"</f>
        <v>183309292</v>
      </c>
      <c r="M7735" t="s">
        <v>84</v>
      </c>
      <c r="N7735" s="1">
        <v>43397.623611111114</v>
      </c>
      <c r="O7735" t="s">
        <v>19</v>
      </c>
    </row>
    <row r="7736" spans="1:15" x14ac:dyDescent="0.25">
      <c r="A7736" t="s">
        <v>5404</v>
      </c>
      <c r="B7736" t="s">
        <v>15</v>
      </c>
      <c r="C7736" t="s">
        <v>25</v>
      </c>
      <c r="D7736" t="s">
        <v>17</v>
      </c>
      <c r="E7736" t="s">
        <v>18</v>
      </c>
      <c r="F7736" t="s">
        <v>19</v>
      </c>
      <c r="G7736" t="s">
        <v>20</v>
      </c>
      <c r="J7736" t="s">
        <v>17</v>
      </c>
      <c r="K7736" t="str">
        <f>"765309292"</f>
        <v>765309292</v>
      </c>
      <c r="L7736" t="str">
        <f>"765309292"</f>
        <v>765309292</v>
      </c>
      <c r="M7736" t="s">
        <v>84</v>
      </c>
      <c r="N7736" s="1">
        <v>43463.92291666667</v>
      </c>
      <c r="O7736" t="s">
        <v>19</v>
      </c>
    </row>
    <row r="7737" spans="1:15" x14ac:dyDescent="0.25">
      <c r="A7737" t="s">
        <v>5405</v>
      </c>
      <c r="B7737" t="s">
        <v>15</v>
      </c>
      <c r="C7737" t="s">
        <v>25</v>
      </c>
      <c r="D7737" t="s">
        <v>17</v>
      </c>
      <c r="E7737" t="s">
        <v>18</v>
      </c>
      <c r="F7737" t="s">
        <v>19</v>
      </c>
      <c r="G7737" t="s">
        <v>20</v>
      </c>
      <c r="J7737" t="s">
        <v>17</v>
      </c>
      <c r="K7737" t="str">
        <f>"763309331"</f>
        <v>763309331</v>
      </c>
      <c r="L7737" t="str">
        <f>"763309331"</f>
        <v>763309331</v>
      </c>
      <c r="M7737" t="s">
        <v>84</v>
      </c>
      <c r="N7737" s="1">
        <v>43476.95</v>
      </c>
      <c r="O7737" t="s">
        <v>19</v>
      </c>
    </row>
    <row r="7738" spans="1:15" x14ac:dyDescent="0.25">
      <c r="A7738" t="s">
        <v>5406</v>
      </c>
      <c r="B7738" t="s">
        <v>15</v>
      </c>
      <c r="C7738" t="s">
        <v>25</v>
      </c>
      <c r="D7738" t="s">
        <v>17</v>
      </c>
      <c r="E7738" t="s">
        <v>18</v>
      </c>
      <c r="F7738" t="s">
        <v>19</v>
      </c>
      <c r="G7738" t="s">
        <v>20</v>
      </c>
      <c r="J7738" t="s">
        <v>17</v>
      </c>
      <c r="K7738" t="str">
        <f>"76530989"</f>
        <v>76530989</v>
      </c>
      <c r="L7738" t="str">
        <f>"76530989"</f>
        <v>76530989</v>
      </c>
      <c r="M7738" t="s">
        <v>75</v>
      </c>
      <c r="N7738" s="1">
        <v>42872.847222222219</v>
      </c>
      <c r="O7738" t="s">
        <v>19</v>
      </c>
    </row>
    <row r="7739" spans="1:15" x14ac:dyDescent="0.25">
      <c r="A7739" t="s">
        <v>5407</v>
      </c>
      <c r="B7739" t="s">
        <v>15</v>
      </c>
      <c r="C7739" t="s">
        <v>25</v>
      </c>
      <c r="D7739" t="s">
        <v>17</v>
      </c>
      <c r="E7739" t="s">
        <v>18</v>
      </c>
      <c r="F7739" t="s">
        <v>19</v>
      </c>
      <c r="G7739" t="s">
        <v>20</v>
      </c>
      <c r="J7739" t="s">
        <v>17</v>
      </c>
      <c r="K7739" t="str">
        <f>"175309204"</f>
        <v>175309204</v>
      </c>
      <c r="L7739" t="str">
        <f>"175309204"</f>
        <v>175309204</v>
      </c>
      <c r="M7739" t="s">
        <v>75</v>
      </c>
      <c r="N7739" s="1">
        <v>42872.849305555559</v>
      </c>
      <c r="O7739" t="s">
        <v>19</v>
      </c>
    </row>
    <row r="7740" spans="1:15" x14ac:dyDescent="0.25">
      <c r="A7740" t="s">
        <v>5407</v>
      </c>
      <c r="B7740" t="s">
        <v>15</v>
      </c>
      <c r="C7740" t="s">
        <v>25</v>
      </c>
      <c r="D7740" t="s">
        <v>17</v>
      </c>
      <c r="E7740" t="s">
        <v>18</v>
      </c>
      <c r="F7740" t="s">
        <v>19</v>
      </c>
      <c r="G7740" t="s">
        <v>20</v>
      </c>
      <c r="J7740" t="s">
        <v>17</v>
      </c>
      <c r="K7740" t="str">
        <f>"765309187"</f>
        <v>765309187</v>
      </c>
      <c r="L7740" t="str">
        <f>"765309187"</f>
        <v>765309187</v>
      </c>
      <c r="M7740" t="s">
        <v>75</v>
      </c>
      <c r="N7740" s="1">
        <v>42872.849305555559</v>
      </c>
      <c r="O7740" t="s">
        <v>19</v>
      </c>
    </row>
    <row r="7741" spans="1:15" x14ac:dyDescent="0.25">
      <c r="A7741" t="s">
        <v>5408</v>
      </c>
      <c r="B7741" t="s">
        <v>15</v>
      </c>
      <c r="C7741" t="s">
        <v>25</v>
      </c>
      <c r="D7741" t="s">
        <v>17</v>
      </c>
      <c r="E7741" t="s">
        <v>18</v>
      </c>
      <c r="F7741" t="s">
        <v>19</v>
      </c>
      <c r="G7741" t="s">
        <v>20</v>
      </c>
      <c r="J7741" t="s">
        <v>17</v>
      </c>
      <c r="K7741" t="str">
        <f>"345309271"</f>
        <v>345309271</v>
      </c>
      <c r="L7741" t="str">
        <f>"345309271"</f>
        <v>345309271</v>
      </c>
      <c r="M7741" t="s">
        <v>75</v>
      </c>
      <c r="N7741" s="1">
        <v>42872.849305555559</v>
      </c>
      <c r="O7741" t="s">
        <v>19</v>
      </c>
    </row>
    <row r="7742" spans="1:15" x14ac:dyDescent="0.25">
      <c r="A7742" t="s">
        <v>5408</v>
      </c>
      <c r="B7742" t="s">
        <v>15</v>
      </c>
      <c r="C7742" t="s">
        <v>25</v>
      </c>
      <c r="D7742" t="s">
        <v>17</v>
      </c>
      <c r="E7742" t="s">
        <v>18</v>
      </c>
      <c r="F7742" t="s">
        <v>19</v>
      </c>
      <c r="G7742" t="s">
        <v>20</v>
      </c>
      <c r="J7742" t="s">
        <v>17</v>
      </c>
      <c r="K7742" t="str">
        <f>"763309271"</f>
        <v>763309271</v>
      </c>
      <c r="L7742" t="str">
        <f>"763309271"</f>
        <v>763309271</v>
      </c>
      <c r="M7742" t="s">
        <v>75</v>
      </c>
      <c r="N7742" s="1">
        <v>42872.849305555559</v>
      </c>
      <c r="O7742" t="s">
        <v>19</v>
      </c>
    </row>
    <row r="7743" spans="1:15" x14ac:dyDescent="0.25">
      <c r="A7743" t="s">
        <v>5408</v>
      </c>
      <c r="B7743" t="s">
        <v>15</v>
      </c>
      <c r="C7743" t="s">
        <v>25</v>
      </c>
      <c r="D7743" t="s">
        <v>17</v>
      </c>
      <c r="E7743" t="s">
        <v>18</v>
      </c>
      <c r="F7743" t="s">
        <v>19</v>
      </c>
      <c r="G7743" t="s">
        <v>20</v>
      </c>
      <c r="J7743" t="s">
        <v>17</v>
      </c>
      <c r="K7743" t="str">
        <f>"765309271"</f>
        <v>765309271</v>
      </c>
      <c r="L7743" t="str">
        <f>"765309271"</f>
        <v>765309271</v>
      </c>
      <c r="M7743" t="s">
        <v>75</v>
      </c>
      <c r="N7743" s="1">
        <v>42872.849305555559</v>
      </c>
      <c r="O7743" t="s">
        <v>19</v>
      </c>
    </row>
    <row r="7744" spans="1:15" x14ac:dyDescent="0.25">
      <c r="A7744" t="s">
        <v>5409</v>
      </c>
      <c r="B7744" t="s">
        <v>15</v>
      </c>
      <c r="C7744" t="s">
        <v>25</v>
      </c>
      <c r="D7744" t="s">
        <v>17</v>
      </c>
      <c r="E7744" t="s">
        <v>18</v>
      </c>
      <c r="F7744" t="s">
        <v>19</v>
      </c>
      <c r="G7744" t="s">
        <v>20</v>
      </c>
      <c r="J7744" t="s">
        <v>17</v>
      </c>
      <c r="K7744" t="str">
        <f>"173309277"</f>
        <v>173309277</v>
      </c>
      <c r="L7744" t="str">
        <f>"173309277"</f>
        <v>173309277</v>
      </c>
      <c r="M7744" t="s">
        <v>75</v>
      </c>
      <c r="N7744" s="1">
        <v>42872.849305555559</v>
      </c>
      <c r="O7744" t="s">
        <v>19</v>
      </c>
    </row>
    <row r="7745" spans="1:15" x14ac:dyDescent="0.25">
      <c r="A7745" t="s">
        <v>5409</v>
      </c>
      <c r="B7745" t="s">
        <v>15</v>
      </c>
      <c r="C7745" t="s">
        <v>25</v>
      </c>
      <c r="D7745" t="s">
        <v>17</v>
      </c>
      <c r="E7745" t="s">
        <v>18</v>
      </c>
      <c r="F7745" t="s">
        <v>19</v>
      </c>
      <c r="G7745" t="s">
        <v>20</v>
      </c>
      <c r="J7745" t="s">
        <v>17</v>
      </c>
      <c r="K7745" t="str">
        <f>"345309277"</f>
        <v>345309277</v>
      </c>
      <c r="L7745" t="str">
        <f>"345309277"</f>
        <v>345309277</v>
      </c>
      <c r="M7745" t="s">
        <v>75</v>
      </c>
      <c r="N7745" s="1">
        <v>42872.849305555559</v>
      </c>
      <c r="O7745" t="s">
        <v>19</v>
      </c>
    </row>
    <row r="7746" spans="1:15" x14ac:dyDescent="0.25">
      <c r="A7746" t="s">
        <v>5409</v>
      </c>
      <c r="B7746" t="s">
        <v>15</v>
      </c>
      <c r="C7746" t="s">
        <v>25</v>
      </c>
      <c r="D7746" t="s">
        <v>17</v>
      </c>
      <c r="E7746" t="s">
        <v>18</v>
      </c>
      <c r="F7746" t="s">
        <v>19</v>
      </c>
      <c r="G7746" t="s">
        <v>20</v>
      </c>
      <c r="J7746" t="s">
        <v>17</v>
      </c>
      <c r="K7746" t="str">
        <f>"763309277"</f>
        <v>763309277</v>
      </c>
      <c r="L7746" t="str">
        <f>"763309277"</f>
        <v>763309277</v>
      </c>
      <c r="M7746" t="s">
        <v>75</v>
      </c>
      <c r="N7746" s="1">
        <v>42872.849305555559</v>
      </c>
      <c r="O7746" t="s">
        <v>19</v>
      </c>
    </row>
    <row r="7747" spans="1:15" x14ac:dyDescent="0.25">
      <c r="A7747" t="s">
        <v>5409</v>
      </c>
      <c r="B7747" t="s">
        <v>15</v>
      </c>
      <c r="C7747" t="s">
        <v>25</v>
      </c>
      <c r="D7747" t="s">
        <v>17</v>
      </c>
      <c r="E7747" t="s">
        <v>18</v>
      </c>
      <c r="F7747" t="s">
        <v>19</v>
      </c>
      <c r="G7747" t="s">
        <v>20</v>
      </c>
      <c r="J7747" t="s">
        <v>17</v>
      </c>
      <c r="K7747" t="str">
        <f>"183309277"</f>
        <v>183309277</v>
      </c>
      <c r="L7747" t="str">
        <f>"183309277"</f>
        <v>183309277</v>
      </c>
      <c r="M7747" t="s">
        <v>75</v>
      </c>
      <c r="N7747" s="1">
        <v>42882.723611111112</v>
      </c>
      <c r="O7747" t="s">
        <v>19</v>
      </c>
    </row>
    <row r="7748" spans="1:15" x14ac:dyDescent="0.25">
      <c r="A7748" t="s">
        <v>5409</v>
      </c>
      <c r="B7748" t="s">
        <v>15</v>
      </c>
      <c r="C7748" t="s">
        <v>25</v>
      </c>
      <c r="D7748" t="s">
        <v>17</v>
      </c>
      <c r="E7748" t="s">
        <v>18</v>
      </c>
      <c r="F7748" t="s">
        <v>19</v>
      </c>
      <c r="G7748" t="s">
        <v>20</v>
      </c>
      <c r="J7748" t="s">
        <v>17</v>
      </c>
      <c r="K7748" t="str">
        <f>"863309277"</f>
        <v>863309277</v>
      </c>
      <c r="L7748" t="str">
        <f>"863309277"</f>
        <v>863309277</v>
      </c>
      <c r="M7748" t="s">
        <v>84</v>
      </c>
      <c r="N7748" s="1">
        <v>43367.677777777775</v>
      </c>
      <c r="O7748" t="s">
        <v>19</v>
      </c>
    </row>
    <row r="7749" spans="1:15" x14ac:dyDescent="0.25">
      <c r="A7749" t="s">
        <v>5410</v>
      </c>
      <c r="B7749" t="s">
        <v>15</v>
      </c>
      <c r="C7749" t="s">
        <v>25</v>
      </c>
      <c r="D7749" t="s">
        <v>17</v>
      </c>
      <c r="E7749" t="s">
        <v>18</v>
      </c>
      <c r="F7749" t="s">
        <v>19</v>
      </c>
      <c r="G7749" t="s">
        <v>20</v>
      </c>
      <c r="J7749" t="s">
        <v>17</v>
      </c>
      <c r="K7749" t="str">
        <f>"343309285"</f>
        <v>343309285</v>
      </c>
      <c r="L7749" t="str">
        <f>"343309285"</f>
        <v>343309285</v>
      </c>
      <c r="M7749" t="s">
        <v>75</v>
      </c>
      <c r="N7749" s="1">
        <v>42872.849305555559</v>
      </c>
      <c r="O7749" t="s">
        <v>19</v>
      </c>
    </row>
    <row r="7750" spans="1:15" x14ac:dyDescent="0.25">
      <c r="A7750" t="s">
        <v>5410</v>
      </c>
      <c r="B7750" t="s">
        <v>15</v>
      </c>
      <c r="C7750" t="s">
        <v>25</v>
      </c>
      <c r="D7750" t="s">
        <v>17</v>
      </c>
      <c r="E7750" t="s">
        <v>18</v>
      </c>
      <c r="F7750" t="s">
        <v>19</v>
      </c>
      <c r="G7750" t="s">
        <v>20</v>
      </c>
      <c r="J7750" t="s">
        <v>17</v>
      </c>
      <c r="K7750" t="str">
        <f>"345309285"</f>
        <v>345309285</v>
      </c>
      <c r="L7750" t="str">
        <f>"345309285"</f>
        <v>345309285</v>
      </c>
      <c r="M7750" t="s">
        <v>75</v>
      </c>
      <c r="N7750" s="1">
        <v>42872.849305555559</v>
      </c>
      <c r="O7750" t="s">
        <v>19</v>
      </c>
    </row>
    <row r="7751" spans="1:15" x14ac:dyDescent="0.25">
      <c r="A7751" t="s">
        <v>5410</v>
      </c>
      <c r="B7751" t="s">
        <v>15</v>
      </c>
      <c r="C7751" t="s">
        <v>25</v>
      </c>
      <c r="D7751" t="s">
        <v>17</v>
      </c>
      <c r="E7751" t="s">
        <v>18</v>
      </c>
      <c r="F7751" t="s">
        <v>19</v>
      </c>
      <c r="G7751" t="s">
        <v>20</v>
      </c>
      <c r="J7751" t="s">
        <v>17</v>
      </c>
      <c r="K7751" t="str">
        <f>"763309285"</f>
        <v>763309285</v>
      </c>
      <c r="L7751" t="str">
        <f>"763309285"</f>
        <v>763309285</v>
      </c>
      <c r="M7751" t="s">
        <v>75</v>
      </c>
      <c r="N7751" s="1">
        <v>43033.848611111112</v>
      </c>
      <c r="O7751" t="s">
        <v>19</v>
      </c>
    </row>
    <row r="7752" spans="1:15" x14ac:dyDescent="0.25">
      <c r="A7752" t="s">
        <v>5411</v>
      </c>
      <c r="B7752" t="s">
        <v>15</v>
      </c>
      <c r="C7752" t="s">
        <v>25</v>
      </c>
      <c r="D7752" t="s">
        <v>17</v>
      </c>
      <c r="E7752" t="s">
        <v>18</v>
      </c>
      <c r="F7752" t="s">
        <v>19</v>
      </c>
      <c r="G7752" t="s">
        <v>20</v>
      </c>
      <c r="J7752" t="s">
        <v>17</v>
      </c>
      <c r="K7752" t="str">
        <f>"763309286"</f>
        <v>763309286</v>
      </c>
      <c r="L7752" t="str">
        <f>"763309286"</f>
        <v>763309286</v>
      </c>
      <c r="M7752" t="s">
        <v>75</v>
      </c>
      <c r="N7752" s="1">
        <v>43082.938888888886</v>
      </c>
      <c r="O7752" t="s">
        <v>19</v>
      </c>
    </row>
    <row r="7753" spans="1:15" x14ac:dyDescent="0.25">
      <c r="A7753" t="s">
        <v>5411</v>
      </c>
      <c r="B7753" t="s">
        <v>15</v>
      </c>
      <c r="C7753" t="s">
        <v>25</v>
      </c>
      <c r="D7753" t="s">
        <v>17</v>
      </c>
      <c r="E7753" t="s">
        <v>18</v>
      </c>
      <c r="F7753" t="s">
        <v>19</v>
      </c>
      <c r="G7753" t="s">
        <v>20</v>
      </c>
      <c r="J7753" t="s">
        <v>17</v>
      </c>
      <c r="K7753" t="str">
        <f>"173309286"</f>
        <v>173309286</v>
      </c>
      <c r="L7753" t="str">
        <f>"173309286"</f>
        <v>173309286</v>
      </c>
      <c r="M7753" t="s">
        <v>75</v>
      </c>
      <c r="N7753" s="1">
        <v>43131.932638888888</v>
      </c>
      <c r="O7753" t="s">
        <v>19</v>
      </c>
    </row>
    <row r="7754" spans="1:15" x14ac:dyDescent="0.25">
      <c r="A7754" t="s">
        <v>5412</v>
      </c>
      <c r="B7754" t="s">
        <v>15</v>
      </c>
      <c r="C7754" t="s">
        <v>25</v>
      </c>
      <c r="D7754" t="s">
        <v>17</v>
      </c>
      <c r="E7754" t="s">
        <v>18</v>
      </c>
      <c r="F7754" t="s">
        <v>19</v>
      </c>
      <c r="G7754" t="s">
        <v>20</v>
      </c>
      <c r="J7754" t="s">
        <v>17</v>
      </c>
      <c r="K7754" t="str">
        <f>"345309250"</f>
        <v>345309250</v>
      </c>
      <c r="L7754" t="str">
        <f>"345309250"</f>
        <v>345309250</v>
      </c>
      <c r="M7754" t="s">
        <v>75</v>
      </c>
      <c r="N7754" s="1">
        <v>42872.849305555559</v>
      </c>
      <c r="O7754" t="s">
        <v>19</v>
      </c>
    </row>
    <row r="7755" spans="1:15" x14ac:dyDescent="0.25">
      <c r="A7755" t="s">
        <v>5413</v>
      </c>
      <c r="B7755" t="s">
        <v>15</v>
      </c>
      <c r="C7755" t="s">
        <v>25</v>
      </c>
      <c r="D7755" t="s">
        <v>17</v>
      </c>
      <c r="E7755" t="s">
        <v>18</v>
      </c>
      <c r="F7755" t="s">
        <v>19</v>
      </c>
      <c r="G7755" t="s">
        <v>20</v>
      </c>
      <c r="J7755" t="s">
        <v>17</v>
      </c>
      <c r="K7755" t="str">
        <f>"763309250"</f>
        <v>763309250</v>
      </c>
      <c r="L7755" t="str">
        <f>"763309250"</f>
        <v>763309250</v>
      </c>
      <c r="M7755" t="s">
        <v>75</v>
      </c>
      <c r="N7755" s="1">
        <v>42872.849305555559</v>
      </c>
      <c r="O7755" t="s">
        <v>19</v>
      </c>
    </row>
    <row r="7756" spans="1:15" x14ac:dyDescent="0.25">
      <c r="A7756" t="s">
        <v>5414</v>
      </c>
      <c r="B7756" t="s">
        <v>15</v>
      </c>
      <c r="C7756" t="s">
        <v>25</v>
      </c>
      <c r="D7756" t="s">
        <v>17</v>
      </c>
      <c r="E7756" t="s">
        <v>18</v>
      </c>
      <c r="F7756" t="s">
        <v>19</v>
      </c>
      <c r="G7756" t="s">
        <v>20</v>
      </c>
      <c r="J7756" t="s">
        <v>17</v>
      </c>
      <c r="K7756" t="str">
        <f>"763309173"</f>
        <v>763309173</v>
      </c>
      <c r="L7756" t="str">
        <f>"763309173"</f>
        <v>763309173</v>
      </c>
      <c r="M7756" t="s">
        <v>75</v>
      </c>
      <c r="N7756" s="1">
        <v>42872.849305555559</v>
      </c>
      <c r="O7756" t="s">
        <v>19</v>
      </c>
    </row>
    <row r="7757" spans="1:15" x14ac:dyDescent="0.25">
      <c r="A7757" t="s">
        <v>5414</v>
      </c>
      <c r="B7757" t="s">
        <v>15</v>
      </c>
      <c r="C7757" t="s">
        <v>25</v>
      </c>
      <c r="D7757" t="s">
        <v>17</v>
      </c>
      <c r="E7757" t="s">
        <v>18</v>
      </c>
      <c r="F7757" t="s">
        <v>19</v>
      </c>
      <c r="G7757" t="s">
        <v>20</v>
      </c>
      <c r="J7757" t="s">
        <v>17</v>
      </c>
      <c r="K7757" t="str">
        <f>"765309173"</f>
        <v>765309173</v>
      </c>
      <c r="L7757" t="str">
        <f>"765309173"</f>
        <v>765309173</v>
      </c>
      <c r="M7757" t="s">
        <v>75</v>
      </c>
      <c r="N7757" s="1">
        <v>43231.661805555559</v>
      </c>
      <c r="O7757" t="s">
        <v>19</v>
      </c>
    </row>
    <row r="7758" spans="1:15" x14ac:dyDescent="0.25">
      <c r="A7758" t="s">
        <v>5415</v>
      </c>
      <c r="B7758" t="s">
        <v>15</v>
      </c>
      <c r="C7758" t="s">
        <v>25</v>
      </c>
      <c r="D7758" t="s">
        <v>17</v>
      </c>
      <c r="E7758" t="s">
        <v>18</v>
      </c>
      <c r="F7758" t="s">
        <v>19</v>
      </c>
      <c r="G7758" t="s">
        <v>20</v>
      </c>
      <c r="J7758" t="s">
        <v>17</v>
      </c>
      <c r="K7758" t="str">
        <f>"933309277"</f>
        <v>933309277</v>
      </c>
      <c r="L7758" t="str">
        <f>"933309277"</f>
        <v>933309277</v>
      </c>
      <c r="M7758" t="s">
        <v>75</v>
      </c>
      <c r="N7758" s="1">
        <v>42872.849305555559</v>
      </c>
      <c r="O7758" t="s">
        <v>19</v>
      </c>
    </row>
    <row r="7759" spans="1:15" x14ac:dyDescent="0.25">
      <c r="A7759" t="s">
        <v>5416</v>
      </c>
      <c r="B7759" t="s">
        <v>15</v>
      </c>
      <c r="C7759" t="s">
        <v>25</v>
      </c>
      <c r="D7759" t="s">
        <v>17</v>
      </c>
      <c r="E7759" t="s">
        <v>18</v>
      </c>
      <c r="F7759" t="s">
        <v>19</v>
      </c>
      <c r="G7759" t="s">
        <v>20</v>
      </c>
      <c r="J7759" t="s">
        <v>17</v>
      </c>
      <c r="K7759" t="str">
        <f>"765310274"</f>
        <v>765310274</v>
      </c>
      <c r="L7759" t="str">
        <f>"765310274"</f>
        <v>765310274</v>
      </c>
      <c r="M7759" t="s">
        <v>75</v>
      </c>
      <c r="N7759" s="1">
        <v>42872.849305555559</v>
      </c>
      <c r="O7759" t="s">
        <v>19</v>
      </c>
    </row>
    <row r="7760" spans="1:15" x14ac:dyDescent="0.25">
      <c r="A7760" t="s">
        <v>5417</v>
      </c>
      <c r="B7760" t="s">
        <v>15</v>
      </c>
      <c r="C7760" t="s">
        <v>25</v>
      </c>
      <c r="D7760" t="s">
        <v>17</v>
      </c>
      <c r="E7760" t="s">
        <v>18</v>
      </c>
      <c r="F7760" t="s">
        <v>19</v>
      </c>
      <c r="G7760" t="s">
        <v>20</v>
      </c>
      <c r="J7760" t="s">
        <v>17</v>
      </c>
      <c r="K7760" t="str">
        <f>"765310231"</f>
        <v>765310231</v>
      </c>
      <c r="L7760" t="str">
        <f>"765310231"</f>
        <v>765310231</v>
      </c>
      <c r="M7760" t="s">
        <v>75</v>
      </c>
      <c r="N7760" s="1">
        <v>42872.849305555559</v>
      </c>
      <c r="O7760" t="s">
        <v>19</v>
      </c>
    </row>
    <row r="7761" spans="1:15" x14ac:dyDescent="0.25">
      <c r="A7761" t="s">
        <v>5418</v>
      </c>
      <c r="B7761" t="s">
        <v>15</v>
      </c>
      <c r="C7761" t="s">
        <v>25</v>
      </c>
      <c r="D7761" t="s">
        <v>17</v>
      </c>
      <c r="E7761" t="s">
        <v>18</v>
      </c>
      <c r="F7761" t="s">
        <v>19</v>
      </c>
      <c r="G7761" t="s">
        <v>20</v>
      </c>
      <c r="J7761" t="s">
        <v>17</v>
      </c>
      <c r="K7761" t="str">
        <f>"345310121"</f>
        <v>345310121</v>
      </c>
      <c r="L7761" t="str">
        <f>"345310121"</f>
        <v>345310121</v>
      </c>
      <c r="M7761" t="s">
        <v>75</v>
      </c>
      <c r="N7761" s="1">
        <v>42872.849305555559</v>
      </c>
      <c r="O7761" t="s">
        <v>19</v>
      </c>
    </row>
    <row r="7762" spans="1:15" x14ac:dyDescent="0.25">
      <c r="A7762" t="s">
        <v>5419</v>
      </c>
      <c r="B7762" t="s">
        <v>15</v>
      </c>
      <c r="C7762" t="s">
        <v>25</v>
      </c>
      <c r="D7762" t="s">
        <v>17</v>
      </c>
      <c r="E7762" t="s">
        <v>18</v>
      </c>
      <c r="F7762" t="s">
        <v>19</v>
      </c>
      <c r="G7762" t="s">
        <v>20</v>
      </c>
      <c r="J7762" t="s">
        <v>17</v>
      </c>
      <c r="K7762" t="str">
        <f>"1000001001432"</f>
        <v>1000001001432</v>
      </c>
      <c r="L7762" t="str">
        <f>"763310297"</f>
        <v>763310297</v>
      </c>
      <c r="M7762" t="s">
        <v>84</v>
      </c>
      <c r="N7762" s="1">
        <v>42933.67291666667</v>
      </c>
      <c r="O7762" t="s">
        <v>19</v>
      </c>
    </row>
    <row r="7763" spans="1:15" x14ac:dyDescent="0.25">
      <c r="A7763" t="s">
        <v>5419</v>
      </c>
      <c r="B7763" t="s">
        <v>15</v>
      </c>
      <c r="C7763" t="s">
        <v>25</v>
      </c>
      <c r="D7763" t="s">
        <v>17</v>
      </c>
      <c r="E7763" t="s">
        <v>18</v>
      </c>
      <c r="F7763" t="s">
        <v>19</v>
      </c>
      <c r="G7763" t="s">
        <v>20</v>
      </c>
      <c r="J7763" t="s">
        <v>17</v>
      </c>
      <c r="K7763" t="str">
        <f>"765310297"</f>
        <v>765310297</v>
      </c>
      <c r="L7763" t="str">
        <f>"765310297"</f>
        <v>765310297</v>
      </c>
      <c r="M7763" t="s">
        <v>84</v>
      </c>
      <c r="N7763" s="1">
        <v>43251.933333333334</v>
      </c>
      <c r="O7763" t="s">
        <v>19</v>
      </c>
    </row>
    <row r="7764" spans="1:15" x14ac:dyDescent="0.25">
      <c r="A7764" t="s">
        <v>5420</v>
      </c>
      <c r="B7764" t="s">
        <v>15</v>
      </c>
      <c r="C7764" t="s">
        <v>25</v>
      </c>
      <c r="D7764" t="s">
        <v>17</v>
      </c>
      <c r="E7764" t="s">
        <v>18</v>
      </c>
      <c r="F7764" t="s">
        <v>19</v>
      </c>
      <c r="G7764" t="s">
        <v>20</v>
      </c>
      <c r="J7764" t="s">
        <v>17</v>
      </c>
      <c r="K7764" t="str">
        <f>"763310301"</f>
        <v>763310301</v>
      </c>
      <c r="L7764" t="str">
        <f>"763310301"</f>
        <v>763310301</v>
      </c>
      <c r="M7764" t="s">
        <v>75</v>
      </c>
      <c r="N7764" s="1">
        <v>43005.934027777781</v>
      </c>
      <c r="O7764" t="s">
        <v>19</v>
      </c>
    </row>
    <row r="7765" spans="1:15" x14ac:dyDescent="0.25">
      <c r="A7765" t="s">
        <v>5421</v>
      </c>
      <c r="B7765" t="s">
        <v>15</v>
      </c>
      <c r="C7765" t="s">
        <v>25</v>
      </c>
      <c r="D7765" t="s">
        <v>17</v>
      </c>
      <c r="E7765" t="s">
        <v>18</v>
      </c>
      <c r="F7765" t="s">
        <v>19</v>
      </c>
      <c r="G7765" t="s">
        <v>20</v>
      </c>
      <c r="J7765" t="s">
        <v>17</v>
      </c>
      <c r="K7765" t="str">
        <f>"34531019"</f>
        <v>34531019</v>
      </c>
      <c r="L7765" t="str">
        <f>"34531019"</f>
        <v>34531019</v>
      </c>
      <c r="M7765" t="s">
        <v>75</v>
      </c>
      <c r="N7765" s="1">
        <v>42872.839583333334</v>
      </c>
      <c r="O7765" t="s">
        <v>19</v>
      </c>
    </row>
    <row r="7766" spans="1:15" x14ac:dyDescent="0.25">
      <c r="A7766" t="s">
        <v>5421</v>
      </c>
      <c r="B7766" t="s">
        <v>15</v>
      </c>
      <c r="C7766" t="s">
        <v>25</v>
      </c>
      <c r="D7766" t="s">
        <v>17</v>
      </c>
      <c r="E7766" t="s">
        <v>18</v>
      </c>
      <c r="F7766" t="s">
        <v>19</v>
      </c>
      <c r="G7766" t="s">
        <v>20</v>
      </c>
      <c r="J7766" t="s">
        <v>17</v>
      </c>
      <c r="K7766" t="str">
        <f>"76531019"</f>
        <v>76531019</v>
      </c>
      <c r="L7766" t="str">
        <f>"76531019"</f>
        <v>76531019</v>
      </c>
      <c r="M7766" t="s">
        <v>75</v>
      </c>
      <c r="N7766" s="1">
        <v>42872.847222222219</v>
      </c>
      <c r="O7766" t="s">
        <v>19</v>
      </c>
    </row>
    <row r="7767" spans="1:15" x14ac:dyDescent="0.25">
      <c r="A7767" t="s">
        <v>5422</v>
      </c>
      <c r="B7767" t="s">
        <v>15</v>
      </c>
      <c r="C7767" t="s">
        <v>25</v>
      </c>
      <c r="D7767" t="s">
        <v>17</v>
      </c>
      <c r="E7767" t="s">
        <v>18</v>
      </c>
      <c r="F7767" t="s">
        <v>19</v>
      </c>
      <c r="G7767" t="s">
        <v>20</v>
      </c>
      <c r="J7767" t="s">
        <v>17</v>
      </c>
      <c r="K7767" t="str">
        <f>"17531002"</f>
        <v>17531002</v>
      </c>
      <c r="L7767" t="str">
        <f>"17531002"</f>
        <v>17531002</v>
      </c>
      <c r="M7767" t="s">
        <v>75</v>
      </c>
      <c r="N7767" s="1">
        <v>42872.839583333334</v>
      </c>
      <c r="O7767" t="s">
        <v>19</v>
      </c>
    </row>
    <row r="7768" spans="1:15" x14ac:dyDescent="0.25">
      <c r="A7768" t="s">
        <v>5422</v>
      </c>
      <c r="B7768" t="s">
        <v>15</v>
      </c>
      <c r="C7768" t="s">
        <v>25</v>
      </c>
      <c r="D7768" t="s">
        <v>17</v>
      </c>
      <c r="E7768" t="s">
        <v>18</v>
      </c>
      <c r="F7768" t="s">
        <v>19</v>
      </c>
      <c r="G7768" t="s">
        <v>20</v>
      </c>
      <c r="J7768" t="s">
        <v>17</v>
      </c>
      <c r="K7768" t="str">
        <f>"34531002"</f>
        <v>34531002</v>
      </c>
      <c r="L7768" t="str">
        <f>"34531002"</f>
        <v>34531002</v>
      </c>
      <c r="M7768" t="s">
        <v>75</v>
      </c>
      <c r="N7768" s="1">
        <v>42872.839583333334</v>
      </c>
      <c r="O7768" t="s">
        <v>19</v>
      </c>
    </row>
    <row r="7769" spans="1:15" x14ac:dyDescent="0.25">
      <c r="A7769" t="s">
        <v>5422</v>
      </c>
      <c r="B7769" t="s">
        <v>15</v>
      </c>
      <c r="C7769" t="s">
        <v>25</v>
      </c>
      <c r="D7769" t="s">
        <v>17</v>
      </c>
      <c r="E7769" t="s">
        <v>18</v>
      </c>
      <c r="F7769" t="s">
        <v>19</v>
      </c>
      <c r="G7769" t="s">
        <v>20</v>
      </c>
      <c r="J7769" t="s">
        <v>17</v>
      </c>
      <c r="K7769" t="str">
        <f>"76331002"</f>
        <v>76331002</v>
      </c>
      <c r="L7769" t="str">
        <f>"76331002"</f>
        <v>76331002</v>
      </c>
      <c r="M7769" t="s">
        <v>75</v>
      </c>
      <c r="N7769" s="1">
        <v>42872.847222222219</v>
      </c>
      <c r="O7769" t="s">
        <v>19</v>
      </c>
    </row>
    <row r="7770" spans="1:15" x14ac:dyDescent="0.25">
      <c r="A7770" t="s">
        <v>5422</v>
      </c>
      <c r="B7770" t="s">
        <v>15</v>
      </c>
      <c r="C7770" t="s">
        <v>25</v>
      </c>
      <c r="D7770" t="s">
        <v>17</v>
      </c>
      <c r="E7770" t="s">
        <v>18</v>
      </c>
      <c r="F7770" t="s">
        <v>19</v>
      </c>
      <c r="G7770" t="s">
        <v>20</v>
      </c>
      <c r="J7770" t="s">
        <v>17</v>
      </c>
      <c r="K7770" t="str">
        <f>"76531002"</f>
        <v>76531002</v>
      </c>
      <c r="L7770" t="str">
        <f>"76531002"</f>
        <v>76531002</v>
      </c>
      <c r="M7770" t="s">
        <v>75</v>
      </c>
      <c r="N7770" s="1">
        <v>42872.847222222219</v>
      </c>
      <c r="O7770" t="s">
        <v>19</v>
      </c>
    </row>
    <row r="7771" spans="1:15" x14ac:dyDescent="0.25">
      <c r="A7771" t="s">
        <v>5423</v>
      </c>
      <c r="B7771" t="s">
        <v>15</v>
      </c>
      <c r="C7771" t="s">
        <v>25</v>
      </c>
      <c r="D7771" t="s">
        <v>17</v>
      </c>
      <c r="E7771" t="s">
        <v>18</v>
      </c>
      <c r="F7771" t="s">
        <v>19</v>
      </c>
      <c r="G7771" t="s">
        <v>20</v>
      </c>
      <c r="J7771" t="s">
        <v>17</v>
      </c>
      <c r="K7771" t="str">
        <f>"683310304"</f>
        <v>683310304</v>
      </c>
      <c r="L7771" t="str">
        <f>"683310304"</f>
        <v>683310304</v>
      </c>
      <c r="M7771" t="s">
        <v>75</v>
      </c>
      <c r="N7771" s="1">
        <v>43008.793055555558</v>
      </c>
      <c r="O7771" t="s">
        <v>19</v>
      </c>
    </row>
    <row r="7772" spans="1:15" x14ac:dyDescent="0.25">
      <c r="A7772" t="s">
        <v>5423</v>
      </c>
      <c r="B7772" t="s">
        <v>15</v>
      </c>
      <c r="C7772" t="s">
        <v>25</v>
      </c>
      <c r="D7772" t="s">
        <v>17</v>
      </c>
      <c r="E7772" t="s">
        <v>18</v>
      </c>
      <c r="F7772" t="s">
        <v>19</v>
      </c>
      <c r="G7772" t="s">
        <v>20</v>
      </c>
      <c r="J7772" t="s">
        <v>17</v>
      </c>
      <c r="K7772" t="str">
        <f>"763310304"</f>
        <v>763310304</v>
      </c>
      <c r="L7772" t="str">
        <f>"763310304"</f>
        <v>763310304</v>
      </c>
      <c r="M7772" t="s">
        <v>75</v>
      </c>
      <c r="N7772" s="1">
        <v>43082.931944444441</v>
      </c>
      <c r="O7772" t="s">
        <v>19</v>
      </c>
    </row>
    <row r="7773" spans="1:15" x14ac:dyDescent="0.25">
      <c r="A7773" t="s">
        <v>5423</v>
      </c>
      <c r="B7773" t="s">
        <v>15</v>
      </c>
      <c r="C7773" t="s">
        <v>25</v>
      </c>
      <c r="D7773" t="s">
        <v>17</v>
      </c>
      <c r="E7773" t="s">
        <v>18</v>
      </c>
      <c r="F7773" t="s">
        <v>19</v>
      </c>
      <c r="G7773" t="s">
        <v>20</v>
      </c>
      <c r="J7773" t="s">
        <v>17</v>
      </c>
      <c r="K7773" t="str">
        <f>"173310304"</f>
        <v>173310304</v>
      </c>
      <c r="L7773" t="str">
        <f>"173310304"</f>
        <v>173310304</v>
      </c>
      <c r="M7773" t="s">
        <v>75</v>
      </c>
      <c r="N7773" s="1">
        <v>43133.675694444442</v>
      </c>
      <c r="O7773" t="s">
        <v>19</v>
      </c>
    </row>
    <row r="7774" spans="1:15" x14ac:dyDescent="0.25">
      <c r="A7774" t="s">
        <v>5423</v>
      </c>
      <c r="B7774" t="s">
        <v>15</v>
      </c>
      <c r="C7774" t="s">
        <v>25</v>
      </c>
      <c r="D7774" t="s">
        <v>17</v>
      </c>
      <c r="E7774" t="s">
        <v>18</v>
      </c>
      <c r="F7774" t="s">
        <v>19</v>
      </c>
      <c r="G7774" t="s">
        <v>20</v>
      </c>
      <c r="J7774" t="s">
        <v>17</v>
      </c>
      <c r="K7774" t="str">
        <f>"765310304"</f>
        <v>765310304</v>
      </c>
      <c r="L7774" t="str">
        <f>"765310304"</f>
        <v>765310304</v>
      </c>
      <c r="M7774" t="s">
        <v>84</v>
      </c>
      <c r="N7774" s="1">
        <v>43307.665972222225</v>
      </c>
      <c r="O7774" t="s">
        <v>19</v>
      </c>
    </row>
    <row r="7775" spans="1:15" x14ac:dyDescent="0.25">
      <c r="A7775" t="s">
        <v>5424</v>
      </c>
      <c r="B7775" t="s">
        <v>15</v>
      </c>
      <c r="C7775" t="s">
        <v>25</v>
      </c>
      <c r="D7775" t="s">
        <v>17</v>
      </c>
      <c r="E7775" t="s">
        <v>18</v>
      </c>
      <c r="F7775" t="s">
        <v>19</v>
      </c>
      <c r="G7775" t="s">
        <v>20</v>
      </c>
      <c r="J7775" t="s">
        <v>17</v>
      </c>
      <c r="K7775" t="str">
        <f>"763310306"</f>
        <v>763310306</v>
      </c>
      <c r="L7775" t="str">
        <f>"763310306"</f>
        <v>763310306</v>
      </c>
      <c r="M7775" t="s">
        <v>75</v>
      </c>
      <c r="N7775" s="1">
        <v>43005.935416666667</v>
      </c>
      <c r="O7775" t="s">
        <v>19</v>
      </c>
    </row>
    <row r="7776" spans="1:15" x14ac:dyDescent="0.25">
      <c r="A7776" t="s">
        <v>5424</v>
      </c>
      <c r="B7776" t="s">
        <v>15</v>
      </c>
      <c r="C7776" t="s">
        <v>25</v>
      </c>
      <c r="D7776" t="s">
        <v>17</v>
      </c>
      <c r="E7776" t="s">
        <v>18</v>
      </c>
      <c r="F7776" t="s">
        <v>19</v>
      </c>
      <c r="G7776" t="s">
        <v>20</v>
      </c>
      <c r="J7776" t="s">
        <v>17</v>
      </c>
      <c r="K7776" t="str">
        <f>"683310306"</f>
        <v>683310306</v>
      </c>
      <c r="L7776" t="str">
        <f>"683310306"</f>
        <v>683310306</v>
      </c>
      <c r="M7776" t="s">
        <v>75</v>
      </c>
      <c r="N7776" s="1">
        <v>43007.693749999999</v>
      </c>
      <c r="O7776" t="s">
        <v>19</v>
      </c>
    </row>
    <row r="7777" spans="1:15" x14ac:dyDescent="0.25">
      <c r="A7777" t="s">
        <v>5424</v>
      </c>
      <c r="B7777" t="s">
        <v>15</v>
      </c>
      <c r="C7777" t="s">
        <v>25</v>
      </c>
      <c r="D7777" t="s">
        <v>17</v>
      </c>
      <c r="E7777" t="s">
        <v>18</v>
      </c>
      <c r="F7777" t="s">
        <v>19</v>
      </c>
      <c r="G7777" t="s">
        <v>20</v>
      </c>
      <c r="J7777" t="s">
        <v>17</v>
      </c>
      <c r="K7777" t="str">
        <f>"173310306"</f>
        <v>173310306</v>
      </c>
      <c r="L7777" t="str">
        <f>"173310306"</f>
        <v>173310306</v>
      </c>
      <c r="M7777" t="s">
        <v>75</v>
      </c>
      <c r="N7777" s="1">
        <v>43096.724999999999</v>
      </c>
      <c r="O7777" t="s">
        <v>19</v>
      </c>
    </row>
    <row r="7778" spans="1:15" x14ac:dyDescent="0.25">
      <c r="A7778" t="s">
        <v>5424</v>
      </c>
      <c r="B7778" t="s">
        <v>15</v>
      </c>
      <c r="C7778" t="s">
        <v>25</v>
      </c>
      <c r="D7778" t="s">
        <v>17</v>
      </c>
      <c r="E7778" t="s">
        <v>18</v>
      </c>
      <c r="F7778" t="s">
        <v>19</v>
      </c>
      <c r="G7778" t="s">
        <v>20</v>
      </c>
      <c r="J7778" t="s">
        <v>17</v>
      </c>
      <c r="K7778" t="str">
        <f>"343310306"</f>
        <v>343310306</v>
      </c>
      <c r="L7778" t="str">
        <f>"343310306"</f>
        <v>343310306</v>
      </c>
      <c r="M7778" t="s">
        <v>75</v>
      </c>
      <c r="N7778" s="1">
        <v>43231.690972222219</v>
      </c>
      <c r="O7778" t="s">
        <v>19</v>
      </c>
    </row>
    <row r="7779" spans="1:15" x14ac:dyDescent="0.25">
      <c r="A7779" t="s">
        <v>5424</v>
      </c>
      <c r="B7779" t="s">
        <v>15</v>
      </c>
      <c r="C7779" t="s">
        <v>25</v>
      </c>
      <c r="D7779" t="s">
        <v>17</v>
      </c>
      <c r="E7779" t="s">
        <v>18</v>
      </c>
      <c r="F7779" t="s">
        <v>19</v>
      </c>
      <c r="G7779" t="s">
        <v>20</v>
      </c>
      <c r="J7779" t="s">
        <v>17</v>
      </c>
      <c r="K7779" t="str">
        <f>"765310306"</f>
        <v>765310306</v>
      </c>
      <c r="L7779" t="str">
        <f>"765310306"</f>
        <v>765310306</v>
      </c>
      <c r="M7779" t="s">
        <v>75</v>
      </c>
      <c r="N7779" s="1">
        <v>43244.970833333333</v>
      </c>
      <c r="O7779" t="s">
        <v>19</v>
      </c>
    </row>
    <row r="7780" spans="1:15" x14ac:dyDescent="0.25">
      <c r="A7780" t="s">
        <v>5425</v>
      </c>
      <c r="B7780" t="s">
        <v>15</v>
      </c>
      <c r="C7780" t="s">
        <v>25</v>
      </c>
      <c r="D7780" t="s">
        <v>17</v>
      </c>
      <c r="E7780" t="s">
        <v>18</v>
      </c>
      <c r="F7780" t="s">
        <v>19</v>
      </c>
      <c r="G7780" t="s">
        <v>20</v>
      </c>
      <c r="J7780" t="s">
        <v>17</v>
      </c>
      <c r="K7780" t="str">
        <f>"173310311"</f>
        <v>173310311</v>
      </c>
      <c r="L7780" t="str">
        <f>"173310311"</f>
        <v>173310311</v>
      </c>
      <c r="M7780" t="s">
        <v>84</v>
      </c>
      <c r="N7780" s="1">
        <v>43308.881249999999</v>
      </c>
      <c r="O7780" t="s">
        <v>19</v>
      </c>
    </row>
    <row r="7781" spans="1:15" x14ac:dyDescent="0.25">
      <c r="A7781" t="s">
        <v>5425</v>
      </c>
      <c r="B7781" t="s">
        <v>15</v>
      </c>
      <c r="C7781" t="s">
        <v>25</v>
      </c>
      <c r="D7781" t="s">
        <v>17</v>
      </c>
      <c r="E7781" t="s">
        <v>18</v>
      </c>
      <c r="F7781" t="s">
        <v>19</v>
      </c>
      <c r="G7781" t="s">
        <v>20</v>
      </c>
      <c r="J7781" t="s">
        <v>17</v>
      </c>
      <c r="K7781" t="str">
        <f>"763310311"</f>
        <v>763310311</v>
      </c>
      <c r="L7781" t="str">
        <f>"763310311"</f>
        <v>763310311</v>
      </c>
      <c r="M7781" t="s">
        <v>84</v>
      </c>
      <c r="N7781" s="1">
        <v>43377.909722222219</v>
      </c>
      <c r="O7781" t="s">
        <v>19</v>
      </c>
    </row>
    <row r="7782" spans="1:15" x14ac:dyDescent="0.25">
      <c r="A7782" t="s">
        <v>5425</v>
      </c>
      <c r="B7782" t="s">
        <v>15</v>
      </c>
      <c r="C7782" t="s">
        <v>25</v>
      </c>
      <c r="D7782" t="s">
        <v>17</v>
      </c>
      <c r="E7782" t="s">
        <v>18</v>
      </c>
      <c r="F7782" t="s">
        <v>19</v>
      </c>
      <c r="G7782" t="s">
        <v>20</v>
      </c>
      <c r="J7782" t="s">
        <v>17</v>
      </c>
      <c r="K7782" t="str">
        <f>"343310311"</f>
        <v>343310311</v>
      </c>
      <c r="L7782" t="str">
        <f>"343310311"</f>
        <v>343310311</v>
      </c>
      <c r="M7782" t="s">
        <v>21</v>
      </c>
      <c r="N7782" s="1">
        <v>43668.681944444441</v>
      </c>
      <c r="O7782" t="s">
        <v>19</v>
      </c>
    </row>
    <row r="7783" spans="1:15" x14ac:dyDescent="0.25">
      <c r="A7783" t="s">
        <v>5426</v>
      </c>
      <c r="B7783" t="s">
        <v>15</v>
      </c>
      <c r="C7783" t="s">
        <v>25</v>
      </c>
      <c r="D7783" t="s">
        <v>17</v>
      </c>
      <c r="E7783" t="s">
        <v>18</v>
      </c>
      <c r="F7783" t="s">
        <v>19</v>
      </c>
      <c r="G7783" t="s">
        <v>20</v>
      </c>
      <c r="J7783" t="s">
        <v>17</v>
      </c>
      <c r="K7783" t="str">
        <f>"763310310"</f>
        <v>763310310</v>
      </c>
      <c r="L7783" t="str">
        <f>"763310310"</f>
        <v>763310310</v>
      </c>
      <c r="M7783" t="s">
        <v>84</v>
      </c>
      <c r="N7783" s="1">
        <v>43286.725694444445</v>
      </c>
      <c r="O7783" t="s">
        <v>19</v>
      </c>
    </row>
    <row r="7784" spans="1:15" x14ac:dyDescent="0.25">
      <c r="A7784" t="s">
        <v>5427</v>
      </c>
      <c r="B7784" t="s">
        <v>15</v>
      </c>
      <c r="C7784" t="s">
        <v>25</v>
      </c>
      <c r="D7784" t="s">
        <v>17</v>
      </c>
      <c r="E7784" t="s">
        <v>18</v>
      </c>
      <c r="F7784" t="s">
        <v>19</v>
      </c>
      <c r="G7784" t="s">
        <v>20</v>
      </c>
      <c r="J7784" t="s">
        <v>17</v>
      </c>
      <c r="K7784" t="str">
        <f>"1578151124499"</f>
        <v>1578151124499</v>
      </c>
      <c r="L7784" t="str">
        <f>"61330593"</f>
        <v>61330593</v>
      </c>
      <c r="M7784" t="s">
        <v>21</v>
      </c>
      <c r="N7784" s="1">
        <v>43834.637499999997</v>
      </c>
      <c r="O7784" t="s">
        <v>19</v>
      </c>
    </row>
    <row r="7785" spans="1:15" x14ac:dyDescent="0.25">
      <c r="A7785" t="s">
        <v>5427</v>
      </c>
      <c r="B7785" t="s">
        <v>15</v>
      </c>
      <c r="C7785" t="s">
        <v>25</v>
      </c>
      <c r="D7785" t="s">
        <v>17</v>
      </c>
      <c r="E7785" t="s">
        <v>18</v>
      </c>
      <c r="F7785" t="s">
        <v>19</v>
      </c>
      <c r="G7785" t="s">
        <v>20</v>
      </c>
      <c r="J7785" t="s">
        <v>17</v>
      </c>
      <c r="K7785" t="str">
        <f>"2019120100208"</f>
        <v>2019120100208</v>
      </c>
      <c r="L7785" t="str">
        <f>"183310318"</f>
        <v>183310318</v>
      </c>
      <c r="M7785" t="s">
        <v>21</v>
      </c>
      <c r="N7785" s="1">
        <v>43866.748611111114</v>
      </c>
      <c r="O7785" t="s">
        <v>19</v>
      </c>
    </row>
    <row r="7786" spans="1:15" x14ac:dyDescent="0.25">
      <c r="A7786" t="s">
        <v>5427</v>
      </c>
      <c r="B7786" t="s">
        <v>15</v>
      </c>
      <c r="C7786" t="s">
        <v>25</v>
      </c>
      <c r="D7786" t="s">
        <v>17</v>
      </c>
      <c r="E7786" t="s">
        <v>18</v>
      </c>
      <c r="F7786" t="s">
        <v>19</v>
      </c>
      <c r="G7786" t="s">
        <v>20</v>
      </c>
      <c r="J7786" t="s">
        <v>17</v>
      </c>
      <c r="K7786" t="str">
        <f>"343310318"</f>
        <v>343310318</v>
      </c>
      <c r="L7786" t="str">
        <f>"343310318"</f>
        <v>343310318</v>
      </c>
      <c r="M7786" t="s">
        <v>21</v>
      </c>
      <c r="N7786" s="1">
        <v>43993.865972222222</v>
      </c>
      <c r="O7786" t="s">
        <v>19</v>
      </c>
    </row>
    <row r="7787" spans="1:15" x14ac:dyDescent="0.25">
      <c r="A7787" t="s">
        <v>5428</v>
      </c>
      <c r="B7787" t="s">
        <v>15</v>
      </c>
      <c r="C7787" t="s">
        <v>25</v>
      </c>
      <c r="D7787" t="s">
        <v>17</v>
      </c>
      <c r="E7787" t="s">
        <v>18</v>
      </c>
      <c r="F7787" t="s">
        <v>19</v>
      </c>
      <c r="G7787" t="s">
        <v>20</v>
      </c>
      <c r="J7787" t="s">
        <v>17</v>
      </c>
      <c r="K7787" t="str">
        <f>"763310308"</f>
        <v>763310308</v>
      </c>
      <c r="L7787" t="str">
        <f>"763310308"</f>
        <v>763310308</v>
      </c>
      <c r="M7787" t="s">
        <v>75</v>
      </c>
      <c r="N7787" s="1">
        <v>43244.97152777778</v>
      </c>
      <c r="O7787" t="s">
        <v>19</v>
      </c>
    </row>
    <row r="7788" spans="1:15" x14ac:dyDescent="0.25">
      <c r="A7788" t="s">
        <v>5428</v>
      </c>
      <c r="B7788" t="s">
        <v>15</v>
      </c>
      <c r="C7788" t="s">
        <v>25</v>
      </c>
      <c r="D7788" t="s">
        <v>17</v>
      </c>
      <c r="E7788" t="s">
        <v>18</v>
      </c>
      <c r="F7788" t="s">
        <v>19</v>
      </c>
      <c r="G7788" t="s">
        <v>20</v>
      </c>
      <c r="J7788" t="s">
        <v>17</v>
      </c>
      <c r="K7788" t="str">
        <f>"173310308"</f>
        <v>173310308</v>
      </c>
      <c r="L7788" t="str">
        <f>"173310308"</f>
        <v>173310308</v>
      </c>
      <c r="M7788" t="s">
        <v>84</v>
      </c>
      <c r="N7788" s="1">
        <v>43308.881249999999</v>
      </c>
      <c r="O7788" t="s">
        <v>19</v>
      </c>
    </row>
    <row r="7789" spans="1:15" x14ac:dyDescent="0.25">
      <c r="A7789" t="s">
        <v>5428</v>
      </c>
      <c r="B7789" t="s">
        <v>15</v>
      </c>
      <c r="C7789" t="s">
        <v>25</v>
      </c>
      <c r="D7789" t="s">
        <v>17</v>
      </c>
      <c r="E7789" t="s">
        <v>18</v>
      </c>
      <c r="F7789" t="s">
        <v>19</v>
      </c>
      <c r="G7789" t="s">
        <v>20</v>
      </c>
      <c r="J7789" t="s">
        <v>17</v>
      </c>
      <c r="K7789" t="str">
        <f>"683310308"</f>
        <v>683310308</v>
      </c>
      <c r="L7789" t="str">
        <f>"683310308"</f>
        <v>683310308</v>
      </c>
      <c r="M7789" t="s">
        <v>84</v>
      </c>
      <c r="N7789" s="1">
        <v>43545.78125</v>
      </c>
      <c r="O7789" t="s">
        <v>19</v>
      </c>
    </row>
    <row r="7790" spans="1:15" x14ac:dyDescent="0.25">
      <c r="A7790" t="s">
        <v>5428</v>
      </c>
      <c r="B7790" t="s">
        <v>15</v>
      </c>
      <c r="C7790" t="s">
        <v>25</v>
      </c>
      <c r="D7790" t="s">
        <v>17</v>
      </c>
      <c r="E7790" t="s">
        <v>18</v>
      </c>
      <c r="F7790" t="s">
        <v>19</v>
      </c>
      <c r="G7790" t="s">
        <v>20</v>
      </c>
      <c r="J7790" t="s">
        <v>17</v>
      </c>
      <c r="K7790" t="str">
        <f>"2020060901169"</f>
        <v>2020060901169</v>
      </c>
      <c r="L7790" t="str">
        <f>"183310323"</f>
        <v>183310323</v>
      </c>
      <c r="M7790" t="s">
        <v>21</v>
      </c>
      <c r="N7790" s="1">
        <v>43661.885416666664</v>
      </c>
      <c r="O7790" t="s">
        <v>19</v>
      </c>
    </row>
    <row r="7791" spans="1:15" x14ac:dyDescent="0.25">
      <c r="A7791" t="s">
        <v>5429</v>
      </c>
      <c r="B7791" t="s">
        <v>15</v>
      </c>
      <c r="C7791" t="s">
        <v>25</v>
      </c>
      <c r="D7791" t="s">
        <v>17</v>
      </c>
      <c r="E7791" t="s">
        <v>18</v>
      </c>
      <c r="F7791" t="s">
        <v>19</v>
      </c>
      <c r="G7791" t="s">
        <v>20</v>
      </c>
      <c r="J7791" t="s">
        <v>17</v>
      </c>
      <c r="K7791" t="str">
        <f>"17531059"</f>
        <v>17531059</v>
      </c>
      <c r="L7791" t="str">
        <f>"17531059"</f>
        <v>17531059</v>
      </c>
      <c r="M7791" t="s">
        <v>75</v>
      </c>
      <c r="N7791" s="1">
        <v>42872.839583333334</v>
      </c>
      <c r="O7791" t="s">
        <v>19</v>
      </c>
    </row>
    <row r="7792" spans="1:15" x14ac:dyDescent="0.25">
      <c r="A7792" t="s">
        <v>5429</v>
      </c>
      <c r="B7792" t="s">
        <v>15</v>
      </c>
      <c r="C7792" t="s">
        <v>25</v>
      </c>
      <c r="D7792" t="s">
        <v>17</v>
      </c>
      <c r="E7792" t="s">
        <v>18</v>
      </c>
      <c r="F7792" t="s">
        <v>19</v>
      </c>
      <c r="G7792" t="s">
        <v>20</v>
      </c>
      <c r="J7792" t="s">
        <v>17</v>
      </c>
      <c r="K7792" t="str">
        <f>"34531058"</f>
        <v>34531058</v>
      </c>
      <c r="L7792" t="str">
        <f>"34531058"</f>
        <v>34531058</v>
      </c>
      <c r="M7792" t="s">
        <v>75</v>
      </c>
      <c r="N7792" s="1">
        <v>42872.839583333334</v>
      </c>
      <c r="O7792" t="s">
        <v>19</v>
      </c>
    </row>
    <row r="7793" spans="1:15" x14ac:dyDescent="0.25">
      <c r="A7793" t="s">
        <v>5429</v>
      </c>
      <c r="B7793" t="s">
        <v>15</v>
      </c>
      <c r="C7793" t="s">
        <v>25</v>
      </c>
      <c r="D7793" t="s">
        <v>17</v>
      </c>
      <c r="E7793" t="s">
        <v>18</v>
      </c>
      <c r="F7793" t="s">
        <v>19</v>
      </c>
      <c r="G7793" t="s">
        <v>20</v>
      </c>
      <c r="J7793" t="s">
        <v>17</v>
      </c>
      <c r="K7793" t="str">
        <f>"34531059"</f>
        <v>34531059</v>
      </c>
      <c r="L7793" t="str">
        <f>"34531059"</f>
        <v>34531059</v>
      </c>
      <c r="M7793" t="s">
        <v>75</v>
      </c>
      <c r="N7793" s="1">
        <v>42872.839583333334</v>
      </c>
      <c r="O7793" t="s">
        <v>19</v>
      </c>
    </row>
    <row r="7794" spans="1:15" x14ac:dyDescent="0.25">
      <c r="A7794" t="s">
        <v>5429</v>
      </c>
      <c r="B7794" t="s">
        <v>15</v>
      </c>
      <c r="C7794" t="s">
        <v>25</v>
      </c>
      <c r="D7794" t="s">
        <v>17</v>
      </c>
      <c r="E7794" t="s">
        <v>18</v>
      </c>
      <c r="F7794" t="s">
        <v>19</v>
      </c>
      <c r="G7794" t="s">
        <v>20</v>
      </c>
      <c r="J7794" t="s">
        <v>17</v>
      </c>
      <c r="K7794" t="str">
        <f>"76331059"</f>
        <v>76331059</v>
      </c>
      <c r="L7794" t="str">
        <f>"76331059"</f>
        <v>76331059</v>
      </c>
      <c r="M7794" t="s">
        <v>75</v>
      </c>
      <c r="N7794" s="1">
        <v>42872.847222222219</v>
      </c>
      <c r="O7794" t="s">
        <v>19</v>
      </c>
    </row>
    <row r="7795" spans="1:15" x14ac:dyDescent="0.25">
      <c r="A7795" t="s">
        <v>5429</v>
      </c>
      <c r="B7795" t="s">
        <v>15</v>
      </c>
      <c r="C7795" t="s">
        <v>25</v>
      </c>
      <c r="D7795" t="s">
        <v>17</v>
      </c>
      <c r="E7795" t="s">
        <v>18</v>
      </c>
      <c r="F7795" t="s">
        <v>19</v>
      </c>
      <c r="G7795" t="s">
        <v>20</v>
      </c>
      <c r="J7795" t="s">
        <v>17</v>
      </c>
      <c r="K7795" t="str">
        <f>"76531032"</f>
        <v>76531032</v>
      </c>
      <c r="L7795" t="str">
        <f>"76531032"</f>
        <v>76531032</v>
      </c>
      <c r="M7795" t="s">
        <v>75</v>
      </c>
      <c r="N7795" s="1">
        <v>42872.847222222219</v>
      </c>
      <c r="O7795" t="s">
        <v>19</v>
      </c>
    </row>
    <row r="7796" spans="1:15" x14ac:dyDescent="0.25">
      <c r="A7796" t="s">
        <v>5429</v>
      </c>
      <c r="B7796" t="s">
        <v>15</v>
      </c>
      <c r="C7796" t="s">
        <v>25</v>
      </c>
      <c r="D7796" t="s">
        <v>17</v>
      </c>
      <c r="E7796" t="s">
        <v>18</v>
      </c>
      <c r="F7796" t="s">
        <v>19</v>
      </c>
      <c r="G7796" t="s">
        <v>20</v>
      </c>
      <c r="J7796" t="s">
        <v>17</v>
      </c>
      <c r="K7796" t="str">
        <f>"76531059"</f>
        <v>76531059</v>
      </c>
      <c r="L7796" t="str">
        <f>"76531059"</f>
        <v>76531059</v>
      </c>
      <c r="M7796" t="s">
        <v>75</v>
      </c>
      <c r="N7796" s="1">
        <v>42872.847222222219</v>
      </c>
      <c r="O7796" t="s">
        <v>19</v>
      </c>
    </row>
    <row r="7797" spans="1:15" x14ac:dyDescent="0.25">
      <c r="A7797" t="s">
        <v>5430</v>
      </c>
      <c r="B7797" t="s">
        <v>15</v>
      </c>
      <c r="C7797" t="s">
        <v>25</v>
      </c>
      <c r="D7797" t="s">
        <v>17</v>
      </c>
      <c r="E7797" t="s">
        <v>18</v>
      </c>
      <c r="F7797" t="s">
        <v>19</v>
      </c>
      <c r="G7797" t="s">
        <v>20</v>
      </c>
      <c r="J7797" t="s">
        <v>17</v>
      </c>
      <c r="K7797" t="str">
        <f>"34530962"</f>
        <v>34530962</v>
      </c>
      <c r="L7797" t="str">
        <f>"34530962"</f>
        <v>34530962</v>
      </c>
      <c r="M7797" t="s">
        <v>75</v>
      </c>
      <c r="N7797" s="1">
        <v>42872.839583333334</v>
      </c>
      <c r="O7797" t="s">
        <v>19</v>
      </c>
    </row>
    <row r="7798" spans="1:15" x14ac:dyDescent="0.25">
      <c r="A7798" t="s">
        <v>5430</v>
      </c>
      <c r="B7798" t="s">
        <v>15</v>
      </c>
      <c r="C7798" t="s">
        <v>25</v>
      </c>
      <c r="D7798" t="s">
        <v>17</v>
      </c>
      <c r="E7798" t="s">
        <v>18</v>
      </c>
      <c r="F7798" t="s">
        <v>19</v>
      </c>
      <c r="G7798" t="s">
        <v>20</v>
      </c>
      <c r="J7798" t="s">
        <v>17</v>
      </c>
      <c r="K7798" t="str">
        <f>"34531062"</f>
        <v>34531062</v>
      </c>
      <c r="L7798" t="str">
        <f>"34531062"</f>
        <v>34531062</v>
      </c>
      <c r="M7798" t="s">
        <v>75</v>
      </c>
      <c r="N7798" s="1">
        <v>42872.839583333334</v>
      </c>
      <c r="O7798" t="s">
        <v>19</v>
      </c>
    </row>
    <row r="7799" spans="1:15" x14ac:dyDescent="0.25">
      <c r="A7799" t="s">
        <v>5430</v>
      </c>
      <c r="B7799" t="s">
        <v>15</v>
      </c>
      <c r="C7799" t="s">
        <v>25</v>
      </c>
      <c r="D7799" t="s">
        <v>17</v>
      </c>
      <c r="E7799" t="s">
        <v>18</v>
      </c>
      <c r="F7799" t="s">
        <v>19</v>
      </c>
      <c r="G7799" t="s">
        <v>20</v>
      </c>
      <c r="J7799" t="s">
        <v>17</v>
      </c>
      <c r="K7799" t="str">
        <f>"76531062"</f>
        <v>76531062</v>
      </c>
      <c r="L7799" t="str">
        <f>"76531062"</f>
        <v>76531062</v>
      </c>
      <c r="M7799" t="s">
        <v>75</v>
      </c>
      <c r="N7799" s="1">
        <v>42872.847222222219</v>
      </c>
      <c r="O7799" t="s">
        <v>19</v>
      </c>
    </row>
    <row r="7800" spans="1:15" x14ac:dyDescent="0.25">
      <c r="A7800" t="s">
        <v>5431</v>
      </c>
      <c r="B7800" t="s">
        <v>15</v>
      </c>
      <c r="C7800" t="s">
        <v>25</v>
      </c>
      <c r="D7800" t="s">
        <v>17</v>
      </c>
      <c r="E7800" t="s">
        <v>18</v>
      </c>
      <c r="F7800" t="s">
        <v>19</v>
      </c>
      <c r="G7800" t="s">
        <v>20</v>
      </c>
      <c r="J7800" t="s">
        <v>17</v>
      </c>
      <c r="K7800" t="str">
        <f>"345310190"</f>
        <v>345310190</v>
      </c>
      <c r="L7800" t="str">
        <f>"345310190"</f>
        <v>345310190</v>
      </c>
      <c r="M7800" t="s">
        <v>75</v>
      </c>
      <c r="N7800" s="1">
        <v>42872.849305555559</v>
      </c>
      <c r="O7800" t="s">
        <v>19</v>
      </c>
    </row>
    <row r="7801" spans="1:15" x14ac:dyDescent="0.25">
      <c r="A7801" t="s">
        <v>5432</v>
      </c>
      <c r="B7801" t="s">
        <v>15</v>
      </c>
      <c r="C7801" t="s">
        <v>25</v>
      </c>
      <c r="D7801" t="s">
        <v>17</v>
      </c>
      <c r="E7801" t="s">
        <v>18</v>
      </c>
      <c r="F7801" t="s">
        <v>19</v>
      </c>
      <c r="G7801" t="s">
        <v>20</v>
      </c>
      <c r="J7801" t="s">
        <v>17</v>
      </c>
      <c r="K7801" t="str">
        <f>"7653102231"</f>
        <v>7653102231</v>
      </c>
      <c r="L7801" t="str">
        <f>"7653102231"</f>
        <v>7653102231</v>
      </c>
      <c r="M7801" t="s">
        <v>75</v>
      </c>
      <c r="N7801" s="1">
        <v>42872.849305555559</v>
      </c>
      <c r="O7801" t="s">
        <v>19</v>
      </c>
    </row>
    <row r="7802" spans="1:15" x14ac:dyDescent="0.25">
      <c r="A7802" t="s">
        <v>5433</v>
      </c>
      <c r="B7802" t="s">
        <v>15</v>
      </c>
      <c r="C7802" t="s">
        <v>25</v>
      </c>
      <c r="D7802" t="s">
        <v>17</v>
      </c>
      <c r="E7802" t="s">
        <v>18</v>
      </c>
      <c r="F7802" t="s">
        <v>19</v>
      </c>
      <c r="G7802" t="s">
        <v>20</v>
      </c>
      <c r="J7802" t="s">
        <v>17</v>
      </c>
      <c r="K7802" t="str">
        <f>"34331062"</f>
        <v>34331062</v>
      </c>
      <c r="L7802" t="str">
        <f>"34331062"</f>
        <v>34331062</v>
      </c>
      <c r="M7802" t="s">
        <v>75</v>
      </c>
      <c r="N7802" s="1">
        <v>42872.839583333334</v>
      </c>
      <c r="O7802" t="s">
        <v>19</v>
      </c>
    </row>
    <row r="7803" spans="1:15" x14ac:dyDescent="0.25">
      <c r="A7803" t="s">
        <v>5433</v>
      </c>
      <c r="B7803" t="s">
        <v>15</v>
      </c>
      <c r="C7803" t="s">
        <v>25</v>
      </c>
      <c r="D7803" t="s">
        <v>17</v>
      </c>
      <c r="E7803" t="s">
        <v>18</v>
      </c>
      <c r="F7803" t="s">
        <v>19</v>
      </c>
      <c r="G7803" t="s">
        <v>20</v>
      </c>
      <c r="J7803" t="s">
        <v>17</v>
      </c>
      <c r="K7803" t="str">
        <f>"76331062"</f>
        <v>76331062</v>
      </c>
      <c r="L7803" t="str">
        <f>"76331062"</f>
        <v>76331062</v>
      </c>
      <c r="M7803" t="s">
        <v>75</v>
      </c>
      <c r="N7803" s="1">
        <v>42872.847222222219</v>
      </c>
      <c r="O7803" t="s">
        <v>19</v>
      </c>
    </row>
    <row r="7804" spans="1:15" x14ac:dyDescent="0.25">
      <c r="A7804" t="s">
        <v>5433</v>
      </c>
      <c r="B7804" t="s">
        <v>15</v>
      </c>
      <c r="C7804" t="s">
        <v>25</v>
      </c>
      <c r="D7804" t="s">
        <v>17</v>
      </c>
      <c r="E7804" t="s">
        <v>18</v>
      </c>
      <c r="F7804" t="s">
        <v>19</v>
      </c>
      <c r="G7804" t="s">
        <v>20</v>
      </c>
      <c r="J7804" t="s">
        <v>17</v>
      </c>
      <c r="K7804" t="str">
        <f>"334531062"</f>
        <v>334531062</v>
      </c>
      <c r="L7804" t="str">
        <f>"334531062"</f>
        <v>334531062</v>
      </c>
      <c r="M7804" t="s">
        <v>75</v>
      </c>
      <c r="N7804" s="1">
        <v>42872.849305555559</v>
      </c>
      <c r="O7804" t="s">
        <v>19</v>
      </c>
    </row>
    <row r="7805" spans="1:15" x14ac:dyDescent="0.25">
      <c r="A7805" t="s">
        <v>5433</v>
      </c>
      <c r="B7805" t="s">
        <v>15</v>
      </c>
      <c r="C7805" t="s">
        <v>25</v>
      </c>
      <c r="D7805" t="s">
        <v>17</v>
      </c>
      <c r="E7805" t="s">
        <v>18</v>
      </c>
      <c r="F7805" t="s">
        <v>19</v>
      </c>
      <c r="G7805" t="s">
        <v>20</v>
      </c>
      <c r="J7805" t="s">
        <v>17</v>
      </c>
      <c r="K7805" t="str">
        <f>"68331062"</f>
        <v>68331062</v>
      </c>
      <c r="L7805" t="str">
        <f>"68331062"</f>
        <v>68331062</v>
      </c>
      <c r="M7805" t="s">
        <v>84</v>
      </c>
      <c r="N7805" s="1">
        <v>43420.620833333334</v>
      </c>
      <c r="O7805" t="s">
        <v>19</v>
      </c>
    </row>
    <row r="7806" spans="1:15" x14ac:dyDescent="0.25">
      <c r="A7806" t="s">
        <v>5434</v>
      </c>
      <c r="B7806" t="s">
        <v>15</v>
      </c>
      <c r="C7806" t="s">
        <v>25</v>
      </c>
      <c r="D7806" t="s">
        <v>17</v>
      </c>
      <c r="E7806" t="s">
        <v>18</v>
      </c>
      <c r="F7806" t="s">
        <v>19</v>
      </c>
      <c r="G7806" t="s">
        <v>20</v>
      </c>
      <c r="J7806" t="s">
        <v>17</v>
      </c>
      <c r="K7806" t="str">
        <f>"17531064"</f>
        <v>17531064</v>
      </c>
      <c r="L7806" t="str">
        <f>"17531064"</f>
        <v>17531064</v>
      </c>
      <c r="M7806" t="s">
        <v>75</v>
      </c>
      <c r="N7806" s="1">
        <v>42872.839583333334</v>
      </c>
      <c r="O7806" t="s">
        <v>19</v>
      </c>
    </row>
    <row r="7807" spans="1:15" x14ac:dyDescent="0.25">
      <c r="A7807" t="s">
        <v>5434</v>
      </c>
      <c r="B7807" t="s">
        <v>15</v>
      </c>
      <c r="C7807" t="s">
        <v>25</v>
      </c>
      <c r="D7807" t="s">
        <v>17</v>
      </c>
      <c r="E7807" t="s">
        <v>18</v>
      </c>
      <c r="F7807" t="s">
        <v>19</v>
      </c>
      <c r="G7807" t="s">
        <v>20</v>
      </c>
      <c r="J7807" t="s">
        <v>17</v>
      </c>
      <c r="K7807" t="str">
        <f>"34531064"</f>
        <v>34531064</v>
      </c>
      <c r="L7807" t="str">
        <f>"34531064"</f>
        <v>34531064</v>
      </c>
      <c r="M7807" t="s">
        <v>75</v>
      </c>
      <c r="N7807" s="1">
        <v>42872.839583333334</v>
      </c>
      <c r="O7807" t="s">
        <v>19</v>
      </c>
    </row>
    <row r="7808" spans="1:15" x14ac:dyDescent="0.25">
      <c r="A7808" t="s">
        <v>5434</v>
      </c>
      <c r="B7808" t="s">
        <v>15</v>
      </c>
      <c r="C7808" t="s">
        <v>25</v>
      </c>
      <c r="D7808" t="s">
        <v>17</v>
      </c>
      <c r="E7808" t="s">
        <v>18</v>
      </c>
      <c r="F7808" t="s">
        <v>19</v>
      </c>
      <c r="G7808" t="s">
        <v>20</v>
      </c>
      <c r="J7808" t="s">
        <v>17</v>
      </c>
      <c r="K7808" t="str">
        <f>"76331064"</f>
        <v>76331064</v>
      </c>
      <c r="L7808" t="str">
        <f>"76331064"</f>
        <v>76331064</v>
      </c>
      <c r="M7808" t="s">
        <v>75</v>
      </c>
      <c r="N7808" s="1">
        <v>42872.847222222219</v>
      </c>
      <c r="O7808" t="s">
        <v>19</v>
      </c>
    </row>
    <row r="7809" spans="1:15" x14ac:dyDescent="0.25">
      <c r="A7809" t="s">
        <v>5434</v>
      </c>
      <c r="B7809" t="s">
        <v>15</v>
      </c>
      <c r="C7809" t="s">
        <v>25</v>
      </c>
      <c r="D7809" t="s">
        <v>17</v>
      </c>
      <c r="E7809" t="s">
        <v>18</v>
      </c>
      <c r="F7809" t="s">
        <v>19</v>
      </c>
      <c r="G7809" t="s">
        <v>20</v>
      </c>
      <c r="J7809" t="s">
        <v>17</v>
      </c>
      <c r="K7809" t="str">
        <f>"76531064"</f>
        <v>76531064</v>
      </c>
      <c r="L7809" t="str">
        <f>"76531064"</f>
        <v>76531064</v>
      </c>
      <c r="M7809" t="s">
        <v>75</v>
      </c>
      <c r="N7809" s="1">
        <v>42872.847222222219</v>
      </c>
      <c r="O7809" t="s">
        <v>19</v>
      </c>
    </row>
    <row r="7810" spans="1:15" x14ac:dyDescent="0.25">
      <c r="A7810" t="s">
        <v>5434</v>
      </c>
      <c r="B7810" t="s">
        <v>15</v>
      </c>
      <c r="C7810" t="s">
        <v>25</v>
      </c>
      <c r="D7810" t="s">
        <v>17</v>
      </c>
      <c r="E7810" t="s">
        <v>18</v>
      </c>
      <c r="F7810" t="s">
        <v>19</v>
      </c>
      <c r="G7810" t="s">
        <v>20</v>
      </c>
      <c r="J7810" t="s">
        <v>17</v>
      </c>
      <c r="K7810" t="str">
        <f>"93331064"</f>
        <v>93331064</v>
      </c>
      <c r="L7810" t="str">
        <f>"93331064"</f>
        <v>93331064</v>
      </c>
      <c r="M7810" t="s">
        <v>75</v>
      </c>
      <c r="N7810" s="1">
        <v>42872.847222222219</v>
      </c>
      <c r="O7810" t="s">
        <v>19</v>
      </c>
    </row>
    <row r="7811" spans="1:15" x14ac:dyDescent="0.25">
      <c r="A7811" t="s">
        <v>5434</v>
      </c>
      <c r="B7811" t="s">
        <v>15</v>
      </c>
      <c r="C7811" t="s">
        <v>25</v>
      </c>
      <c r="D7811" t="s">
        <v>17</v>
      </c>
      <c r="E7811" t="s">
        <v>18</v>
      </c>
      <c r="F7811" t="s">
        <v>19</v>
      </c>
      <c r="G7811" t="s">
        <v>20</v>
      </c>
      <c r="J7811" t="s">
        <v>17</v>
      </c>
      <c r="K7811" t="str">
        <f>"765310190"</f>
        <v>765310190</v>
      </c>
      <c r="L7811" t="str">
        <f>"765310190"</f>
        <v>765310190</v>
      </c>
      <c r="M7811" t="s">
        <v>75</v>
      </c>
      <c r="N7811" s="1">
        <v>42872.849305555559</v>
      </c>
      <c r="O7811" t="s">
        <v>19</v>
      </c>
    </row>
    <row r="7812" spans="1:15" x14ac:dyDescent="0.25">
      <c r="A7812" t="s">
        <v>5434</v>
      </c>
      <c r="B7812" t="s">
        <v>15</v>
      </c>
      <c r="C7812" t="s">
        <v>25</v>
      </c>
      <c r="D7812" t="s">
        <v>17</v>
      </c>
      <c r="E7812" t="s">
        <v>18</v>
      </c>
      <c r="F7812" t="s">
        <v>19</v>
      </c>
      <c r="G7812" t="s">
        <v>20</v>
      </c>
      <c r="J7812" t="s">
        <v>17</v>
      </c>
      <c r="K7812" t="str">
        <f>"17331064"</f>
        <v>17331064</v>
      </c>
      <c r="L7812" t="str">
        <f>"17331064"</f>
        <v>17331064</v>
      </c>
      <c r="M7812" t="s">
        <v>75</v>
      </c>
      <c r="N7812" s="1">
        <v>43131.926388888889</v>
      </c>
      <c r="O7812" t="s">
        <v>19</v>
      </c>
    </row>
    <row r="7813" spans="1:15" x14ac:dyDescent="0.25">
      <c r="A7813" t="s">
        <v>5435</v>
      </c>
      <c r="B7813" t="s">
        <v>15</v>
      </c>
      <c r="C7813" t="s">
        <v>25</v>
      </c>
      <c r="D7813" t="s">
        <v>17</v>
      </c>
      <c r="E7813" t="s">
        <v>18</v>
      </c>
      <c r="F7813" t="s">
        <v>19</v>
      </c>
      <c r="G7813" t="s">
        <v>20</v>
      </c>
      <c r="J7813" t="s">
        <v>17</v>
      </c>
      <c r="K7813" t="str">
        <f>"345310231"</f>
        <v>345310231</v>
      </c>
      <c r="L7813" t="str">
        <f>"345310231"</f>
        <v>345310231</v>
      </c>
      <c r="M7813" t="s">
        <v>75</v>
      </c>
      <c r="N7813" s="1">
        <v>42872.849305555559</v>
      </c>
      <c r="O7813" t="s">
        <v>19</v>
      </c>
    </row>
    <row r="7814" spans="1:15" x14ac:dyDescent="0.25">
      <c r="A7814" t="s">
        <v>5435</v>
      </c>
      <c r="B7814" t="s">
        <v>15</v>
      </c>
      <c r="C7814" t="s">
        <v>25</v>
      </c>
      <c r="D7814" t="s">
        <v>17</v>
      </c>
      <c r="E7814" t="s">
        <v>18</v>
      </c>
      <c r="F7814" t="s">
        <v>19</v>
      </c>
      <c r="G7814" t="s">
        <v>20</v>
      </c>
      <c r="J7814" t="s">
        <v>17</v>
      </c>
      <c r="K7814" t="str">
        <f>"763310231"</f>
        <v>763310231</v>
      </c>
      <c r="L7814" t="str">
        <f>"763310231"</f>
        <v>763310231</v>
      </c>
      <c r="M7814" t="s">
        <v>75</v>
      </c>
      <c r="N7814" s="1">
        <v>42872.849305555559</v>
      </c>
      <c r="O7814" t="s">
        <v>19</v>
      </c>
    </row>
    <row r="7815" spans="1:15" x14ac:dyDescent="0.25">
      <c r="A7815" t="s">
        <v>5435</v>
      </c>
      <c r="B7815" t="s">
        <v>15</v>
      </c>
      <c r="C7815" t="s">
        <v>25</v>
      </c>
      <c r="D7815" t="s">
        <v>17</v>
      </c>
      <c r="E7815" t="s">
        <v>18</v>
      </c>
      <c r="F7815" t="s">
        <v>19</v>
      </c>
      <c r="G7815" t="s">
        <v>20</v>
      </c>
      <c r="J7815" t="s">
        <v>17</v>
      </c>
      <c r="K7815" t="str">
        <f>"933310231"</f>
        <v>933310231</v>
      </c>
      <c r="L7815" t="str">
        <f>"933310231"</f>
        <v>933310231</v>
      </c>
      <c r="M7815" t="s">
        <v>75</v>
      </c>
      <c r="N7815" s="1">
        <v>42872.849305555559</v>
      </c>
      <c r="O7815" t="s">
        <v>19</v>
      </c>
    </row>
    <row r="7816" spans="1:15" x14ac:dyDescent="0.25">
      <c r="A7816" t="s">
        <v>5435</v>
      </c>
      <c r="B7816" t="s">
        <v>15</v>
      </c>
      <c r="C7816" t="s">
        <v>25</v>
      </c>
      <c r="D7816" t="s">
        <v>17</v>
      </c>
      <c r="E7816" t="s">
        <v>18</v>
      </c>
      <c r="F7816" t="s">
        <v>19</v>
      </c>
      <c r="G7816" t="s">
        <v>20</v>
      </c>
      <c r="J7816" t="s">
        <v>17</v>
      </c>
      <c r="K7816" t="str">
        <f>"173310231"</f>
        <v>173310231</v>
      </c>
      <c r="L7816" t="str">
        <f>"173310231"</f>
        <v>173310231</v>
      </c>
      <c r="M7816" t="s">
        <v>75</v>
      </c>
      <c r="N7816" s="1">
        <v>43096.722916666666</v>
      </c>
      <c r="O7816" t="s">
        <v>19</v>
      </c>
    </row>
    <row r="7817" spans="1:15" x14ac:dyDescent="0.25">
      <c r="A7817" t="s">
        <v>5436</v>
      </c>
      <c r="B7817" t="s">
        <v>15</v>
      </c>
      <c r="C7817" t="s">
        <v>25</v>
      </c>
      <c r="D7817" t="s">
        <v>17</v>
      </c>
      <c r="E7817" t="s">
        <v>18</v>
      </c>
      <c r="F7817" t="s">
        <v>19</v>
      </c>
      <c r="G7817" t="s">
        <v>20</v>
      </c>
      <c r="J7817" t="s">
        <v>17</v>
      </c>
      <c r="K7817" t="str">
        <f>"325310268"</f>
        <v>325310268</v>
      </c>
      <c r="L7817" t="str">
        <f>"325310268"</f>
        <v>325310268</v>
      </c>
      <c r="M7817" t="s">
        <v>75</v>
      </c>
      <c r="N7817" s="1">
        <v>42872.849305555559</v>
      </c>
      <c r="O7817" t="s">
        <v>19</v>
      </c>
    </row>
    <row r="7818" spans="1:15" x14ac:dyDescent="0.25">
      <c r="A7818" t="s">
        <v>5436</v>
      </c>
      <c r="B7818" t="s">
        <v>15</v>
      </c>
      <c r="C7818" t="s">
        <v>25</v>
      </c>
      <c r="D7818" t="s">
        <v>17</v>
      </c>
      <c r="E7818" t="s">
        <v>18</v>
      </c>
      <c r="F7818" t="s">
        <v>19</v>
      </c>
      <c r="G7818" t="s">
        <v>20</v>
      </c>
      <c r="J7818" t="s">
        <v>17</v>
      </c>
      <c r="K7818" t="str">
        <f>"343310268"</f>
        <v>343310268</v>
      </c>
      <c r="L7818" t="str">
        <f>"343310268"</f>
        <v>343310268</v>
      </c>
      <c r="M7818" t="s">
        <v>75</v>
      </c>
      <c r="N7818" s="1">
        <v>42872.849305555559</v>
      </c>
      <c r="O7818" t="s">
        <v>19</v>
      </c>
    </row>
    <row r="7819" spans="1:15" x14ac:dyDescent="0.25">
      <c r="A7819" t="s">
        <v>5436</v>
      </c>
      <c r="B7819" t="s">
        <v>15</v>
      </c>
      <c r="C7819" t="s">
        <v>25</v>
      </c>
      <c r="D7819" t="s">
        <v>17</v>
      </c>
      <c r="E7819" t="s">
        <v>18</v>
      </c>
      <c r="F7819" t="s">
        <v>19</v>
      </c>
      <c r="G7819" t="s">
        <v>20</v>
      </c>
      <c r="J7819" t="s">
        <v>17</v>
      </c>
      <c r="K7819" t="str">
        <f>"345310268"</f>
        <v>345310268</v>
      </c>
      <c r="L7819" t="str">
        <f>"345310268"</f>
        <v>345310268</v>
      </c>
      <c r="M7819" t="s">
        <v>75</v>
      </c>
      <c r="N7819" s="1">
        <v>42872.849305555559</v>
      </c>
      <c r="O7819" t="s">
        <v>19</v>
      </c>
    </row>
    <row r="7820" spans="1:15" x14ac:dyDescent="0.25">
      <c r="A7820" t="s">
        <v>5436</v>
      </c>
      <c r="B7820" t="s">
        <v>15</v>
      </c>
      <c r="C7820" t="s">
        <v>25</v>
      </c>
      <c r="D7820" t="s">
        <v>17</v>
      </c>
      <c r="E7820" t="s">
        <v>18</v>
      </c>
      <c r="F7820" t="s">
        <v>19</v>
      </c>
      <c r="G7820" t="s">
        <v>20</v>
      </c>
      <c r="J7820" t="s">
        <v>17</v>
      </c>
      <c r="K7820" t="str">
        <f>"763310268"</f>
        <v>763310268</v>
      </c>
      <c r="L7820" t="str">
        <f>"763310268"</f>
        <v>763310268</v>
      </c>
      <c r="M7820" t="s">
        <v>75</v>
      </c>
      <c r="N7820" s="1">
        <v>42872.849305555559</v>
      </c>
      <c r="O7820" t="s">
        <v>19</v>
      </c>
    </row>
    <row r="7821" spans="1:15" x14ac:dyDescent="0.25">
      <c r="A7821" t="s">
        <v>5436</v>
      </c>
      <c r="B7821" t="s">
        <v>15</v>
      </c>
      <c r="C7821" t="s">
        <v>25</v>
      </c>
      <c r="D7821" t="s">
        <v>17</v>
      </c>
      <c r="E7821" t="s">
        <v>18</v>
      </c>
      <c r="F7821" t="s">
        <v>19</v>
      </c>
      <c r="G7821" t="s">
        <v>20</v>
      </c>
      <c r="J7821" t="s">
        <v>17</v>
      </c>
      <c r="K7821" t="str">
        <f>"765310268"</f>
        <v>765310268</v>
      </c>
      <c r="L7821" t="str">
        <f>"765310268"</f>
        <v>765310268</v>
      </c>
      <c r="M7821" t="s">
        <v>75</v>
      </c>
      <c r="N7821" s="1">
        <v>42872.849305555559</v>
      </c>
      <c r="O7821" t="s">
        <v>19</v>
      </c>
    </row>
    <row r="7822" spans="1:15" x14ac:dyDescent="0.25">
      <c r="A7822" t="s">
        <v>5437</v>
      </c>
      <c r="B7822" t="s">
        <v>15</v>
      </c>
      <c r="C7822" t="s">
        <v>25</v>
      </c>
      <c r="D7822" t="s">
        <v>17</v>
      </c>
      <c r="E7822" t="s">
        <v>18</v>
      </c>
      <c r="F7822" t="s">
        <v>19</v>
      </c>
      <c r="G7822" t="s">
        <v>20</v>
      </c>
      <c r="J7822" t="s">
        <v>17</v>
      </c>
      <c r="K7822" t="str">
        <f>"343310234"</f>
        <v>343310234</v>
      </c>
      <c r="L7822" t="str">
        <f>"343310234"</f>
        <v>343310234</v>
      </c>
      <c r="M7822" t="s">
        <v>75</v>
      </c>
      <c r="N7822" s="1">
        <v>42872.849305555559</v>
      </c>
      <c r="O7822" t="s">
        <v>19</v>
      </c>
    </row>
    <row r="7823" spans="1:15" x14ac:dyDescent="0.25">
      <c r="A7823" t="s">
        <v>5437</v>
      </c>
      <c r="B7823" t="s">
        <v>15</v>
      </c>
      <c r="C7823" t="s">
        <v>25</v>
      </c>
      <c r="D7823" t="s">
        <v>17</v>
      </c>
      <c r="E7823" t="s">
        <v>18</v>
      </c>
      <c r="F7823" t="s">
        <v>19</v>
      </c>
      <c r="G7823" t="s">
        <v>20</v>
      </c>
      <c r="J7823" t="s">
        <v>17</v>
      </c>
      <c r="K7823" t="str">
        <f>"345310234"</f>
        <v>345310234</v>
      </c>
      <c r="L7823" t="str">
        <f>"345310234"</f>
        <v>345310234</v>
      </c>
      <c r="M7823" t="s">
        <v>75</v>
      </c>
      <c r="N7823" s="1">
        <v>42872.849305555559</v>
      </c>
      <c r="O7823" t="s">
        <v>19</v>
      </c>
    </row>
    <row r="7824" spans="1:15" x14ac:dyDescent="0.25">
      <c r="A7824" t="s">
        <v>5437</v>
      </c>
      <c r="B7824" t="s">
        <v>15</v>
      </c>
      <c r="C7824" t="s">
        <v>25</v>
      </c>
      <c r="D7824" t="s">
        <v>17</v>
      </c>
      <c r="E7824" t="s">
        <v>18</v>
      </c>
      <c r="F7824" t="s">
        <v>19</v>
      </c>
      <c r="G7824" t="s">
        <v>20</v>
      </c>
      <c r="J7824" t="s">
        <v>17</v>
      </c>
      <c r="K7824" t="str">
        <f>"763310234"</f>
        <v>763310234</v>
      </c>
      <c r="L7824" t="str">
        <f>"763310234"</f>
        <v>763310234</v>
      </c>
      <c r="M7824" t="s">
        <v>75</v>
      </c>
      <c r="N7824" s="1">
        <v>42872.849305555559</v>
      </c>
      <c r="O7824" t="s">
        <v>19</v>
      </c>
    </row>
    <row r="7825" spans="1:15" x14ac:dyDescent="0.25">
      <c r="A7825" t="s">
        <v>5437</v>
      </c>
      <c r="B7825" t="s">
        <v>15</v>
      </c>
      <c r="C7825" t="s">
        <v>25</v>
      </c>
      <c r="D7825" t="s">
        <v>17</v>
      </c>
      <c r="E7825" t="s">
        <v>18</v>
      </c>
      <c r="F7825" t="s">
        <v>19</v>
      </c>
      <c r="G7825" t="s">
        <v>20</v>
      </c>
      <c r="J7825" t="s">
        <v>17</v>
      </c>
      <c r="K7825" t="str">
        <f>"765310234"</f>
        <v>765310234</v>
      </c>
      <c r="L7825" t="str">
        <f>"765310234"</f>
        <v>765310234</v>
      </c>
      <c r="M7825" t="s">
        <v>75</v>
      </c>
      <c r="N7825" s="1">
        <v>42872.849305555559</v>
      </c>
      <c r="O7825" t="s">
        <v>19</v>
      </c>
    </row>
    <row r="7826" spans="1:15" x14ac:dyDescent="0.25">
      <c r="A7826" t="s">
        <v>5437</v>
      </c>
      <c r="B7826" t="s">
        <v>15</v>
      </c>
      <c r="C7826" t="s">
        <v>25</v>
      </c>
      <c r="D7826" t="s">
        <v>17</v>
      </c>
      <c r="E7826" t="s">
        <v>18</v>
      </c>
      <c r="F7826" t="s">
        <v>19</v>
      </c>
      <c r="G7826" t="s">
        <v>20</v>
      </c>
      <c r="J7826" t="s">
        <v>17</v>
      </c>
      <c r="K7826" t="str">
        <f>"863310234"</f>
        <v>863310234</v>
      </c>
      <c r="L7826" t="str">
        <f>"863310234"</f>
        <v>863310234</v>
      </c>
      <c r="M7826" t="s">
        <v>75</v>
      </c>
      <c r="N7826" s="1">
        <v>42872.849305555559</v>
      </c>
      <c r="O7826" t="s">
        <v>19</v>
      </c>
    </row>
    <row r="7827" spans="1:15" x14ac:dyDescent="0.25">
      <c r="A7827" t="s">
        <v>5438</v>
      </c>
      <c r="B7827" t="s">
        <v>15</v>
      </c>
      <c r="C7827" t="s">
        <v>25</v>
      </c>
      <c r="D7827" t="s">
        <v>17</v>
      </c>
      <c r="E7827" t="s">
        <v>18</v>
      </c>
      <c r="F7827" t="s">
        <v>19</v>
      </c>
      <c r="G7827" t="s">
        <v>20</v>
      </c>
      <c r="J7827" t="s">
        <v>17</v>
      </c>
      <c r="K7827" t="str">
        <f>"763310295"</f>
        <v>763310295</v>
      </c>
      <c r="L7827" t="str">
        <f>"763310295"</f>
        <v>763310295</v>
      </c>
      <c r="M7827" t="s">
        <v>75</v>
      </c>
      <c r="N7827" s="1">
        <v>42872.849305555559</v>
      </c>
      <c r="O7827" t="s">
        <v>19</v>
      </c>
    </row>
    <row r="7828" spans="1:15" x14ac:dyDescent="0.25">
      <c r="A7828" t="s">
        <v>5438</v>
      </c>
      <c r="B7828" t="s">
        <v>15</v>
      </c>
      <c r="C7828" t="s">
        <v>25</v>
      </c>
      <c r="D7828" t="s">
        <v>17</v>
      </c>
      <c r="E7828" t="s">
        <v>18</v>
      </c>
      <c r="F7828" t="s">
        <v>19</v>
      </c>
      <c r="G7828" t="s">
        <v>20</v>
      </c>
      <c r="J7828" t="s">
        <v>17</v>
      </c>
      <c r="K7828" t="str">
        <f>"765310295"</f>
        <v>765310295</v>
      </c>
      <c r="L7828" t="str">
        <f>"765310295"</f>
        <v>765310295</v>
      </c>
      <c r="M7828" t="s">
        <v>84</v>
      </c>
      <c r="N7828" s="1">
        <v>43251.931250000001</v>
      </c>
      <c r="O7828" t="s">
        <v>19</v>
      </c>
    </row>
    <row r="7829" spans="1:15" x14ac:dyDescent="0.25">
      <c r="A7829" t="s">
        <v>5438</v>
      </c>
      <c r="B7829" t="s">
        <v>15</v>
      </c>
      <c r="C7829" t="s">
        <v>25</v>
      </c>
      <c r="D7829" t="s">
        <v>17</v>
      </c>
      <c r="E7829" t="s">
        <v>18</v>
      </c>
      <c r="F7829" t="s">
        <v>19</v>
      </c>
      <c r="G7829" t="s">
        <v>20</v>
      </c>
      <c r="J7829" t="s">
        <v>17</v>
      </c>
      <c r="K7829" t="str">
        <f>"343310295"</f>
        <v>343310295</v>
      </c>
      <c r="L7829" t="str">
        <f>"343310295"</f>
        <v>343310295</v>
      </c>
      <c r="M7829" t="s">
        <v>84</v>
      </c>
      <c r="N7829" s="1">
        <v>43502.890277777777</v>
      </c>
      <c r="O7829" t="s">
        <v>19</v>
      </c>
    </row>
    <row r="7830" spans="1:15" x14ac:dyDescent="0.25">
      <c r="A7830" t="s">
        <v>5439</v>
      </c>
      <c r="B7830" t="s">
        <v>15</v>
      </c>
      <c r="C7830" t="s">
        <v>25</v>
      </c>
      <c r="D7830" t="s">
        <v>17</v>
      </c>
      <c r="E7830" t="s">
        <v>18</v>
      </c>
      <c r="F7830" t="s">
        <v>19</v>
      </c>
      <c r="G7830" t="s">
        <v>20</v>
      </c>
      <c r="J7830" t="s">
        <v>17</v>
      </c>
      <c r="K7830" t="str">
        <f>"763310296"</f>
        <v>763310296</v>
      </c>
      <c r="L7830" t="str">
        <f>"763310296"</f>
        <v>763310296</v>
      </c>
      <c r="M7830" t="s">
        <v>75</v>
      </c>
      <c r="N7830" s="1">
        <v>42872.849305555559</v>
      </c>
      <c r="O7830" t="s">
        <v>19</v>
      </c>
    </row>
    <row r="7831" spans="1:15" x14ac:dyDescent="0.25">
      <c r="A7831" t="s">
        <v>5440</v>
      </c>
      <c r="B7831" t="s">
        <v>15</v>
      </c>
      <c r="C7831" t="s">
        <v>25</v>
      </c>
      <c r="D7831" t="s">
        <v>17</v>
      </c>
      <c r="E7831" t="s">
        <v>18</v>
      </c>
      <c r="F7831" t="s">
        <v>19</v>
      </c>
      <c r="G7831" t="s">
        <v>20</v>
      </c>
      <c r="J7831" t="s">
        <v>17</v>
      </c>
      <c r="K7831" t="str">
        <f>"413310299"</f>
        <v>413310299</v>
      </c>
      <c r="L7831" t="str">
        <f>"413310299"</f>
        <v>413310299</v>
      </c>
      <c r="M7831" t="s">
        <v>75</v>
      </c>
      <c r="N7831" s="1">
        <v>43083.779861111114</v>
      </c>
      <c r="O7831" t="s">
        <v>19</v>
      </c>
    </row>
    <row r="7832" spans="1:15" x14ac:dyDescent="0.25">
      <c r="A7832" t="s">
        <v>5440</v>
      </c>
      <c r="B7832" t="s">
        <v>15</v>
      </c>
      <c r="C7832" t="s">
        <v>25</v>
      </c>
      <c r="D7832" t="s">
        <v>17</v>
      </c>
      <c r="E7832" t="s">
        <v>18</v>
      </c>
      <c r="F7832" t="s">
        <v>19</v>
      </c>
      <c r="G7832" t="s">
        <v>20</v>
      </c>
      <c r="J7832" t="s">
        <v>17</v>
      </c>
      <c r="K7832" t="str">
        <f>"173310298"</f>
        <v>173310298</v>
      </c>
      <c r="L7832" t="str">
        <f>"173310298"</f>
        <v>173310298</v>
      </c>
      <c r="M7832" t="s">
        <v>75</v>
      </c>
      <c r="N7832" s="1">
        <v>43131.925694444442</v>
      </c>
      <c r="O7832" t="s">
        <v>19</v>
      </c>
    </row>
    <row r="7833" spans="1:15" x14ac:dyDescent="0.25">
      <c r="A7833" t="s">
        <v>5440</v>
      </c>
      <c r="B7833" t="s">
        <v>15</v>
      </c>
      <c r="C7833" t="s">
        <v>25</v>
      </c>
      <c r="D7833" t="s">
        <v>17</v>
      </c>
      <c r="E7833" t="s">
        <v>18</v>
      </c>
      <c r="F7833" t="s">
        <v>19</v>
      </c>
      <c r="G7833" t="s">
        <v>20</v>
      </c>
      <c r="J7833" t="s">
        <v>17</v>
      </c>
      <c r="K7833" t="str">
        <f>"763310299"</f>
        <v>763310299</v>
      </c>
      <c r="L7833" t="str">
        <f>"763310299"</f>
        <v>763310299</v>
      </c>
      <c r="M7833" t="s">
        <v>75</v>
      </c>
      <c r="N7833" s="1">
        <v>43141.630555555559</v>
      </c>
      <c r="O7833" t="s">
        <v>19</v>
      </c>
    </row>
    <row r="7834" spans="1:15" x14ac:dyDescent="0.25">
      <c r="A7834" t="s">
        <v>5440</v>
      </c>
      <c r="B7834" t="s">
        <v>15</v>
      </c>
      <c r="C7834" t="s">
        <v>25</v>
      </c>
      <c r="D7834" t="s">
        <v>17</v>
      </c>
      <c r="E7834" t="s">
        <v>18</v>
      </c>
      <c r="F7834" t="s">
        <v>19</v>
      </c>
      <c r="G7834" t="s">
        <v>20</v>
      </c>
      <c r="J7834" t="s">
        <v>17</v>
      </c>
      <c r="K7834" t="str">
        <f>"765310299"</f>
        <v>765310299</v>
      </c>
      <c r="L7834" t="str">
        <f>"765310299"</f>
        <v>765310299</v>
      </c>
      <c r="M7834" t="s">
        <v>75</v>
      </c>
      <c r="N7834" s="1">
        <v>43231.659722222219</v>
      </c>
      <c r="O7834" t="s">
        <v>19</v>
      </c>
    </row>
    <row r="7835" spans="1:15" x14ac:dyDescent="0.25">
      <c r="A7835" t="s">
        <v>5440</v>
      </c>
      <c r="B7835" t="s">
        <v>15</v>
      </c>
      <c r="C7835" t="s">
        <v>25</v>
      </c>
      <c r="D7835" t="s">
        <v>17</v>
      </c>
      <c r="E7835" t="s">
        <v>18</v>
      </c>
      <c r="F7835" t="s">
        <v>19</v>
      </c>
      <c r="G7835" t="s">
        <v>20</v>
      </c>
      <c r="J7835" t="s">
        <v>17</v>
      </c>
      <c r="K7835" t="str">
        <f>"343310299"</f>
        <v>343310299</v>
      </c>
      <c r="L7835" t="str">
        <f>"343310299"</f>
        <v>343310299</v>
      </c>
      <c r="M7835" t="s">
        <v>75</v>
      </c>
      <c r="N7835" s="1">
        <v>43244.652777777781</v>
      </c>
      <c r="O7835" t="s">
        <v>19</v>
      </c>
    </row>
    <row r="7836" spans="1:15" x14ac:dyDescent="0.25">
      <c r="A7836" t="s">
        <v>5441</v>
      </c>
      <c r="B7836" t="s">
        <v>15</v>
      </c>
      <c r="C7836" t="s">
        <v>25</v>
      </c>
      <c r="D7836" t="s">
        <v>17</v>
      </c>
      <c r="E7836" t="s">
        <v>18</v>
      </c>
      <c r="F7836" t="s">
        <v>19</v>
      </c>
      <c r="G7836" t="s">
        <v>20</v>
      </c>
      <c r="J7836" t="s">
        <v>17</v>
      </c>
      <c r="K7836" t="str">
        <f>"763310298"</f>
        <v>763310298</v>
      </c>
      <c r="L7836" t="str">
        <f>"763310298"</f>
        <v>763310298</v>
      </c>
      <c r="M7836" t="s">
        <v>75</v>
      </c>
      <c r="N7836" s="1">
        <v>43045.714583333334</v>
      </c>
      <c r="O7836" t="s">
        <v>19</v>
      </c>
    </row>
    <row r="7837" spans="1:15" x14ac:dyDescent="0.25">
      <c r="A7837" t="s">
        <v>5441</v>
      </c>
      <c r="B7837" t="s">
        <v>15</v>
      </c>
      <c r="C7837" t="s">
        <v>25</v>
      </c>
      <c r="D7837" t="s">
        <v>17</v>
      </c>
      <c r="E7837" t="s">
        <v>18</v>
      </c>
      <c r="F7837" t="s">
        <v>19</v>
      </c>
      <c r="G7837" t="s">
        <v>20</v>
      </c>
      <c r="J7837" t="s">
        <v>17</v>
      </c>
      <c r="K7837" t="str">
        <f>"765310298"</f>
        <v>765310298</v>
      </c>
      <c r="L7837" t="str">
        <f>"765310298"</f>
        <v>765310298</v>
      </c>
      <c r="M7837" t="s">
        <v>75</v>
      </c>
      <c r="N7837" s="1">
        <v>43231.65625</v>
      </c>
      <c r="O7837" t="s">
        <v>19</v>
      </c>
    </row>
    <row r="7838" spans="1:15" x14ac:dyDescent="0.25">
      <c r="A7838" t="s">
        <v>5441</v>
      </c>
      <c r="B7838" t="s">
        <v>15</v>
      </c>
      <c r="C7838" t="s">
        <v>25</v>
      </c>
      <c r="D7838" t="s">
        <v>17</v>
      </c>
      <c r="E7838" t="s">
        <v>18</v>
      </c>
      <c r="F7838" t="s">
        <v>19</v>
      </c>
      <c r="G7838" t="s">
        <v>20</v>
      </c>
      <c r="J7838" t="s">
        <v>17</v>
      </c>
      <c r="K7838" t="str">
        <f>"343310298"</f>
        <v>343310298</v>
      </c>
      <c r="L7838" t="str">
        <f>"343310298"</f>
        <v>343310298</v>
      </c>
      <c r="M7838" t="s">
        <v>84</v>
      </c>
      <c r="N7838" s="1">
        <v>43259.831250000003</v>
      </c>
      <c r="O7838" t="s">
        <v>19</v>
      </c>
    </row>
    <row r="7839" spans="1:15" x14ac:dyDescent="0.25">
      <c r="A7839" t="s">
        <v>5442</v>
      </c>
      <c r="B7839" t="s">
        <v>15</v>
      </c>
      <c r="C7839" t="s">
        <v>25</v>
      </c>
      <c r="D7839" t="s">
        <v>17</v>
      </c>
      <c r="E7839" t="s">
        <v>18</v>
      </c>
      <c r="F7839" t="s">
        <v>19</v>
      </c>
      <c r="G7839" t="s">
        <v>20</v>
      </c>
      <c r="J7839" t="s">
        <v>17</v>
      </c>
      <c r="K7839" t="str">
        <f>"1000001003733"</f>
        <v>1000001003733</v>
      </c>
      <c r="L7839" t="str">
        <f>"765310312"</f>
        <v>765310312</v>
      </c>
      <c r="M7839" t="s">
        <v>84</v>
      </c>
      <c r="N7839" s="1">
        <v>43267.986111111109</v>
      </c>
      <c r="O7839" t="s">
        <v>19</v>
      </c>
    </row>
    <row r="7840" spans="1:15" x14ac:dyDescent="0.25">
      <c r="A7840" t="s">
        <v>5442</v>
      </c>
      <c r="B7840" t="s">
        <v>15</v>
      </c>
      <c r="C7840" t="s">
        <v>25</v>
      </c>
      <c r="D7840" t="s">
        <v>17</v>
      </c>
      <c r="E7840" t="s">
        <v>18</v>
      </c>
      <c r="F7840" t="s">
        <v>19</v>
      </c>
      <c r="G7840" t="s">
        <v>20</v>
      </c>
      <c r="J7840" t="s">
        <v>17</v>
      </c>
      <c r="K7840" t="str">
        <f>"763310312"</f>
        <v>763310312</v>
      </c>
      <c r="L7840" t="str">
        <f>"763310312"</f>
        <v>763310312</v>
      </c>
      <c r="M7840" t="s">
        <v>84</v>
      </c>
      <c r="N7840" s="1">
        <v>43328.959722222222</v>
      </c>
      <c r="O7840" t="s">
        <v>19</v>
      </c>
    </row>
    <row r="7841" spans="1:15" x14ac:dyDescent="0.25">
      <c r="A7841" t="s">
        <v>5442</v>
      </c>
      <c r="B7841" t="s">
        <v>15</v>
      </c>
      <c r="C7841" t="s">
        <v>25</v>
      </c>
      <c r="D7841" t="s">
        <v>17</v>
      </c>
      <c r="E7841" t="s">
        <v>18</v>
      </c>
      <c r="F7841" t="s">
        <v>19</v>
      </c>
      <c r="G7841" t="s">
        <v>20</v>
      </c>
      <c r="J7841" t="s">
        <v>17</v>
      </c>
      <c r="K7841" t="str">
        <f>"343310312"</f>
        <v>343310312</v>
      </c>
      <c r="L7841" t="str">
        <f>"343310312"</f>
        <v>343310312</v>
      </c>
      <c r="M7841" t="s">
        <v>84</v>
      </c>
      <c r="N7841" s="1">
        <v>43420.749305555553</v>
      </c>
      <c r="O7841" t="s">
        <v>19</v>
      </c>
    </row>
    <row r="7842" spans="1:15" x14ac:dyDescent="0.25">
      <c r="A7842" t="s">
        <v>5442</v>
      </c>
      <c r="B7842" t="s">
        <v>15</v>
      </c>
      <c r="C7842" t="s">
        <v>25</v>
      </c>
      <c r="D7842" t="s">
        <v>17</v>
      </c>
      <c r="E7842" t="s">
        <v>18</v>
      </c>
      <c r="F7842" t="s">
        <v>19</v>
      </c>
      <c r="G7842" t="s">
        <v>20</v>
      </c>
      <c r="J7842" t="s">
        <v>17</v>
      </c>
      <c r="K7842" t="str">
        <f>"683310312"</f>
        <v>683310312</v>
      </c>
      <c r="L7842" t="str">
        <f>"683310312"</f>
        <v>683310312</v>
      </c>
      <c r="M7842" t="s">
        <v>84</v>
      </c>
      <c r="N7842" s="1">
        <v>43545.78125</v>
      </c>
      <c r="O7842" t="s">
        <v>19</v>
      </c>
    </row>
    <row r="7843" spans="1:15" x14ac:dyDescent="0.25">
      <c r="A7843" t="s">
        <v>5443</v>
      </c>
      <c r="B7843" t="s">
        <v>15</v>
      </c>
      <c r="C7843" t="s">
        <v>25</v>
      </c>
      <c r="D7843" t="s">
        <v>17</v>
      </c>
      <c r="E7843" t="s">
        <v>18</v>
      </c>
      <c r="F7843" t="s">
        <v>19</v>
      </c>
      <c r="G7843" t="s">
        <v>20</v>
      </c>
      <c r="J7843" t="s">
        <v>17</v>
      </c>
      <c r="K7843" t="str">
        <f>"173310307"</f>
        <v>173310307</v>
      </c>
      <c r="L7843" t="str">
        <f>"173310307"</f>
        <v>173310307</v>
      </c>
      <c r="M7843" t="s">
        <v>84</v>
      </c>
      <c r="N7843" s="1">
        <v>43308.881944444445</v>
      </c>
      <c r="O7843" t="s">
        <v>19</v>
      </c>
    </row>
    <row r="7844" spans="1:15" x14ac:dyDescent="0.25">
      <c r="A7844" t="s">
        <v>5443</v>
      </c>
      <c r="B7844" t="s">
        <v>15</v>
      </c>
      <c r="C7844" t="s">
        <v>25</v>
      </c>
      <c r="D7844" t="s">
        <v>17</v>
      </c>
      <c r="E7844" t="s">
        <v>18</v>
      </c>
      <c r="F7844" t="s">
        <v>19</v>
      </c>
      <c r="G7844" t="s">
        <v>20</v>
      </c>
      <c r="J7844" t="s">
        <v>17</v>
      </c>
      <c r="K7844" t="str">
        <f>"763310307"</f>
        <v>763310307</v>
      </c>
      <c r="L7844" t="str">
        <f>"763310307"</f>
        <v>763310307</v>
      </c>
      <c r="M7844" t="s">
        <v>84</v>
      </c>
      <c r="N7844" s="1">
        <v>43370.910416666666</v>
      </c>
      <c r="O7844" t="s">
        <v>19</v>
      </c>
    </row>
    <row r="7845" spans="1:15" x14ac:dyDescent="0.25">
      <c r="A7845" t="s">
        <v>5444</v>
      </c>
      <c r="B7845" t="s">
        <v>15</v>
      </c>
      <c r="C7845" t="s">
        <v>25</v>
      </c>
      <c r="D7845" t="s">
        <v>17</v>
      </c>
      <c r="E7845" t="s">
        <v>18</v>
      </c>
      <c r="F7845" t="s">
        <v>19</v>
      </c>
      <c r="G7845" t="s">
        <v>20</v>
      </c>
      <c r="J7845" t="s">
        <v>17</v>
      </c>
      <c r="K7845" t="str">
        <f>"183310315"</f>
        <v>183310315</v>
      </c>
      <c r="L7845" t="str">
        <f>"183310315"</f>
        <v>183310315</v>
      </c>
      <c r="M7845" t="s">
        <v>21</v>
      </c>
      <c r="N7845" s="1">
        <v>43595.915972222225</v>
      </c>
      <c r="O7845" t="s">
        <v>19</v>
      </c>
    </row>
    <row r="7846" spans="1:15" x14ac:dyDescent="0.25">
      <c r="A7846" t="s">
        <v>5444</v>
      </c>
      <c r="B7846" t="s">
        <v>15</v>
      </c>
      <c r="C7846" t="s">
        <v>25</v>
      </c>
      <c r="D7846" t="s">
        <v>17</v>
      </c>
      <c r="E7846" t="s">
        <v>18</v>
      </c>
      <c r="F7846" t="s">
        <v>19</v>
      </c>
      <c r="G7846" t="s">
        <v>20</v>
      </c>
      <c r="J7846" t="s">
        <v>17</v>
      </c>
      <c r="K7846" t="str">
        <f>"763310315"</f>
        <v>763310315</v>
      </c>
      <c r="L7846" t="str">
        <f>"763310315"</f>
        <v>763310315</v>
      </c>
      <c r="M7846" t="s">
        <v>21</v>
      </c>
      <c r="N7846" s="1">
        <v>43720.677777777775</v>
      </c>
      <c r="O7846" t="s">
        <v>19</v>
      </c>
    </row>
    <row r="7847" spans="1:15" x14ac:dyDescent="0.25">
      <c r="A7847" t="s">
        <v>5445</v>
      </c>
      <c r="B7847" t="s">
        <v>15</v>
      </c>
      <c r="C7847" t="s">
        <v>25</v>
      </c>
      <c r="D7847" t="s">
        <v>17</v>
      </c>
      <c r="E7847" t="s">
        <v>18</v>
      </c>
      <c r="F7847" t="s">
        <v>19</v>
      </c>
      <c r="G7847" t="s">
        <v>20</v>
      </c>
      <c r="J7847" t="s">
        <v>17</v>
      </c>
      <c r="K7847" t="str">
        <f>"2019047700338"</f>
        <v>2019047700338</v>
      </c>
      <c r="L7847" t="str">
        <f>"183310316"</f>
        <v>183310316</v>
      </c>
      <c r="M7847" t="s">
        <v>21</v>
      </c>
      <c r="N7847" s="1">
        <v>43603.706944444442</v>
      </c>
      <c r="O7847" t="s">
        <v>19</v>
      </c>
    </row>
    <row r="7848" spans="1:15" x14ac:dyDescent="0.25">
      <c r="A7848" t="s">
        <v>5445</v>
      </c>
      <c r="B7848" t="s">
        <v>15</v>
      </c>
      <c r="C7848" t="s">
        <v>25</v>
      </c>
      <c r="D7848" t="s">
        <v>17</v>
      </c>
      <c r="E7848" t="s">
        <v>18</v>
      </c>
      <c r="F7848" t="s">
        <v>19</v>
      </c>
      <c r="G7848" t="s">
        <v>20</v>
      </c>
      <c r="J7848" t="s">
        <v>17</v>
      </c>
      <c r="K7848" t="str">
        <f>"683310316"</f>
        <v>683310316</v>
      </c>
      <c r="L7848" t="str">
        <f>"683310316"</f>
        <v>683310316</v>
      </c>
      <c r="M7848" t="s">
        <v>21</v>
      </c>
      <c r="N7848" s="1">
        <v>43721.593055555553</v>
      </c>
      <c r="O7848" t="s">
        <v>19</v>
      </c>
    </row>
    <row r="7849" spans="1:15" x14ac:dyDescent="0.25">
      <c r="A7849" t="s">
        <v>5445</v>
      </c>
      <c r="B7849" t="s">
        <v>15</v>
      </c>
      <c r="C7849" t="s">
        <v>25</v>
      </c>
      <c r="D7849" t="s">
        <v>17</v>
      </c>
      <c r="E7849" t="s">
        <v>18</v>
      </c>
      <c r="F7849" t="s">
        <v>19</v>
      </c>
      <c r="G7849" t="s">
        <v>20</v>
      </c>
      <c r="J7849" t="s">
        <v>17</v>
      </c>
      <c r="K7849" t="str">
        <f>"343310316"</f>
        <v>343310316</v>
      </c>
      <c r="L7849" t="str">
        <f>"343310316"</f>
        <v>343310316</v>
      </c>
      <c r="M7849" t="s">
        <v>21</v>
      </c>
      <c r="N7849" s="1">
        <v>43819.790972222225</v>
      </c>
      <c r="O7849" t="s">
        <v>19</v>
      </c>
    </row>
    <row r="7850" spans="1:15" x14ac:dyDescent="0.25">
      <c r="A7850" t="s">
        <v>5446</v>
      </c>
      <c r="B7850" t="s">
        <v>15</v>
      </c>
      <c r="C7850" t="s">
        <v>25</v>
      </c>
      <c r="D7850" t="s">
        <v>17</v>
      </c>
      <c r="E7850" t="s">
        <v>18</v>
      </c>
      <c r="F7850" t="s">
        <v>19</v>
      </c>
      <c r="G7850" t="s">
        <v>20</v>
      </c>
      <c r="J7850" t="s">
        <v>17</v>
      </c>
      <c r="K7850" t="str">
        <f>"763310309"</f>
        <v>763310309</v>
      </c>
      <c r="L7850" t="str">
        <f>"763310309"</f>
        <v>763310309</v>
      </c>
      <c r="M7850" t="s">
        <v>84</v>
      </c>
      <c r="N7850" s="1">
        <v>43267.986805555556</v>
      </c>
      <c r="O7850" t="s">
        <v>19</v>
      </c>
    </row>
    <row r="7851" spans="1:15" x14ac:dyDescent="0.25">
      <c r="A7851" t="s">
        <v>5446</v>
      </c>
      <c r="B7851" t="s">
        <v>15</v>
      </c>
      <c r="C7851" t="s">
        <v>25</v>
      </c>
      <c r="D7851" t="s">
        <v>17</v>
      </c>
      <c r="E7851" t="s">
        <v>18</v>
      </c>
      <c r="F7851" t="s">
        <v>19</v>
      </c>
      <c r="G7851" t="s">
        <v>20</v>
      </c>
      <c r="J7851" t="s">
        <v>17</v>
      </c>
      <c r="K7851" t="str">
        <f>"7101027050252"</f>
        <v>7101027050252</v>
      </c>
      <c r="L7851" t="str">
        <f>"643310309"</f>
        <v>643310309</v>
      </c>
      <c r="M7851" t="s">
        <v>84</v>
      </c>
      <c r="N7851" s="1">
        <v>43336.634027777778</v>
      </c>
      <c r="O7851" t="s">
        <v>19</v>
      </c>
    </row>
    <row r="7852" spans="1:15" x14ac:dyDescent="0.25">
      <c r="A7852" t="s">
        <v>5446</v>
      </c>
      <c r="B7852" t="s">
        <v>15</v>
      </c>
      <c r="C7852" t="s">
        <v>25</v>
      </c>
      <c r="D7852" t="s">
        <v>17</v>
      </c>
      <c r="E7852" t="s">
        <v>18</v>
      </c>
      <c r="F7852" t="s">
        <v>19</v>
      </c>
      <c r="G7852" t="s">
        <v>20</v>
      </c>
      <c r="J7852" t="s">
        <v>17</v>
      </c>
      <c r="K7852" t="str">
        <f>"2020030100301"</f>
        <v>2020030100301</v>
      </c>
      <c r="L7852" t="str">
        <f>"183310321"</f>
        <v>183310321</v>
      </c>
      <c r="M7852" t="s">
        <v>21</v>
      </c>
      <c r="N7852" s="1">
        <v>43397.621527777781</v>
      </c>
      <c r="O7852" t="s">
        <v>19</v>
      </c>
    </row>
    <row r="7853" spans="1:15" x14ac:dyDescent="0.25">
      <c r="A7853" t="s">
        <v>5446</v>
      </c>
      <c r="B7853" t="s">
        <v>15</v>
      </c>
      <c r="C7853" t="s">
        <v>25</v>
      </c>
      <c r="D7853" t="s">
        <v>17</v>
      </c>
      <c r="E7853" t="s">
        <v>18</v>
      </c>
      <c r="F7853" t="s">
        <v>19</v>
      </c>
      <c r="G7853" t="s">
        <v>20</v>
      </c>
      <c r="J7853" t="s">
        <v>17</v>
      </c>
      <c r="K7853" t="str">
        <f>"683310309"</f>
        <v>683310309</v>
      </c>
      <c r="L7853" t="str">
        <f>"683310309"</f>
        <v>683310309</v>
      </c>
      <c r="M7853" t="s">
        <v>84</v>
      </c>
      <c r="N7853" s="1">
        <v>43545.777777777781</v>
      </c>
      <c r="O7853" t="s">
        <v>19</v>
      </c>
    </row>
    <row r="7854" spans="1:15" x14ac:dyDescent="0.25">
      <c r="A7854" t="s">
        <v>5447</v>
      </c>
      <c r="B7854" t="s">
        <v>15</v>
      </c>
      <c r="C7854" t="s">
        <v>25</v>
      </c>
      <c r="D7854" t="s">
        <v>17</v>
      </c>
      <c r="E7854" t="s">
        <v>18</v>
      </c>
      <c r="F7854" t="s">
        <v>19</v>
      </c>
      <c r="G7854" t="s">
        <v>20</v>
      </c>
      <c r="J7854" t="s">
        <v>17</v>
      </c>
      <c r="K7854" t="str">
        <f>"2020060901176"</f>
        <v>2020060901176</v>
      </c>
      <c r="L7854" t="str">
        <f>"183310324"</f>
        <v>183310324</v>
      </c>
      <c r="M7854" t="s">
        <v>21</v>
      </c>
      <c r="N7854" s="1">
        <v>43595.915972222225</v>
      </c>
      <c r="O7854" t="s">
        <v>19</v>
      </c>
    </row>
    <row r="7855" spans="1:15" x14ac:dyDescent="0.25">
      <c r="A7855" t="s">
        <v>5447</v>
      </c>
      <c r="B7855" t="s">
        <v>15</v>
      </c>
      <c r="C7855" t="s">
        <v>25</v>
      </c>
      <c r="D7855" t="s">
        <v>17</v>
      </c>
      <c r="E7855" t="s">
        <v>18</v>
      </c>
      <c r="F7855" t="s">
        <v>19</v>
      </c>
      <c r="G7855" t="s">
        <v>20</v>
      </c>
      <c r="J7855" t="s">
        <v>17</v>
      </c>
      <c r="K7855" t="str">
        <f>"343310314"</f>
        <v>343310314</v>
      </c>
      <c r="L7855" t="str">
        <f>"343310314"</f>
        <v>343310314</v>
      </c>
      <c r="M7855" t="s">
        <v>21</v>
      </c>
      <c r="N7855" s="1">
        <v>43668.682638888888</v>
      </c>
      <c r="O7855" t="s">
        <v>19</v>
      </c>
    </row>
    <row r="7856" spans="1:15" x14ac:dyDescent="0.25">
      <c r="A7856" t="s">
        <v>5447</v>
      </c>
      <c r="B7856" t="s">
        <v>15</v>
      </c>
      <c r="C7856" t="s">
        <v>25</v>
      </c>
      <c r="D7856" t="s">
        <v>17</v>
      </c>
      <c r="E7856" t="s">
        <v>18</v>
      </c>
      <c r="F7856" t="s">
        <v>19</v>
      </c>
      <c r="G7856" t="s">
        <v>20</v>
      </c>
      <c r="J7856" t="s">
        <v>17</v>
      </c>
      <c r="K7856" t="str">
        <f>"683310314"</f>
        <v>683310314</v>
      </c>
      <c r="L7856" t="str">
        <f>"683310314"</f>
        <v>683310314</v>
      </c>
      <c r="M7856" t="s">
        <v>21</v>
      </c>
      <c r="N7856" s="1">
        <v>43798.648611111108</v>
      </c>
      <c r="O7856" t="s">
        <v>19</v>
      </c>
    </row>
    <row r="7857" spans="1:15" x14ac:dyDescent="0.25">
      <c r="A7857" t="s">
        <v>5448</v>
      </c>
      <c r="B7857" t="s">
        <v>15</v>
      </c>
      <c r="C7857" t="s">
        <v>25</v>
      </c>
      <c r="D7857" t="s">
        <v>17</v>
      </c>
      <c r="E7857" t="s">
        <v>18</v>
      </c>
      <c r="F7857" t="s">
        <v>19</v>
      </c>
      <c r="G7857" t="s">
        <v>20</v>
      </c>
      <c r="J7857" t="s">
        <v>17</v>
      </c>
      <c r="K7857" t="str">
        <f>"345310227"</f>
        <v>345310227</v>
      </c>
      <c r="L7857" t="str">
        <f>"345310227"</f>
        <v>345310227</v>
      </c>
      <c r="M7857" t="s">
        <v>75</v>
      </c>
      <c r="N7857" s="1">
        <v>42872.849305555559</v>
      </c>
      <c r="O7857" t="s">
        <v>19</v>
      </c>
    </row>
    <row r="7858" spans="1:15" x14ac:dyDescent="0.25">
      <c r="A7858" t="s">
        <v>5448</v>
      </c>
      <c r="B7858" t="s">
        <v>15</v>
      </c>
      <c r="C7858" t="s">
        <v>25</v>
      </c>
      <c r="D7858" t="s">
        <v>17</v>
      </c>
      <c r="E7858" t="s">
        <v>18</v>
      </c>
      <c r="F7858" t="s">
        <v>19</v>
      </c>
      <c r="G7858" t="s">
        <v>20</v>
      </c>
      <c r="J7858" t="s">
        <v>17</v>
      </c>
      <c r="K7858" t="str">
        <f>"765310227"</f>
        <v>765310227</v>
      </c>
      <c r="L7858" t="str">
        <f>"765310227"</f>
        <v>765310227</v>
      </c>
      <c r="M7858" t="s">
        <v>75</v>
      </c>
      <c r="N7858" s="1">
        <v>42872.849305555559</v>
      </c>
      <c r="O7858" t="s">
        <v>19</v>
      </c>
    </row>
    <row r="7859" spans="1:15" x14ac:dyDescent="0.25">
      <c r="A7859" t="s">
        <v>5449</v>
      </c>
      <c r="B7859" t="s">
        <v>15</v>
      </c>
      <c r="C7859" t="s">
        <v>25</v>
      </c>
      <c r="D7859" t="s">
        <v>17</v>
      </c>
      <c r="E7859" t="s">
        <v>18</v>
      </c>
      <c r="F7859" t="s">
        <v>19</v>
      </c>
      <c r="G7859" t="s">
        <v>20</v>
      </c>
      <c r="J7859" t="s">
        <v>17</v>
      </c>
      <c r="K7859" t="str">
        <f>"763310313"</f>
        <v>763310313</v>
      </c>
      <c r="L7859" t="str">
        <f>"763310313"</f>
        <v>763310313</v>
      </c>
      <c r="M7859" t="s">
        <v>84</v>
      </c>
      <c r="N7859" s="1">
        <v>43502.627083333333</v>
      </c>
      <c r="O7859" t="s">
        <v>19</v>
      </c>
    </row>
    <row r="7860" spans="1:15" x14ac:dyDescent="0.25">
      <c r="A7860" t="s">
        <v>5450</v>
      </c>
      <c r="B7860" t="s">
        <v>15</v>
      </c>
      <c r="C7860" t="s">
        <v>25</v>
      </c>
      <c r="D7860" t="s">
        <v>17</v>
      </c>
      <c r="E7860" t="s">
        <v>18</v>
      </c>
      <c r="F7860" t="s">
        <v>19</v>
      </c>
      <c r="G7860" t="s">
        <v>20</v>
      </c>
      <c r="J7860" t="s">
        <v>17</v>
      </c>
      <c r="K7860" t="str">
        <f>"763310317"</f>
        <v>763310317</v>
      </c>
      <c r="L7860" t="str">
        <f>"763310317"</f>
        <v>763310317</v>
      </c>
      <c r="M7860" t="s">
        <v>21</v>
      </c>
      <c r="N7860" s="1">
        <v>43819.663194444445</v>
      </c>
      <c r="O7860" t="s">
        <v>19</v>
      </c>
    </row>
    <row r="7861" spans="1:15" x14ac:dyDescent="0.25">
      <c r="A7861" t="s">
        <v>5451</v>
      </c>
      <c r="B7861" t="s">
        <v>15</v>
      </c>
      <c r="C7861" t="s">
        <v>25</v>
      </c>
      <c r="D7861" t="s">
        <v>17</v>
      </c>
      <c r="E7861" t="s">
        <v>18</v>
      </c>
      <c r="F7861" t="s">
        <v>19</v>
      </c>
      <c r="G7861" t="s">
        <v>20</v>
      </c>
      <c r="J7861" t="s">
        <v>17</v>
      </c>
      <c r="K7861" t="str">
        <f>"17531079"</f>
        <v>17531079</v>
      </c>
      <c r="L7861" t="str">
        <f>"17531079"</f>
        <v>17531079</v>
      </c>
      <c r="M7861" t="s">
        <v>75</v>
      </c>
      <c r="N7861" s="1">
        <v>42872.839583333334</v>
      </c>
      <c r="O7861" t="s">
        <v>19</v>
      </c>
    </row>
    <row r="7862" spans="1:15" x14ac:dyDescent="0.25">
      <c r="A7862" t="s">
        <v>5451</v>
      </c>
      <c r="B7862" t="s">
        <v>15</v>
      </c>
      <c r="C7862" t="s">
        <v>25</v>
      </c>
      <c r="D7862" t="s">
        <v>17</v>
      </c>
      <c r="E7862" t="s">
        <v>18</v>
      </c>
      <c r="F7862" t="s">
        <v>19</v>
      </c>
      <c r="G7862" t="s">
        <v>20</v>
      </c>
      <c r="J7862" t="s">
        <v>17</v>
      </c>
      <c r="K7862" t="str">
        <f>"32331079"</f>
        <v>32331079</v>
      </c>
      <c r="L7862" t="str">
        <f>"32331079"</f>
        <v>32331079</v>
      </c>
      <c r="M7862" t="s">
        <v>75</v>
      </c>
      <c r="N7862" s="1">
        <v>42872.839583333334</v>
      </c>
      <c r="O7862" t="s">
        <v>19</v>
      </c>
    </row>
    <row r="7863" spans="1:15" x14ac:dyDescent="0.25">
      <c r="A7863" t="s">
        <v>5451</v>
      </c>
      <c r="B7863" t="s">
        <v>15</v>
      </c>
      <c r="C7863" t="s">
        <v>25</v>
      </c>
      <c r="D7863" t="s">
        <v>17</v>
      </c>
      <c r="E7863" t="s">
        <v>18</v>
      </c>
      <c r="F7863" t="s">
        <v>19</v>
      </c>
      <c r="G7863" t="s">
        <v>20</v>
      </c>
      <c r="J7863" t="s">
        <v>17</v>
      </c>
      <c r="K7863" t="str">
        <f>"34531079"</f>
        <v>34531079</v>
      </c>
      <c r="L7863" t="str">
        <f>"34531079"</f>
        <v>34531079</v>
      </c>
      <c r="M7863" t="s">
        <v>75</v>
      </c>
      <c r="N7863" s="1">
        <v>42872.839583333334</v>
      </c>
      <c r="O7863" t="s">
        <v>19</v>
      </c>
    </row>
    <row r="7864" spans="1:15" x14ac:dyDescent="0.25">
      <c r="A7864" t="s">
        <v>5451</v>
      </c>
      <c r="B7864" t="s">
        <v>15</v>
      </c>
      <c r="C7864" t="s">
        <v>25</v>
      </c>
      <c r="D7864" t="s">
        <v>17</v>
      </c>
      <c r="E7864" t="s">
        <v>18</v>
      </c>
      <c r="F7864" t="s">
        <v>19</v>
      </c>
      <c r="G7864" t="s">
        <v>20</v>
      </c>
      <c r="J7864" t="s">
        <v>17</v>
      </c>
      <c r="K7864" t="str">
        <f>"76531079"</f>
        <v>76531079</v>
      </c>
      <c r="L7864" t="str">
        <f>"76531079"</f>
        <v>76531079</v>
      </c>
      <c r="M7864" t="s">
        <v>75</v>
      </c>
      <c r="N7864" s="1">
        <v>42872.847222222219</v>
      </c>
      <c r="O7864" t="s">
        <v>19</v>
      </c>
    </row>
    <row r="7865" spans="1:15" x14ac:dyDescent="0.25">
      <c r="A7865" t="s">
        <v>5452</v>
      </c>
      <c r="B7865" t="s">
        <v>15</v>
      </c>
      <c r="C7865" t="s">
        <v>25</v>
      </c>
      <c r="D7865" t="s">
        <v>17</v>
      </c>
      <c r="E7865" t="s">
        <v>18</v>
      </c>
      <c r="F7865" t="s">
        <v>19</v>
      </c>
      <c r="G7865" t="s">
        <v>20</v>
      </c>
      <c r="J7865" t="s">
        <v>17</v>
      </c>
      <c r="K7865" t="str">
        <f>"34531082"</f>
        <v>34531082</v>
      </c>
      <c r="L7865" t="str">
        <f>"34531082"</f>
        <v>34531082</v>
      </c>
      <c r="M7865" t="s">
        <v>75</v>
      </c>
      <c r="N7865" s="1">
        <v>42872.839583333334</v>
      </c>
      <c r="O7865" t="s">
        <v>19</v>
      </c>
    </row>
    <row r="7866" spans="1:15" x14ac:dyDescent="0.25">
      <c r="A7866" t="s">
        <v>5452</v>
      </c>
      <c r="B7866" t="s">
        <v>15</v>
      </c>
      <c r="C7866" t="s">
        <v>25</v>
      </c>
      <c r="D7866" t="s">
        <v>17</v>
      </c>
      <c r="E7866" t="s">
        <v>18</v>
      </c>
      <c r="F7866" t="s">
        <v>19</v>
      </c>
      <c r="G7866" t="s">
        <v>20</v>
      </c>
      <c r="J7866" t="s">
        <v>17</v>
      </c>
      <c r="K7866" t="str">
        <f>"76531082"</f>
        <v>76531082</v>
      </c>
      <c r="L7866" t="str">
        <f>"76531082"</f>
        <v>76531082</v>
      </c>
      <c r="M7866" t="s">
        <v>75</v>
      </c>
      <c r="N7866" s="1">
        <v>42872.847222222219</v>
      </c>
      <c r="O7866" t="s">
        <v>19</v>
      </c>
    </row>
    <row r="7867" spans="1:15" x14ac:dyDescent="0.25">
      <c r="A7867" t="s">
        <v>5453</v>
      </c>
      <c r="B7867" t="s">
        <v>15</v>
      </c>
      <c r="C7867" t="s">
        <v>25</v>
      </c>
      <c r="D7867" t="s">
        <v>17</v>
      </c>
      <c r="E7867" t="s">
        <v>18</v>
      </c>
      <c r="F7867" t="s">
        <v>19</v>
      </c>
      <c r="G7867" t="s">
        <v>20</v>
      </c>
      <c r="J7867" t="s">
        <v>17</v>
      </c>
      <c r="K7867" t="str">
        <f>"76531021"</f>
        <v>76531021</v>
      </c>
      <c r="L7867" t="str">
        <f>"76531021"</f>
        <v>76531021</v>
      </c>
      <c r="M7867" t="s">
        <v>75</v>
      </c>
      <c r="N7867" s="1">
        <v>42872.847222222219</v>
      </c>
      <c r="O7867" t="s">
        <v>19</v>
      </c>
    </row>
    <row r="7868" spans="1:15" x14ac:dyDescent="0.25">
      <c r="A7868" t="s">
        <v>5453</v>
      </c>
      <c r="B7868" t="s">
        <v>15</v>
      </c>
      <c r="C7868" t="s">
        <v>25</v>
      </c>
      <c r="D7868" t="s">
        <v>17</v>
      </c>
      <c r="E7868" t="s">
        <v>18</v>
      </c>
      <c r="F7868" t="s">
        <v>19</v>
      </c>
      <c r="G7868" t="s">
        <v>20</v>
      </c>
      <c r="J7868" t="s">
        <v>17</v>
      </c>
      <c r="K7868" t="str">
        <f>"175309121"</f>
        <v>175309121</v>
      </c>
      <c r="L7868" t="str">
        <f>"175309121"</f>
        <v>175309121</v>
      </c>
      <c r="M7868" t="s">
        <v>75</v>
      </c>
      <c r="N7868" s="1">
        <v>42872.849305555559</v>
      </c>
      <c r="O7868" t="s">
        <v>19</v>
      </c>
    </row>
    <row r="7869" spans="1:15" x14ac:dyDescent="0.25">
      <c r="A7869" t="s">
        <v>5453</v>
      </c>
      <c r="B7869" t="s">
        <v>15</v>
      </c>
      <c r="C7869" t="s">
        <v>25</v>
      </c>
      <c r="D7869" t="s">
        <v>17</v>
      </c>
      <c r="E7869" t="s">
        <v>18</v>
      </c>
      <c r="F7869" t="s">
        <v>19</v>
      </c>
      <c r="G7869" t="s">
        <v>20</v>
      </c>
      <c r="J7869" t="s">
        <v>17</v>
      </c>
      <c r="K7869" t="str">
        <f>"175310121"</f>
        <v>175310121</v>
      </c>
      <c r="L7869" t="str">
        <f>"175310121"</f>
        <v>175310121</v>
      </c>
      <c r="M7869" t="s">
        <v>75</v>
      </c>
      <c r="N7869" s="1">
        <v>42872.849305555559</v>
      </c>
      <c r="O7869" t="s">
        <v>19</v>
      </c>
    </row>
    <row r="7870" spans="1:15" x14ac:dyDescent="0.25">
      <c r="A7870" t="s">
        <v>5453</v>
      </c>
      <c r="B7870" t="s">
        <v>15</v>
      </c>
      <c r="C7870" t="s">
        <v>25</v>
      </c>
      <c r="D7870" t="s">
        <v>17</v>
      </c>
      <c r="E7870" t="s">
        <v>18</v>
      </c>
      <c r="F7870" t="s">
        <v>19</v>
      </c>
      <c r="G7870" t="s">
        <v>20</v>
      </c>
      <c r="J7870" t="s">
        <v>17</v>
      </c>
      <c r="K7870" t="str">
        <f>"763310121"</f>
        <v>763310121</v>
      </c>
      <c r="L7870" t="str">
        <f>"763310121"</f>
        <v>763310121</v>
      </c>
      <c r="M7870" t="s">
        <v>75</v>
      </c>
      <c r="N7870" s="1">
        <v>42872.849305555559</v>
      </c>
      <c r="O7870" t="s">
        <v>19</v>
      </c>
    </row>
    <row r="7871" spans="1:15" x14ac:dyDescent="0.25">
      <c r="A7871" t="s">
        <v>5453</v>
      </c>
      <c r="B7871" t="s">
        <v>15</v>
      </c>
      <c r="C7871" t="s">
        <v>25</v>
      </c>
      <c r="D7871" t="s">
        <v>17</v>
      </c>
      <c r="E7871" t="s">
        <v>18</v>
      </c>
      <c r="F7871" t="s">
        <v>19</v>
      </c>
      <c r="G7871" t="s">
        <v>20</v>
      </c>
      <c r="J7871" t="s">
        <v>17</v>
      </c>
      <c r="K7871" t="str">
        <f>"765310121"</f>
        <v>765310121</v>
      </c>
      <c r="L7871" t="str">
        <f>"765310121"</f>
        <v>765310121</v>
      </c>
      <c r="M7871" t="s">
        <v>75</v>
      </c>
      <c r="N7871" s="1">
        <v>42872.849305555559</v>
      </c>
      <c r="O7871" t="s">
        <v>19</v>
      </c>
    </row>
    <row r="7872" spans="1:15" x14ac:dyDescent="0.25">
      <c r="A7872" t="s">
        <v>5453</v>
      </c>
      <c r="B7872" t="s">
        <v>15</v>
      </c>
      <c r="C7872" t="s">
        <v>25</v>
      </c>
      <c r="D7872" t="s">
        <v>17</v>
      </c>
      <c r="E7872" t="s">
        <v>18</v>
      </c>
      <c r="F7872" t="s">
        <v>19</v>
      </c>
      <c r="G7872" t="s">
        <v>20</v>
      </c>
      <c r="J7872" t="s">
        <v>17</v>
      </c>
      <c r="K7872" t="str">
        <f>"343310121"</f>
        <v>343310121</v>
      </c>
      <c r="L7872" t="str">
        <f>"343310121"</f>
        <v>343310121</v>
      </c>
      <c r="M7872" t="s">
        <v>75</v>
      </c>
      <c r="N7872" s="1">
        <v>42872.849305555559</v>
      </c>
      <c r="O7872" t="s">
        <v>19</v>
      </c>
    </row>
    <row r="7873" spans="1:15" x14ac:dyDescent="0.25">
      <c r="A7873" t="s">
        <v>5453</v>
      </c>
      <c r="B7873" t="s">
        <v>15</v>
      </c>
      <c r="C7873" t="s">
        <v>25</v>
      </c>
      <c r="D7873" t="s">
        <v>17</v>
      </c>
      <c r="E7873" t="s">
        <v>18</v>
      </c>
      <c r="F7873" t="s">
        <v>19</v>
      </c>
      <c r="G7873" t="s">
        <v>20</v>
      </c>
      <c r="J7873" t="s">
        <v>17</v>
      </c>
      <c r="K7873" t="str">
        <f>"765309121"</f>
        <v>765309121</v>
      </c>
      <c r="L7873" t="str">
        <f>"765309121"</f>
        <v>765309121</v>
      </c>
      <c r="M7873" t="s">
        <v>75</v>
      </c>
      <c r="N7873" s="1">
        <v>42872.849305555559</v>
      </c>
      <c r="O7873" t="s">
        <v>19</v>
      </c>
    </row>
    <row r="7874" spans="1:15" x14ac:dyDescent="0.25">
      <c r="A7874" t="s">
        <v>5454</v>
      </c>
      <c r="B7874" t="s">
        <v>15</v>
      </c>
      <c r="C7874" t="s">
        <v>25</v>
      </c>
      <c r="D7874" t="s">
        <v>17</v>
      </c>
      <c r="E7874" t="s">
        <v>18</v>
      </c>
      <c r="F7874" t="s">
        <v>19</v>
      </c>
      <c r="G7874" t="s">
        <v>20</v>
      </c>
      <c r="J7874" t="s">
        <v>17</v>
      </c>
      <c r="K7874" t="str">
        <f>"765310173"</f>
        <v>765310173</v>
      </c>
      <c r="L7874" t="str">
        <f>"765310173"</f>
        <v>765310173</v>
      </c>
      <c r="M7874" t="s">
        <v>75</v>
      </c>
      <c r="N7874" s="1">
        <v>42872.849305555559</v>
      </c>
      <c r="O7874" t="s">
        <v>19</v>
      </c>
    </row>
    <row r="7875" spans="1:15" x14ac:dyDescent="0.25">
      <c r="A7875" t="s">
        <v>5454</v>
      </c>
      <c r="B7875" t="s">
        <v>15</v>
      </c>
      <c r="C7875" t="s">
        <v>25</v>
      </c>
      <c r="D7875" t="s">
        <v>17</v>
      </c>
      <c r="E7875" t="s">
        <v>18</v>
      </c>
      <c r="F7875" t="s">
        <v>19</v>
      </c>
      <c r="G7875" t="s">
        <v>20</v>
      </c>
      <c r="J7875" t="s">
        <v>17</v>
      </c>
      <c r="K7875" t="str">
        <f>"763310173"</f>
        <v>763310173</v>
      </c>
      <c r="L7875" t="str">
        <f>"763310173"</f>
        <v>763310173</v>
      </c>
      <c r="M7875" t="s">
        <v>84</v>
      </c>
      <c r="N7875" s="1">
        <v>43377.90902777778</v>
      </c>
      <c r="O7875" t="s">
        <v>19</v>
      </c>
    </row>
    <row r="7876" spans="1:15" x14ac:dyDescent="0.25">
      <c r="A7876" t="s">
        <v>5455</v>
      </c>
      <c r="B7876" t="s">
        <v>15</v>
      </c>
      <c r="C7876" t="s">
        <v>25</v>
      </c>
      <c r="D7876" t="s">
        <v>17</v>
      </c>
      <c r="E7876" t="s">
        <v>18</v>
      </c>
      <c r="F7876" t="s">
        <v>19</v>
      </c>
      <c r="G7876" t="s">
        <v>20</v>
      </c>
      <c r="J7876" t="s">
        <v>17</v>
      </c>
      <c r="K7876" t="str">
        <f>"345310173"</f>
        <v>345310173</v>
      </c>
      <c r="L7876" t="str">
        <f>"345310173"</f>
        <v>345310173</v>
      </c>
      <c r="M7876" t="s">
        <v>75</v>
      </c>
      <c r="N7876" s="1">
        <v>42872.849305555559</v>
      </c>
      <c r="O7876" t="s">
        <v>19</v>
      </c>
    </row>
    <row r="7877" spans="1:15" x14ac:dyDescent="0.25">
      <c r="A7877" t="s">
        <v>5456</v>
      </c>
      <c r="B7877" t="s">
        <v>15</v>
      </c>
      <c r="C7877" t="s">
        <v>25</v>
      </c>
      <c r="D7877" t="s">
        <v>17</v>
      </c>
      <c r="E7877" t="s">
        <v>18</v>
      </c>
      <c r="F7877" t="s">
        <v>19</v>
      </c>
      <c r="G7877" t="s">
        <v>20</v>
      </c>
      <c r="J7877" t="s">
        <v>17</v>
      </c>
      <c r="K7877" t="str">
        <f>"76331082"</f>
        <v>76331082</v>
      </c>
      <c r="L7877" t="str">
        <f>"76331082"</f>
        <v>76331082</v>
      </c>
      <c r="M7877" t="s">
        <v>75</v>
      </c>
      <c r="N7877" s="1">
        <v>42872.847222222219</v>
      </c>
      <c r="O7877" t="s">
        <v>19</v>
      </c>
    </row>
    <row r="7878" spans="1:15" x14ac:dyDescent="0.25">
      <c r="A7878" t="s">
        <v>5456</v>
      </c>
      <c r="B7878" t="s">
        <v>15</v>
      </c>
      <c r="C7878" t="s">
        <v>25</v>
      </c>
      <c r="D7878" t="s">
        <v>17</v>
      </c>
      <c r="E7878" t="s">
        <v>18</v>
      </c>
      <c r="F7878" t="s">
        <v>19</v>
      </c>
      <c r="G7878" t="s">
        <v>20</v>
      </c>
      <c r="J7878" t="s">
        <v>17</v>
      </c>
      <c r="K7878" t="str">
        <f>"17331082"</f>
        <v>17331082</v>
      </c>
      <c r="L7878" t="str">
        <f>"17331082"</f>
        <v>17331082</v>
      </c>
      <c r="M7878" t="s">
        <v>75</v>
      </c>
      <c r="N7878" s="1">
        <v>43131.925000000003</v>
      </c>
      <c r="O7878" t="s">
        <v>19</v>
      </c>
    </row>
    <row r="7879" spans="1:15" x14ac:dyDescent="0.25">
      <c r="A7879" t="s">
        <v>5457</v>
      </c>
      <c r="B7879" t="s">
        <v>15</v>
      </c>
      <c r="C7879" t="s">
        <v>25</v>
      </c>
      <c r="D7879" t="s">
        <v>17</v>
      </c>
      <c r="E7879" t="s">
        <v>18</v>
      </c>
      <c r="F7879" t="s">
        <v>19</v>
      </c>
      <c r="G7879" t="s">
        <v>20</v>
      </c>
      <c r="J7879" t="s">
        <v>17</v>
      </c>
      <c r="K7879" t="str">
        <f>"173310305"</f>
        <v>173310305</v>
      </c>
      <c r="L7879" t="str">
        <f>"173310305"</f>
        <v>173310305</v>
      </c>
      <c r="M7879" t="s">
        <v>75</v>
      </c>
      <c r="N7879" s="1">
        <v>43096.724999999999</v>
      </c>
      <c r="O7879" t="s">
        <v>19</v>
      </c>
    </row>
    <row r="7880" spans="1:15" x14ac:dyDescent="0.25">
      <c r="A7880" t="s">
        <v>5457</v>
      </c>
      <c r="B7880" t="s">
        <v>15</v>
      </c>
      <c r="C7880" t="s">
        <v>25</v>
      </c>
      <c r="D7880" t="s">
        <v>17</v>
      </c>
      <c r="E7880" t="s">
        <v>18</v>
      </c>
      <c r="F7880" t="s">
        <v>19</v>
      </c>
      <c r="G7880" t="s">
        <v>20</v>
      </c>
      <c r="J7880" t="s">
        <v>17</v>
      </c>
      <c r="K7880" t="str">
        <f>"763310305"</f>
        <v>763310305</v>
      </c>
      <c r="L7880" t="str">
        <f>"763310305"</f>
        <v>763310305</v>
      </c>
      <c r="M7880" t="s">
        <v>75</v>
      </c>
      <c r="N7880" s="1">
        <v>43132.725694444445</v>
      </c>
      <c r="O7880" t="s">
        <v>19</v>
      </c>
    </row>
    <row r="7881" spans="1:15" x14ac:dyDescent="0.25">
      <c r="A7881" t="s">
        <v>5457</v>
      </c>
      <c r="B7881" t="s">
        <v>15</v>
      </c>
      <c r="C7881" t="s">
        <v>25</v>
      </c>
      <c r="D7881" t="s">
        <v>17</v>
      </c>
      <c r="E7881" t="s">
        <v>18</v>
      </c>
      <c r="F7881" t="s">
        <v>19</v>
      </c>
      <c r="G7881" t="s">
        <v>20</v>
      </c>
      <c r="J7881" t="s">
        <v>17</v>
      </c>
      <c r="K7881" t="str">
        <f>"765310305"</f>
        <v>765310305</v>
      </c>
      <c r="L7881" t="str">
        <f>"765310305"</f>
        <v>765310305</v>
      </c>
      <c r="M7881" t="s">
        <v>84</v>
      </c>
      <c r="N7881" s="1">
        <v>43286.727777777778</v>
      </c>
      <c r="O7881" t="s">
        <v>19</v>
      </c>
    </row>
    <row r="7882" spans="1:15" x14ac:dyDescent="0.25">
      <c r="A7882" t="s">
        <v>5457</v>
      </c>
      <c r="B7882" t="s">
        <v>15</v>
      </c>
      <c r="C7882" t="s">
        <v>25</v>
      </c>
      <c r="D7882" t="s">
        <v>17</v>
      </c>
      <c r="E7882" t="s">
        <v>18</v>
      </c>
      <c r="F7882" t="s">
        <v>19</v>
      </c>
      <c r="G7882" t="s">
        <v>20</v>
      </c>
      <c r="J7882" t="s">
        <v>17</v>
      </c>
      <c r="K7882" t="str">
        <f>"343310305"</f>
        <v>343310305</v>
      </c>
      <c r="L7882" t="str">
        <f>"343310305"</f>
        <v>343310305</v>
      </c>
      <c r="M7882" t="s">
        <v>84</v>
      </c>
      <c r="N7882" s="1">
        <v>43396.951388888891</v>
      </c>
      <c r="O7882" t="s">
        <v>19</v>
      </c>
    </row>
    <row r="7883" spans="1:15" x14ac:dyDescent="0.25">
      <c r="A7883" t="s">
        <v>5458</v>
      </c>
      <c r="B7883" t="s">
        <v>15</v>
      </c>
      <c r="C7883" t="s">
        <v>25</v>
      </c>
      <c r="D7883" t="s">
        <v>17</v>
      </c>
      <c r="E7883" t="s">
        <v>18</v>
      </c>
      <c r="F7883" t="s">
        <v>19</v>
      </c>
      <c r="G7883" t="s">
        <v>20</v>
      </c>
      <c r="J7883" t="s">
        <v>17</v>
      </c>
      <c r="K7883" t="str">
        <f>"343310282"</f>
        <v>343310282</v>
      </c>
      <c r="L7883" t="str">
        <f>"343310282"</f>
        <v>343310282</v>
      </c>
      <c r="M7883" t="s">
        <v>75</v>
      </c>
      <c r="N7883" s="1">
        <v>42872.849305555559</v>
      </c>
      <c r="O7883" t="s">
        <v>19</v>
      </c>
    </row>
    <row r="7884" spans="1:15" x14ac:dyDescent="0.25">
      <c r="A7884" t="s">
        <v>5459</v>
      </c>
      <c r="B7884" t="s">
        <v>15</v>
      </c>
      <c r="C7884" t="s">
        <v>25</v>
      </c>
      <c r="D7884" t="s">
        <v>17</v>
      </c>
      <c r="E7884" t="s">
        <v>18</v>
      </c>
      <c r="F7884" t="s">
        <v>19</v>
      </c>
      <c r="G7884" t="s">
        <v>20</v>
      </c>
      <c r="J7884" t="s">
        <v>17</v>
      </c>
      <c r="K7884" t="str">
        <f>"763310282"</f>
        <v>763310282</v>
      </c>
      <c r="L7884" t="str">
        <f>"763310282"</f>
        <v>763310282</v>
      </c>
      <c r="M7884" t="s">
        <v>75</v>
      </c>
      <c r="N7884" s="1">
        <v>42933.670138888891</v>
      </c>
      <c r="O7884" t="s">
        <v>19</v>
      </c>
    </row>
    <row r="7885" spans="1:15" x14ac:dyDescent="0.25">
      <c r="A7885" t="s">
        <v>5458</v>
      </c>
      <c r="B7885" t="s">
        <v>15</v>
      </c>
      <c r="C7885" t="s">
        <v>25</v>
      </c>
      <c r="D7885" t="s">
        <v>17</v>
      </c>
      <c r="E7885" t="s">
        <v>18</v>
      </c>
      <c r="F7885" t="s">
        <v>19</v>
      </c>
      <c r="G7885" t="s">
        <v>20</v>
      </c>
      <c r="J7885" t="s">
        <v>17</v>
      </c>
      <c r="K7885" t="str">
        <f>"765310273"</f>
        <v>765310273</v>
      </c>
      <c r="L7885" t="str">
        <f>"765310273"</f>
        <v>765310273</v>
      </c>
      <c r="M7885" t="s">
        <v>21</v>
      </c>
      <c r="N7885" s="1">
        <v>42872.849305555559</v>
      </c>
      <c r="O7885" t="s">
        <v>33</v>
      </c>
    </row>
    <row r="7886" spans="1:15" x14ac:dyDescent="0.25">
      <c r="A7886" t="s">
        <v>5460</v>
      </c>
      <c r="B7886" t="s">
        <v>15</v>
      </c>
      <c r="C7886" t="s">
        <v>25</v>
      </c>
      <c r="D7886" t="s">
        <v>17</v>
      </c>
      <c r="E7886" t="s">
        <v>18</v>
      </c>
      <c r="F7886" t="s">
        <v>19</v>
      </c>
      <c r="G7886" t="s">
        <v>20</v>
      </c>
      <c r="J7886" t="s">
        <v>17</v>
      </c>
      <c r="K7886" t="str">
        <f>"173310284"</f>
        <v>173310284</v>
      </c>
      <c r="L7886" t="str">
        <f>"173310284"</f>
        <v>173310284</v>
      </c>
      <c r="M7886" t="s">
        <v>75</v>
      </c>
      <c r="N7886" s="1">
        <v>42872.849305555559</v>
      </c>
      <c r="O7886" t="s">
        <v>19</v>
      </c>
    </row>
    <row r="7887" spans="1:15" x14ac:dyDescent="0.25">
      <c r="A7887" t="s">
        <v>5460</v>
      </c>
      <c r="B7887" t="s">
        <v>15</v>
      </c>
      <c r="C7887" t="s">
        <v>25</v>
      </c>
      <c r="D7887" t="s">
        <v>17</v>
      </c>
      <c r="E7887" t="s">
        <v>18</v>
      </c>
      <c r="F7887" t="s">
        <v>19</v>
      </c>
      <c r="G7887" t="s">
        <v>20</v>
      </c>
      <c r="J7887" t="s">
        <v>17</v>
      </c>
      <c r="K7887" t="str">
        <f>"763310284"</f>
        <v>763310284</v>
      </c>
      <c r="L7887" t="str">
        <f>"763310284"</f>
        <v>763310284</v>
      </c>
      <c r="M7887" t="s">
        <v>75</v>
      </c>
      <c r="N7887" s="1">
        <v>42872.849305555559</v>
      </c>
      <c r="O7887" t="s">
        <v>19</v>
      </c>
    </row>
    <row r="7888" spans="1:15" x14ac:dyDescent="0.25">
      <c r="A7888" t="s">
        <v>5460</v>
      </c>
      <c r="B7888" t="s">
        <v>15</v>
      </c>
      <c r="C7888" t="s">
        <v>25</v>
      </c>
      <c r="D7888" t="s">
        <v>17</v>
      </c>
      <c r="E7888" t="s">
        <v>18</v>
      </c>
      <c r="F7888" t="s">
        <v>19</v>
      </c>
      <c r="G7888" t="s">
        <v>20</v>
      </c>
      <c r="J7888" t="s">
        <v>17</v>
      </c>
      <c r="K7888" t="str">
        <f>"343310284"</f>
        <v>343310284</v>
      </c>
      <c r="L7888" t="str">
        <f>"343310284"</f>
        <v>343310284</v>
      </c>
      <c r="M7888" t="s">
        <v>75</v>
      </c>
      <c r="N7888" s="1">
        <v>42872.849305555559</v>
      </c>
      <c r="O7888" t="s">
        <v>19</v>
      </c>
    </row>
    <row r="7889" spans="1:15" x14ac:dyDescent="0.25">
      <c r="A7889" t="s">
        <v>5461</v>
      </c>
      <c r="B7889" t="s">
        <v>15</v>
      </c>
      <c r="C7889" t="s">
        <v>25</v>
      </c>
      <c r="D7889" t="s">
        <v>17</v>
      </c>
      <c r="E7889" t="s">
        <v>18</v>
      </c>
      <c r="F7889" t="s">
        <v>19</v>
      </c>
      <c r="G7889" t="s">
        <v>20</v>
      </c>
      <c r="J7889" t="s">
        <v>17</v>
      </c>
      <c r="K7889" t="str">
        <f>"76331525"</f>
        <v>76331525</v>
      </c>
      <c r="L7889" t="str">
        <f>"76331525"</f>
        <v>76331525</v>
      </c>
      <c r="M7889" t="s">
        <v>75</v>
      </c>
      <c r="N7889" s="1">
        <v>43005.94027777778</v>
      </c>
      <c r="O7889" t="s">
        <v>19</v>
      </c>
    </row>
    <row r="7890" spans="1:15" x14ac:dyDescent="0.25">
      <c r="A7890" t="s">
        <v>5461</v>
      </c>
      <c r="B7890" t="s">
        <v>15</v>
      </c>
      <c r="C7890" t="s">
        <v>25</v>
      </c>
      <c r="D7890" t="s">
        <v>17</v>
      </c>
      <c r="E7890" t="s">
        <v>18</v>
      </c>
      <c r="F7890" t="s">
        <v>19</v>
      </c>
      <c r="G7890" t="s">
        <v>20</v>
      </c>
      <c r="J7890" t="s">
        <v>17</v>
      </c>
      <c r="K7890" t="str">
        <f>"76331025"</f>
        <v>76331025</v>
      </c>
      <c r="L7890" t="str">
        <f>"76331025"</f>
        <v>76331025</v>
      </c>
      <c r="M7890" t="s">
        <v>75</v>
      </c>
      <c r="N7890" s="1">
        <v>43064.722222222219</v>
      </c>
      <c r="O7890" t="s">
        <v>19</v>
      </c>
    </row>
    <row r="7891" spans="1:15" x14ac:dyDescent="0.25">
      <c r="A7891" t="s">
        <v>5461</v>
      </c>
      <c r="B7891" t="s">
        <v>15</v>
      </c>
      <c r="C7891" t="s">
        <v>25</v>
      </c>
      <c r="D7891" t="s">
        <v>17</v>
      </c>
      <c r="E7891" t="s">
        <v>18</v>
      </c>
      <c r="F7891" t="s">
        <v>19</v>
      </c>
      <c r="G7891" t="s">
        <v>20</v>
      </c>
      <c r="J7891" t="s">
        <v>17</v>
      </c>
      <c r="K7891" t="str">
        <f>"76531025"</f>
        <v>76531025</v>
      </c>
      <c r="L7891" t="str">
        <f>"76531025"</f>
        <v>76531025</v>
      </c>
      <c r="M7891" t="s">
        <v>75</v>
      </c>
      <c r="N7891" s="1">
        <v>43244.972916666666</v>
      </c>
      <c r="O7891" t="s">
        <v>19</v>
      </c>
    </row>
    <row r="7892" spans="1:15" x14ac:dyDescent="0.25">
      <c r="A7892" t="s">
        <v>5461</v>
      </c>
      <c r="B7892" t="s">
        <v>15</v>
      </c>
      <c r="C7892" t="s">
        <v>25</v>
      </c>
      <c r="D7892" t="s">
        <v>17</v>
      </c>
      <c r="E7892" t="s">
        <v>18</v>
      </c>
      <c r="F7892" t="s">
        <v>19</v>
      </c>
      <c r="G7892" t="s">
        <v>20</v>
      </c>
      <c r="J7892" t="s">
        <v>17</v>
      </c>
      <c r="K7892" t="str">
        <f>"17331025"</f>
        <v>17331025</v>
      </c>
      <c r="L7892" t="str">
        <f>"17331025"</f>
        <v>17331025</v>
      </c>
      <c r="M7892" t="s">
        <v>84</v>
      </c>
      <c r="N7892" s="1">
        <v>43251.942361111112</v>
      </c>
      <c r="O7892" t="s">
        <v>19</v>
      </c>
    </row>
    <row r="7893" spans="1:15" x14ac:dyDescent="0.25">
      <c r="A7893" t="s">
        <v>5462</v>
      </c>
      <c r="B7893" t="s">
        <v>15</v>
      </c>
      <c r="C7893" t="s">
        <v>25</v>
      </c>
      <c r="D7893" t="s">
        <v>17</v>
      </c>
      <c r="E7893" t="s">
        <v>18</v>
      </c>
      <c r="F7893" t="s">
        <v>19</v>
      </c>
      <c r="G7893" t="s">
        <v>20</v>
      </c>
      <c r="J7893" t="s">
        <v>17</v>
      </c>
      <c r="K7893" t="str">
        <f>"683310315"</f>
        <v>683310315</v>
      </c>
      <c r="L7893" t="str">
        <f>"683310315"</f>
        <v>683310315</v>
      </c>
      <c r="M7893" t="s">
        <v>84</v>
      </c>
      <c r="N7893" s="1">
        <v>43545.781944444447</v>
      </c>
      <c r="O7893" t="s">
        <v>19</v>
      </c>
    </row>
    <row r="7894" spans="1:15" x14ac:dyDescent="0.25">
      <c r="A7894" t="s">
        <v>5463</v>
      </c>
      <c r="B7894" t="s">
        <v>15</v>
      </c>
      <c r="C7894" t="s">
        <v>25</v>
      </c>
      <c r="D7894" t="s">
        <v>17</v>
      </c>
      <c r="E7894" t="s">
        <v>18</v>
      </c>
      <c r="F7894" t="s">
        <v>19</v>
      </c>
      <c r="G7894" t="s">
        <v>20</v>
      </c>
      <c r="J7894" t="s">
        <v>17</v>
      </c>
      <c r="K7894" t="str">
        <f>"7858816082948"</f>
        <v>7858816082948</v>
      </c>
      <c r="L7894" t="str">
        <f>"87338294"</f>
        <v>87338294</v>
      </c>
      <c r="M7894" t="s">
        <v>21</v>
      </c>
      <c r="N7894" s="1">
        <v>44356.935416666667</v>
      </c>
      <c r="O7894" t="s">
        <v>19</v>
      </c>
    </row>
    <row r="7895" spans="1:15" x14ac:dyDescent="0.25">
      <c r="A7895" t="s">
        <v>5464</v>
      </c>
      <c r="B7895" t="s">
        <v>15</v>
      </c>
      <c r="C7895" t="s">
        <v>25</v>
      </c>
      <c r="D7895" t="s">
        <v>17</v>
      </c>
      <c r="E7895" t="s">
        <v>18</v>
      </c>
      <c r="F7895" t="s">
        <v>19</v>
      </c>
      <c r="G7895" t="s">
        <v>20</v>
      </c>
      <c r="J7895" t="s">
        <v>17</v>
      </c>
      <c r="K7895" t="str">
        <f>"76333161"</f>
        <v>76333161</v>
      </c>
      <c r="L7895" t="str">
        <f>"76333161"</f>
        <v>76333161</v>
      </c>
      <c r="M7895" t="s">
        <v>84</v>
      </c>
      <c r="N7895" s="1">
        <v>43528.630555555559</v>
      </c>
      <c r="O7895" t="s">
        <v>19</v>
      </c>
    </row>
    <row r="7896" spans="1:15" x14ac:dyDescent="0.25">
      <c r="A7896" t="s">
        <v>5465</v>
      </c>
      <c r="B7896" t="s">
        <v>15</v>
      </c>
      <c r="C7896" t="s">
        <v>25</v>
      </c>
      <c r="D7896" t="s">
        <v>17</v>
      </c>
      <c r="E7896" t="s">
        <v>18</v>
      </c>
      <c r="F7896" t="s">
        <v>19</v>
      </c>
      <c r="G7896" t="s">
        <v>20</v>
      </c>
      <c r="J7896" t="s">
        <v>17</v>
      </c>
      <c r="K7896" t="str">
        <f>"1000001003078"</f>
        <v>1000001003078</v>
      </c>
      <c r="L7896" t="str">
        <f>"76333162"</f>
        <v>76333162</v>
      </c>
      <c r="M7896" t="s">
        <v>84</v>
      </c>
      <c r="N7896" s="1">
        <v>43231.654166666667</v>
      </c>
      <c r="O7896" t="s">
        <v>19</v>
      </c>
    </row>
    <row r="7897" spans="1:15" x14ac:dyDescent="0.25">
      <c r="A7897" t="s">
        <v>5466</v>
      </c>
      <c r="B7897" t="s">
        <v>15</v>
      </c>
      <c r="C7897" t="s">
        <v>25</v>
      </c>
      <c r="D7897" t="s">
        <v>17</v>
      </c>
      <c r="E7897" t="s">
        <v>18</v>
      </c>
      <c r="F7897" t="s">
        <v>19</v>
      </c>
      <c r="G7897" t="s">
        <v>20</v>
      </c>
      <c r="J7897" t="s">
        <v>17</v>
      </c>
      <c r="K7897" t="str">
        <f>"76331621"</f>
        <v>76331621</v>
      </c>
      <c r="L7897" t="str">
        <f>"76331621"</f>
        <v>76331621</v>
      </c>
      <c r="M7897" t="s">
        <v>84</v>
      </c>
      <c r="N7897" s="1">
        <v>43476.948611111111</v>
      </c>
      <c r="O7897" t="s">
        <v>19</v>
      </c>
    </row>
    <row r="7898" spans="1:15" x14ac:dyDescent="0.25">
      <c r="A7898" t="s">
        <v>5466</v>
      </c>
      <c r="B7898" t="s">
        <v>15</v>
      </c>
      <c r="C7898" t="s">
        <v>25</v>
      </c>
      <c r="D7898" t="s">
        <v>17</v>
      </c>
      <c r="E7898" t="s">
        <v>18</v>
      </c>
      <c r="F7898" t="s">
        <v>19</v>
      </c>
      <c r="G7898" t="s">
        <v>20</v>
      </c>
      <c r="J7898" t="s">
        <v>17</v>
      </c>
      <c r="K7898" t="str">
        <f>"763331261"</f>
        <v>763331261</v>
      </c>
      <c r="L7898" t="str">
        <f>"763331261"</f>
        <v>763331261</v>
      </c>
      <c r="M7898" t="s">
        <v>84</v>
      </c>
      <c r="N7898" s="1">
        <v>43502.629861111112</v>
      </c>
      <c r="O7898" t="s">
        <v>19</v>
      </c>
    </row>
    <row r="7899" spans="1:15" x14ac:dyDescent="0.25">
      <c r="A7899" t="s">
        <v>5466</v>
      </c>
      <c r="B7899" t="s">
        <v>15</v>
      </c>
      <c r="C7899" t="s">
        <v>25</v>
      </c>
      <c r="D7899" t="s">
        <v>17</v>
      </c>
      <c r="E7899" t="s">
        <v>18</v>
      </c>
      <c r="F7899" t="s">
        <v>19</v>
      </c>
      <c r="G7899" t="s">
        <v>20</v>
      </c>
      <c r="J7899" t="s">
        <v>17</v>
      </c>
      <c r="K7899" t="str">
        <f>"683331621"</f>
        <v>683331621</v>
      </c>
      <c r="L7899" t="str">
        <f>"683331621"</f>
        <v>683331621</v>
      </c>
      <c r="M7899" t="s">
        <v>84</v>
      </c>
      <c r="N7899" s="1">
        <v>43545.781944444447</v>
      </c>
      <c r="O7899" t="s">
        <v>19</v>
      </c>
    </row>
    <row r="7900" spans="1:15" x14ac:dyDescent="0.25">
      <c r="A7900" t="s">
        <v>5467</v>
      </c>
      <c r="B7900" t="s">
        <v>15</v>
      </c>
      <c r="C7900" t="s">
        <v>25</v>
      </c>
      <c r="D7900" t="s">
        <v>17</v>
      </c>
      <c r="E7900" t="s">
        <v>18</v>
      </c>
      <c r="F7900" t="s">
        <v>19</v>
      </c>
      <c r="G7900" t="s">
        <v>20</v>
      </c>
      <c r="J7900" t="s">
        <v>17</v>
      </c>
      <c r="K7900" t="str">
        <f>"76333163"</f>
        <v>76333163</v>
      </c>
      <c r="L7900" t="str">
        <f>"76333163"</f>
        <v>76333163</v>
      </c>
      <c r="M7900" t="s">
        <v>75</v>
      </c>
      <c r="N7900" s="1">
        <v>43064.722916666666</v>
      </c>
      <c r="O7900" t="s">
        <v>19</v>
      </c>
    </row>
    <row r="7901" spans="1:15" x14ac:dyDescent="0.25">
      <c r="A7901" t="s">
        <v>5467</v>
      </c>
      <c r="B7901" t="s">
        <v>15</v>
      </c>
      <c r="C7901" t="s">
        <v>25</v>
      </c>
      <c r="D7901" t="s">
        <v>17</v>
      </c>
      <c r="E7901" t="s">
        <v>18</v>
      </c>
      <c r="F7901" t="s">
        <v>19</v>
      </c>
      <c r="G7901" t="s">
        <v>20</v>
      </c>
      <c r="J7901" t="s">
        <v>17</v>
      </c>
      <c r="K7901" t="str">
        <f>"17333163"</f>
        <v>17333163</v>
      </c>
      <c r="L7901" t="str">
        <f>"17333163"</f>
        <v>17333163</v>
      </c>
      <c r="M7901" t="s">
        <v>75</v>
      </c>
      <c r="N7901" s="1">
        <v>43131.931250000001</v>
      </c>
      <c r="O7901" t="s">
        <v>19</v>
      </c>
    </row>
    <row r="7902" spans="1:15" x14ac:dyDescent="0.25">
      <c r="A7902" t="s">
        <v>5467</v>
      </c>
      <c r="B7902" t="s">
        <v>15</v>
      </c>
      <c r="C7902" t="s">
        <v>25</v>
      </c>
      <c r="D7902" t="s">
        <v>17</v>
      </c>
      <c r="E7902" t="s">
        <v>18</v>
      </c>
      <c r="F7902" t="s">
        <v>19</v>
      </c>
      <c r="G7902" t="s">
        <v>20</v>
      </c>
      <c r="J7902" t="s">
        <v>17</v>
      </c>
      <c r="K7902" t="str">
        <f>"34333163"</f>
        <v>34333163</v>
      </c>
      <c r="L7902" t="str">
        <f>"34333163"</f>
        <v>34333163</v>
      </c>
      <c r="M7902" t="s">
        <v>75</v>
      </c>
      <c r="N7902" s="1">
        <v>43178.584722222222</v>
      </c>
      <c r="O7902" t="s">
        <v>19</v>
      </c>
    </row>
    <row r="7903" spans="1:15" x14ac:dyDescent="0.25">
      <c r="A7903" t="s">
        <v>5467</v>
      </c>
      <c r="B7903" t="s">
        <v>15</v>
      </c>
      <c r="C7903" t="s">
        <v>25</v>
      </c>
      <c r="D7903" t="s">
        <v>17</v>
      </c>
      <c r="E7903" t="s">
        <v>18</v>
      </c>
      <c r="F7903" t="s">
        <v>19</v>
      </c>
      <c r="G7903" t="s">
        <v>20</v>
      </c>
      <c r="J7903" t="s">
        <v>18</v>
      </c>
      <c r="K7903" t="str">
        <f>"1000001001852"</f>
        <v>1000001001852</v>
      </c>
      <c r="L7903" t="str">
        <f>"76533163"</f>
        <v>76533163</v>
      </c>
      <c r="M7903" t="s">
        <v>84</v>
      </c>
      <c r="N7903" s="1">
        <v>43320.805555555555</v>
      </c>
      <c r="O7903" t="s">
        <v>19</v>
      </c>
    </row>
    <row r="7904" spans="1:15" x14ac:dyDescent="0.25">
      <c r="A7904" t="s">
        <v>5467</v>
      </c>
      <c r="B7904" t="s">
        <v>15</v>
      </c>
      <c r="C7904" t="s">
        <v>25</v>
      </c>
      <c r="D7904" t="s">
        <v>17</v>
      </c>
      <c r="E7904" t="s">
        <v>18</v>
      </c>
      <c r="F7904" t="s">
        <v>19</v>
      </c>
      <c r="G7904" t="s">
        <v>20</v>
      </c>
      <c r="J7904" t="s">
        <v>17</v>
      </c>
      <c r="K7904" t="str">
        <f>"76333136"</f>
        <v>76333136</v>
      </c>
      <c r="L7904" t="str">
        <f>"76333136"</f>
        <v>76333136</v>
      </c>
      <c r="M7904" t="s">
        <v>75</v>
      </c>
      <c r="N7904" s="1">
        <v>43132.722916666666</v>
      </c>
      <c r="O7904" t="s">
        <v>33</v>
      </c>
    </row>
    <row r="7905" spans="1:15" x14ac:dyDescent="0.25">
      <c r="A7905" t="s">
        <v>5468</v>
      </c>
      <c r="B7905" t="s">
        <v>15</v>
      </c>
      <c r="C7905" t="s">
        <v>25</v>
      </c>
      <c r="D7905" t="s">
        <v>17</v>
      </c>
      <c r="E7905" t="s">
        <v>18</v>
      </c>
      <c r="F7905" t="s">
        <v>19</v>
      </c>
      <c r="G7905" t="s">
        <v>20</v>
      </c>
      <c r="J7905" t="s">
        <v>17</v>
      </c>
      <c r="K7905" t="str">
        <f>"763331631"</f>
        <v>763331631</v>
      </c>
      <c r="L7905" t="str">
        <f>"763331631"</f>
        <v>763331631</v>
      </c>
      <c r="M7905" t="s">
        <v>84</v>
      </c>
      <c r="N7905" s="1">
        <v>43545.661111111112</v>
      </c>
      <c r="O7905" t="s">
        <v>19</v>
      </c>
    </row>
    <row r="7906" spans="1:15" x14ac:dyDescent="0.25">
      <c r="A7906" t="s">
        <v>5468</v>
      </c>
      <c r="B7906" t="s">
        <v>15</v>
      </c>
      <c r="C7906" t="s">
        <v>25</v>
      </c>
      <c r="D7906" t="s">
        <v>17</v>
      </c>
      <c r="E7906" t="s">
        <v>18</v>
      </c>
      <c r="F7906" t="s">
        <v>19</v>
      </c>
      <c r="G7906" t="s">
        <v>20</v>
      </c>
      <c r="J7906" t="s">
        <v>17</v>
      </c>
      <c r="K7906" t="str">
        <f>"343331631"</f>
        <v>343331631</v>
      </c>
      <c r="L7906" t="str">
        <f>"343331631"</f>
        <v>343331631</v>
      </c>
      <c r="M7906" t="s">
        <v>21</v>
      </c>
      <c r="N7906" s="1">
        <v>43668.683333333334</v>
      </c>
      <c r="O7906" t="s">
        <v>19</v>
      </c>
    </row>
    <row r="7907" spans="1:15" x14ac:dyDescent="0.25">
      <c r="A7907" t="s">
        <v>5469</v>
      </c>
      <c r="B7907" t="s">
        <v>15</v>
      </c>
      <c r="C7907" t="s">
        <v>25</v>
      </c>
      <c r="D7907" t="s">
        <v>17</v>
      </c>
      <c r="E7907" t="s">
        <v>18</v>
      </c>
      <c r="F7907" t="s">
        <v>19</v>
      </c>
      <c r="G7907" t="s">
        <v>20</v>
      </c>
      <c r="J7907" t="s">
        <v>17</v>
      </c>
      <c r="K7907" t="str">
        <f>"763331531"</f>
        <v>763331531</v>
      </c>
      <c r="L7907" t="str">
        <f>"763331531"</f>
        <v>763331531</v>
      </c>
      <c r="M7907" t="s">
        <v>21</v>
      </c>
      <c r="N7907" s="1">
        <v>43665.988888888889</v>
      </c>
      <c r="O7907" t="s">
        <v>19</v>
      </c>
    </row>
    <row r="7908" spans="1:15" x14ac:dyDescent="0.25">
      <c r="A7908" t="s">
        <v>5469</v>
      </c>
      <c r="B7908" t="s">
        <v>15</v>
      </c>
      <c r="C7908" t="s">
        <v>25</v>
      </c>
      <c r="D7908" t="s">
        <v>17</v>
      </c>
      <c r="E7908" t="s">
        <v>18</v>
      </c>
      <c r="F7908" t="s">
        <v>19</v>
      </c>
      <c r="G7908" t="s">
        <v>20</v>
      </c>
      <c r="J7908" t="s">
        <v>17</v>
      </c>
      <c r="K7908" t="str">
        <f>"343331531"</f>
        <v>343331531</v>
      </c>
      <c r="L7908" t="str">
        <f>"343331531"</f>
        <v>343331531</v>
      </c>
      <c r="M7908" t="s">
        <v>21</v>
      </c>
      <c r="N7908" s="1">
        <v>43819.794444444444</v>
      </c>
      <c r="O7908" t="s">
        <v>19</v>
      </c>
    </row>
    <row r="7909" spans="1:15" x14ac:dyDescent="0.25">
      <c r="A7909" t="s">
        <v>5470</v>
      </c>
      <c r="B7909" t="s">
        <v>15</v>
      </c>
      <c r="C7909" t="s">
        <v>25</v>
      </c>
      <c r="D7909" t="s">
        <v>17</v>
      </c>
      <c r="E7909" t="s">
        <v>18</v>
      </c>
      <c r="F7909" t="s">
        <v>19</v>
      </c>
      <c r="G7909" t="s">
        <v>20</v>
      </c>
      <c r="J7909" t="s">
        <v>17</v>
      </c>
      <c r="K7909" t="str">
        <f>"17333165"</f>
        <v>17333165</v>
      </c>
      <c r="L7909" t="str">
        <f>"17333165"</f>
        <v>17333165</v>
      </c>
      <c r="M7909" t="s">
        <v>75</v>
      </c>
      <c r="N7909" s="1">
        <v>43043.723611111112</v>
      </c>
      <c r="O7909" t="s">
        <v>19</v>
      </c>
    </row>
    <row r="7910" spans="1:15" x14ac:dyDescent="0.25">
      <c r="A7910" t="s">
        <v>5470</v>
      </c>
      <c r="B7910" t="s">
        <v>15</v>
      </c>
      <c r="C7910" t="s">
        <v>25</v>
      </c>
      <c r="D7910" t="s">
        <v>17</v>
      </c>
      <c r="E7910" t="s">
        <v>18</v>
      </c>
      <c r="F7910" t="s">
        <v>19</v>
      </c>
      <c r="G7910" t="s">
        <v>20</v>
      </c>
      <c r="J7910" t="s">
        <v>17</v>
      </c>
      <c r="K7910" t="str">
        <f>"1000001002712"</f>
        <v>1000001002712</v>
      </c>
      <c r="L7910" t="str">
        <f>"76333165"</f>
        <v>76333165</v>
      </c>
      <c r="M7910" t="s">
        <v>84</v>
      </c>
      <c r="N7910" s="1">
        <v>43132.722916666666</v>
      </c>
      <c r="O7910" t="s">
        <v>19</v>
      </c>
    </row>
    <row r="7911" spans="1:15" x14ac:dyDescent="0.25">
      <c r="A7911" t="s">
        <v>5470</v>
      </c>
      <c r="B7911" t="s">
        <v>15</v>
      </c>
      <c r="C7911" t="s">
        <v>25</v>
      </c>
      <c r="D7911" t="s">
        <v>17</v>
      </c>
      <c r="E7911" t="s">
        <v>18</v>
      </c>
      <c r="F7911" t="s">
        <v>19</v>
      </c>
      <c r="G7911" t="s">
        <v>20</v>
      </c>
      <c r="J7911" t="s">
        <v>17</v>
      </c>
      <c r="K7911" t="str">
        <f>"34333165"</f>
        <v>34333165</v>
      </c>
      <c r="L7911" t="str">
        <f>"34333165"</f>
        <v>34333165</v>
      </c>
      <c r="M7911" t="s">
        <v>75</v>
      </c>
      <c r="N7911" s="1">
        <v>43178.583333333336</v>
      </c>
      <c r="O7911" t="s">
        <v>19</v>
      </c>
    </row>
    <row r="7912" spans="1:15" x14ac:dyDescent="0.25">
      <c r="A7912" t="s">
        <v>5471</v>
      </c>
      <c r="B7912" t="s">
        <v>15</v>
      </c>
      <c r="C7912" t="s">
        <v>25</v>
      </c>
      <c r="D7912" t="s">
        <v>17</v>
      </c>
      <c r="E7912" t="s">
        <v>18</v>
      </c>
      <c r="F7912" t="s">
        <v>19</v>
      </c>
      <c r="G7912" t="s">
        <v>20</v>
      </c>
      <c r="J7912" t="s">
        <v>17</v>
      </c>
      <c r="K7912" t="str">
        <f>"763331651"</f>
        <v>763331651</v>
      </c>
      <c r="L7912" t="str">
        <f>"763331651"</f>
        <v>763331651</v>
      </c>
      <c r="M7912" t="s">
        <v>84</v>
      </c>
      <c r="N7912" s="1">
        <v>43545.661805555559</v>
      </c>
      <c r="O7912" t="s">
        <v>19</v>
      </c>
    </row>
    <row r="7913" spans="1:15" x14ac:dyDescent="0.25">
      <c r="A7913" t="s">
        <v>5472</v>
      </c>
      <c r="B7913" t="s">
        <v>15</v>
      </c>
      <c r="C7913" t="s">
        <v>25</v>
      </c>
      <c r="D7913" t="s">
        <v>17</v>
      </c>
      <c r="E7913" t="s">
        <v>18</v>
      </c>
      <c r="F7913" t="s">
        <v>19</v>
      </c>
      <c r="G7913" t="s">
        <v>20</v>
      </c>
      <c r="J7913" t="s">
        <v>17</v>
      </c>
      <c r="K7913" t="str">
        <f>"763331652"</f>
        <v>763331652</v>
      </c>
      <c r="L7913" t="str">
        <f>"763331652"</f>
        <v>763331652</v>
      </c>
      <c r="M7913" t="s">
        <v>84</v>
      </c>
      <c r="N7913" s="1">
        <v>43545.662499999999</v>
      </c>
      <c r="O7913" t="s">
        <v>19</v>
      </c>
    </row>
    <row r="7914" spans="1:15" x14ac:dyDescent="0.25">
      <c r="A7914" t="s">
        <v>5472</v>
      </c>
      <c r="B7914" t="s">
        <v>15</v>
      </c>
      <c r="C7914" t="s">
        <v>25</v>
      </c>
      <c r="D7914" t="s">
        <v>17</v>
      </c>
      <c r="E7914" t="s">
        <v>18</v>
      </c>
      <c r="F7914" t="s">
        <v>19</v>
      </c>
      <c r="G7914" t="s">
        <v>20</v>
      </c>
      <c r="J7914" t="s">
        <v>17</v>
      </c>
      <c r="K7914" t="str">
        <f>"1578151158850"</f>
        <v>1578151158850</v>
      </c>
      <c r="L7914" t="str">
        <f>"61330594"</f>
        <v>61330594</v>
      </c>
      <c r="M7914" t="s">
        <v>21</v>
      </c>
      <c r="N7914" s="1">
        <v>43834.638194444444</v>
      </c>
      <c r="O7914" t="s">
        <v>19</v>
      </c>
    </row>
    <row r="7915" spans="1:15" x14ac:dyDescent="0.25">
      <c r="A7915" t="s">
        <v>5473</v>
      </c>
      <c r="B7915" t="s">
        <v>15</v>
      </c>
      <c r="C7915" t="s">
        <v>25</v>
      </c>
      <c r="D7915" t="s">
        <v>17</v>
      </c>
      <c r="E7915" t="s">
        <v>18</v>
      </c>
      <c r="F7915" t="s">
        <v>19</v>
      </c>
      <c r="G7915" t="s">
        <v>20</v>
      </c>
      <c r="J7915" t="s">
        <v>17</v>
      </c>
      <c r="K7915" t="str">
        <f>"17333166"</f>
        <v>17333166</v>
      </c>
      <c r="L7915" t="str">
        <f>"17333166"</f>
        <v>17333166</v>
      </c>
      <c r="M7915" t="s">
        <v>75</v>
      </c>
      <c r="N7915" s="1">
        <v>43043.723611111112</v>
      </c>
      <c r="O7915" t="s">
        <v>19</v>
      </c>
    </row>
    <row r="7916" spans="1:15" x14ac:dyDescent="0.25">
      <c r="A7916" t="s">
        <v>5473</v>
      </c>
      <c r="B7916" t="s">
        <v>15</v>
      </c>
      <c r="C7916" t="s">
        <v>25</v>
      </c>
      <c r="D7916" t="s">
        <v>17</v>
      </c>
      <c r="E7916" t="s">
        <v>18</v>
      </c>
      <c r="F7916" t="s">
        <v>19</v>
      </c>
      <c r="G7916" t="s">
        <v>20</v>
      </c>
      <c r="J7916" t="s">
        <v>17</v>
      </c>
      <c r="K7916" t="str">
        <f>"1000001002606"</f>
        <v>1000001002606</v>
      </c>
      <c r="L7916" t="str">
        <f>"76333166"</f>
        <v>76333166</v>
      </c>
      <c r="M7916" t="s">
        <v>84</v>
      </c>
      <c r="N7916" s="1">
        <v>43045.666666666664</v>
      </c>
      <c r="O7916" t="s">
        <v>19</v>
      </c>
    </row>
    <row r="7917" spans="1:15" x14ac:dyDescent="0.25">
      <c r="A7917" t="s">
        <v>5473</v>
      </c>
      <c r="B7917" t="s">
        <v>15</v>
      </c>
      <c r="C7917" t="s">
        <v>25</v>
      </c>
      <c r="D7917" t="s">
        <v>17</v>
      </c>
      <c r="E7917" t="s">
        <v>18</v>
      </c>
      <c r="F7917" t="s">
        <v>19</v>
      </c>
      <c r="G7917" t="s">
        <v>20</v>
      </c>
      <c r="J7917" t="s">
        <v>17</v>
      </c>
      <c r="K7917" t="str">
        <f>"34333166"</f>
        <v>34333166</v>
      </c>
      <c r="L7917" t="str">
        <f>"34333166"</f>
        <v>34333166</v>
      </c>
      <c r="M7917" t="s">
        <v>75</v>
      </c>
      <c r="N7917" s="1">
        <v>43178.584027777775</v>
      </c>
      <c r="O7917" t="s">
        <v>19</v>
      </c>
    </row>
    <row r="7918" spans="1:15" x14ac:dyDescent="0.25">
      <c r="A7918" t="s">
        <v>5474</v>
      </c>
      <c r="B7918" t="s">
        <v>15</v>
      </c>
      <c r="C7918" t="s">
        <v>25</v>
      </c>
      <c r="D7918" t="s">
        <v>17</v>
      </c>
      <c r="E7918" t="s">
        <v>18</v>
      </c>
      <c r="F7918" t="s">
        <v>19</v>
      </c>
      <c r="G7918" t="s">
        <v>20</v>
      </c>
      <c r="J7918" t="s">
        <v>17</v>
      </c>
      <c r="K7918" t="str">
        <f>"68333166"</f>
        <v>68333166</v>
      </c>
      <c r="L7918" t="str">
        <f>"68333166"</f>
        <v>68333166</v>
      </c>
      <c r="M7918" t="s">
        <v>84</v>
      </c>
      <c r="N7918" s="1">
        <v>43545.780555555553</v>
      </c>
      <c r="O7918" t="s">
        <v>19</v>
      </c>
    </row>
    <row r="7919" spans="1:15" x14ac:dyDescent="0.25">
      <c r="A7919" t="s">
        <v>5475</v>
      </c>
      <c r="B7919" t="s">
        <v>15</v>
      </c>
      <c r="C7919" t="s">
        <v>25</v>
      </c>
      <c r="D7919" t="s">
        <v>17</v>
      </c>
      <c r="E7919" t="s">
        <v>18</v>
      </c>
      <c r="F7919" t="s">
        <v>19</v>
      </c>
      <c r="G7919" t="s">
        <v>20</v>
      </c>
      <c r="J7919" t="s">
        <v>17</v>
      </c>
      <c r="K7919" t="str">
        <f>"763331661"</f>
        <v>763331661</v>
      </c>
      <c r="L7919" t="str">
        <f>"763331661"</f>
        <v>763331661</v>
      </c>
      <c r="M7919" t="s">
        <v>84</v>
      </c>
      <c r="N7919" s="1">
        <v>43570.640277777777</v>
      </c>
      <c r="O7919" t="s">
        <v>19</v>
      </c>
    </row>
    <row r="7920" spans="1:15" x14ac:dyDescent="0.25">
      <c r="A7920" t="s">
        <v>5476</v>
      </c>
      <c r="B7920" t="s">
        <v>15</v>
      </c>
      <c r="C7920" t="s">
        <v>25</v>
      </c>
      <c r="D7920" t="s">
        <v>17</v>
      </c>
      <c r="E7920" t="s">
        <v>18</v>
      </c>
      <c r="F7920" t="s">
        <v>19</v>
      </c>
      <c r="G7920" t="s">
        <v>20</v>
      </c>
      <c r="J7920" t="s">
        <v>17</v>
      </c>
      <c r="K7920" t="str">
        <f>"1000001002699"</f>
        <v>1000001002699</v>
      </c>
      <c r="L7920" t="str">
        <f>"76333168"</f>
        <v>76333168</v>
      </c>
      <c r="M7920" t="s">
        <v>84</v>
      </c>
      <c r="N7920" s="1">
        <v>43162.668749999997</v>
      </c>
      <c r="O7920" t="s">
        <v>19</v>
      </c>
    </row>
    <row r="7921" spans="1:15" x14ac:dyDescent="0.25">
      <c r="A7921" t="s">
        <v>5477</v>
      </c>
      <c r="B7921" t="s">
        <v>15</v>
      </c>
      <c r="C7921" t="s">
        <v>25</v>
      </c>
      <c r="D7921" t="s">
        <v>17</v>
      </c>
      <c r="E7921" t="s">
        <v>18</v>
      </c>
      <c r="F7921" t="s">
        <v>19</v>
      </c>
      <c r="G7921" t="s">
        <v>20</v>
      </c>
      <c r="J7921" t="s">
        <v>17</v>
      </c>
      <c r="K7921" t="str">
        <f>"345320182"</f>
        <v>345320182</v>
      </c>
      <c r="L7921" t="str">
        <f>"345320182"</f>
        <v>345320182</v>
      </c>
      <c r="M7921" t="s">
        <v>75</v>
      </c>
      <c r="N7921" s="1">
        <v>42872.849305555559</v>
      </c>
      <c r="O7921" t="s">
        <v>19</v>
      </c>
    </row>
    <row r="7922" spans="1:15" x14ac:dyDescent="0.25">
      <c r="A7922" t="s">
        <v>5477</v>
      </c>
      <c r="B7922" t="s">
        <v>15</v>
      </c>
      <c r="C7922" t="s">
        <v>25</v>
      </c>
      <c r="D7922" t="s">
        <v>17</v>
      </c>
      <c r="E7922" t="s">
        <v>18</v>
      </c>
      <c r="F7922" t="s">
        <v>19</v>
      </c>
      <c r="G7922" t="s">
        <v>20</v>
      </c>
      <c r="J7922" t="s">
        <v>17</v>
      </c>
      <c r="K7922" t="str">
        <f>"763320182"</f>
        <v>763320182</v>
      </c>
      <c r="L7922" t="str">
        <f>"763320182"</f>
        <v>763320182</v>
      </c>
      <c r="M7922" t="s">
        <v>75</v>
      </c>
      <c r="N7922" s="1">
        <v>42872.849305555559</v>
      </c>
      <c r="O7922" t="s">
        <v>19</v>
      </c>
    </row>
    <row r="7923" spans="1:15" x14ac:dyDescent="0.25">
      <c r="A7923" t="s">
        <v>5478</v>
      </c>
      <c r="B7923" t="s">
        <v>15</v>
      </c>
      <c r="C7923" t="s">
        <v>25</v>
      </c>
      <c r="D7923" t="s">
        <v>17</v>
      </c>
      <c r="E7923" t="s">
        <v>18</v>
      </c>
      <c r="F7923" t="s">
        <v>19</v>
      </c>
      <c r="G7923" t="s">
        <v>20</v>
      </c>
      <c r="J7923" t="s">
        <v>17</v>
      </c>
      <c r="K7923" t="str">
        <f>"175320182"</f>
        <v>175320182</v>
      </c>
      <c r="L7923" t="str">
        <f>"175320182"</f>
        <v>175320182</v>
      </c>
      <c r="M7923" t="s">
        <v>75</v>
      </c>
      <c r="N7923" s="1">
        <v>42872.849305555559</v>
      </c>
      <c r="O7923" t="s">
        <v>19</v>
      </c>
    </row>
    <row r="7924" spans="1:15" x14ac:dyDescent="0.25">
      <c r="A7924" t="s">
        <v>5478</v>
      </c>
      <c r="B7924" t="s">
        <v>15</v>
      </c>
      <c r="C7924" t="s">
        <v>25</v>
      </c>
      <c r="D7924" t="s">
        <v>17</v>
      </c>
      <c r="E7924" t="s">
        <v>18</v>
      </c>
      <c r="F7924" t="s">
        <v>19</v>
      </c>
      <c r="G7924" t="s">
        <v>20</v>
      </c>
      <c r="J7924" t="s">
        <v>17</v>
      </c>
      <c r="K7924" t="str">
        <f>"765320182"</f>
        <v>765320182</v>
      </c>
      <c r="L7924" t="str">
        <f>"765320182"</f>
        <v>765320182</v>
      </c>
      <c r="M7924" t="s">
        <v>75</v>
      </c>
      <c r="N7924" s="1">
        <v>42872.849305555559</v>
      </c>
      <c r="O7924" t="s">
        <v>19</v>
      </c>
    </row>
    <row r="7925" spans="1:15" x14ac:dyDescent="0.25">
      <c r="A7925" t="s">
        <v>5479</v>
      </c>
      <c r="B7925" t="s">
        <v>15</v>
      </c>
      <c r="C7925" t="s">
        <v>25</v>
      </c>
      <c r="D7925" t="s">
        <v>17</v>
      </c>
      <c r="E7925" t="s">
        <v>18</v>
      </c>
      <c r="F7925" t="s">
        <v>19</v>
      </c>
      <c r="G7925" t="s">
        <v>20</v>
      </c>
      <c r="J7925" t="s">
        <v>17</v>
      </c>
      <c r="K7925" t="str">
        <f>"175320147"</f>
        <v>175320147</v>
      </c>
      <c r="L7925" t="str">
        <f>"175320147"</f>
        <v>175320147</v>
      </c>
      <c r="M7925" t="s">
        <v>75</v>
      </c>
      <c r="N7925" s="1">
        <v>42872.849305555559</v>
      </c>
      <c r="O7925" t="s">
        <v>19</v>
      </c>
    </row>
    <row r="7926" spans="1:15" x14ac:dyDescent="0.25">
      <c r="A7926" t="s">
        <v>5479</v>
      </c>
      <c r="B7926" t="s">
        <v>15</v>
      </c>
      <c r="C7926" t="s">
        <v>25</v>
      </c>
      <c r="D7926" t="s">
        <v>17</v>
      </c>
      <c r="E7926" t="s">
        <v>18</v>
      </c>
      <c r="F7926" t="s">
        <v>19</v>
      </c>
      <c r="G7926" t="s">
        <v>20</v>
      </c>
      <c r="J7926" t="s">
        <v>17</v>
      </c>
      <c r="K7926" t="str">
        <f>"765320147"</f>
        <v>765320147</v>
      </c>
      <c r="L7926" t="str">
        <f>"765320147"</f>
        <v>765320147</v>
      </c>
      <c r="M7926" t="s">
        <v>75</v>
      </c>
      <c r="N7926" s="1">
        <v>42872.849305555559</v>
      </c>
      <c r="O7926" t="s">
        <v>19</v>
      </c>
    </row>
    <row r="7927" spans="1:15" x14ac:dyDescent="0.25">
      <c r="A7927" t="s">
        <v>5480</v>
      </c>
      <c r="B7927" t="s">
        <v>15</v>
      </c>
      <c r="C7927" t="s">
        <v>25</v>
      </c>
      <c r="D7927" t="s">
        <v>17</v>
      </c>
      <c r="E7927" t="s">
        <v>18</v>
      </c>
      <c r="F7927" t="s">
        <v>19</v>
      </c>
      <c r="G7927" t="s">
        <v>20</v>
      </c>
      <c r="J7927" t="s">
        <v>17</v>
      </c>
      <c r="K7927" t="str">
        <f>"345320103"</f>
        <v>345320103</v>
      </c>
      <c r="L7927" t="str">
        <f>"345320103"</f>
        <v>345320103</v>
      </c>
      <c r="M7927" t="s">
        <v>75</v>
      </c>
      <c r="N7927" s="1">
        <v>42872.849305555559</v>
      </c>
      <c r="O7927" t="s">
        <v>19</v>
      </c>
    </row>
    <row r="7928" spans="1:15" x14ac:dyDescent="0.25">
      <c r="A7928" t="s">
        <v>5480</v>
      </c>
      <c r="B7928" t="s">
        <v>15</v>
      </c>
      <c r="C7928" t="s">
        <v>25</v>
      </c>
      <c r="D7928" t="s">
        <v>17</v>
      </c>
      <c r="E7928" t="s">
        <v>18</v>
      </c>
      <c r="F7928" t="s">
        <v>19</v>
      </c>
      <c r="G7928" t="s">
        <v>20</v>
      </c>
      <c r="J7928" t="s">
        <v>17</v>
      </c>
      <c r="K7928" t="str">
        <f>"765320123"</f>
        <v>765320123</v>
      </c>
      <c r="L7928" t="str">
        <f>"765320123"</f>
        <v>765320123</v>
      </c>
      <c r="M7928" t="s">
        <v>75</v>
      </c>
      <c r="N7928" s="1">
        <v>42872.849305555559</v>
      </c>
      <c r="O7928" t="s">
        <v>19</v>
      </c>
    </row>
    <row r="7929" spans="1:15" x14ac:dyDescent="0.25">
      <c r="A7929" t="s">
        <v>5481</v>
      </c>
      <c r="B7929" t="s">
        <v>15</v>
      </c>
      <c r="C7929" t="s">
        <v>25</v>
      </c>
      <c r="D7929" t="s">
        <v>17</v>
      </c>
      <c r="E7929" t="s">
        <v>18</v>
      </c>
      <c r="F7929" t="s">
        <v>19</v>
      </c>
      <c r="G7929" t="s">
        <v>20</v>
      </c>
      <c r="J7929" t="s">
        <v>17</v>
      </c>
      <c r="K7929" t="str">
        <f>"345320115"</f>
        <v>345320115</v>
      </c>
      <c r="L7929" t="str">
        <f>"345320115"</f>
        <v>345320115</v>
      </c>
      <c r="M7929" t="s">
        <v>75</v>
      </c>
      <c r="N7929" s="1">
        <v>42872.849305555559</v>
      </c>
      <c r="O7929" t="s">
        <v>19</v>
      </c>
    </row>
    <row r="7930" spans="1:15" x14ac:dyDescent="0.25">
      <c r="A7930" t="s">
        <v>5481</v>
      </c>
      <c r="B7930" t="s">
        <v>15</v>
      </c>
      <c r="C7930" t="s">
        <v>25</v>
      </c>
      <c r="D7930" t="s">
        <v>17</v>
      </c>
      <c r="E7930" t="s">
        <v>18</v>
      </c>
      <c r="F7930" t="s">
        <v>19</v>
      </c>
      <c r="G7930" t="s">
        <v>20</v>
      </c>
      <c r="J7930" t="s">
        <v>17</v>
      </c>
      <c r="K7930" t="str">
        <f>"765320115"</f>
        <v>765320115</v>
      </c>
      <c r="L7930" t="str">
        <f>"765320115"</f>
        <v>765320115</v>
      </c>
      <c r="M7930" t="s">
        <v>75</v>
      </c>
      <c r="N7930" s="1">
        <v>42872.849305555559</v>
      </c>
      <c r="O7930" t="s">
        <v>19</v>
      </c>
    </row>
    <row r="7931" spans="1:15" x14ac:dyDescent="0.25">
      <c r="A7931" t="s">
        <v>5482</v>
      </c>
      <c r="B7931" t="s">
        <v>15</v>
      </c>
      <c r="C7931" t="s">
        <v>25</v>
      </c>
      <c r="D7931" t="s">
        <v>17</v>
      </c>
      <c r="E7931" t="s">
        <v>18</v>
      </c>
      <c r="F7931" t="s">
        <v>19</v>
      </c>
      <c r="G7931" t="s">
        <v>20</v>
      </c>
      <c r="J7931" t="s">
        <v>17</v>
      </c>
      <c r="K7931" t="str">
        <f>"765320181"</f>
        <v>765320181</v>
      </c>
      <c r="L7931" t="str">
        <f>"765320181"</f>
        <v>765320181</v>
      </c>
      <c r="M7931" t="s">
        <v>75</v>
      </c>
      <c r="N7931" s="1">
        <v>42872.849305555559</v>
      </c>
      <c r="O7931" t="s">
        <v>19</v>
      </c>
    </row>
    <row r="7932" spans="1:15" x14ac:dyDescent="0.25">
      <c r="A7932" t="s">
        <v>5483</v>
      </c>
      <c r="B7932" t="s">
        <v>15</v>
      </c>
      <c r="C7932" t="s">
        <v>25</v>
      </c>
      <c r="D7932" t="s">
        <v>17</v>
      </c>
      <c r="E7932" t="s">
        <v>18</v>
      </c>
      <c r="F7932" t="s">
        <v>19</v>
      </c>
      <c r="G7932" t="s">
        <v>20</v>
      </c>
      <c r="J7932" t="s">
        <v>17</v>
      </c>
      <c r="K7932" t="str">
        <f>"345320265"</f>
        <v>345320265</v>
      </c>
      <c r="L7932" t="str">
        <f>"345320265"</f>
        <v>345320265</v>
      </c>
      <c r="M7932" t="s">
        <v>75</v>
      </c>
      <c r="N7932" s="1">
        <v>42872.849305555559</v>
      </c>
      <c r="O7932" t="s">
        <v>19</v>
      </c>
    </row>
    <row r="7933" spans="1:15" x14ac:dyDescent="0.25">
      <c r="A7933" t="s">
        <v>5483</v>
      </c>
      <c r="B7933" t="s">
        <v>15</v>
      </c>
      <c r="C7933" t="s">
        <v>25</v>
      </c>
      <c r="D7933" t="s">
        <v>17</v>
      </c>
      <c r="E7933" t="s">
        <v>18</v>
      </c>
      <c r="F7933" t="s">
        <v>19</v>
      </c>
      <c r="G7933" t="s">
        <v>20</v>
      </c>
      <c r="J7933" t="s">
        <v>17</v>
      </c>
      <c r="K7933" t="str">
        <f>"765320265"</f>
        <v>765320265</v>
      </c>
      <c r="L7933" t="str">
        <f>"765320265"</f>
        <v>765320265</v>
      </c>
      <c r="M7933" t="s">
        <v>75</v>
      </c>
      <c r="N7933" s="1">
        <v>42872.849305555559</v>
      </c>
      <c r="O7933" t="s">
        <v>19</v>
      </c>
    </row>
    <row r="7934" spans="1:15" x14ac:dyDescent="0.25">
      <c r="A7934" t="s">
        <v>5484</v>
      </c>
      <c r="B7934" t="s">
        <v>15</v>
      </c>
      <c r="C7934" t="s">
        <v>25</v>
      </c>
      <c r="D7934" t="s">
        <v>17</v>
      </c>
      <c r="E7934" t="s">
        <v>18</v>
      </c>
      <c r="F7934" t="s">
        <v>19</v>
      </c>
      <c r="G7934" t="s">
        <v>20</v>
      </c>
      <c r="J7934" t="s">
        <v>17</v>
      </c>
      <c r="K7934" t="str">
        <f>"763320265"</f>
        <v>763320265</v>
      </c>
      <c r="L7934" t="str">
        <f>"763320265"</f>
        <v>763320265</v>
      </c>
      <c r="M7934" t="s">
        <v>75</v>
      </c>
      <c r="N7934" s="1">
        <v>42893.927083333336</v>
      </c>
      <c r="O7934" t="s">
        <v>19</v>
      </c>
    </row>
    <row r="7935" spans="1:15" x14ac:dyDescent="0.25">
      <c r="A7935" t="s">
        <v>5485</v>
      </c>
      <c r="B7935" t="s">
        <v>15</v>
      </c>
      <c r="C7935" t="s">
        <v>25</v>
      </c>
      <c r="D7935" t="s">
        <v>17</v>
      </c>
      <c r="E7935" t="s">
        <v>18</v>
      </c>
      <c r="F7935" t="s">
        <v>19</v>
      </c>
      <c r="G7935" t="s">
        <v>20</v>
      </c>
      <c r="J7935" t="s">
        <v>17</v>
      </c>
      <c r="K7935" t="str">
        <f>"345320242"</f>
        <v>345320242</v>
      </c>
      <c r="L7935" t="str">
        <f>"345320242"</f>
        <v>345320242</v>
      </c>
      <c r="M7935" t="s">
        <v>75</v>
      </c>
      <c r="N7935" s="1">
        <v>42872.849305555559</v>
      </c>
      <c r="O7935" t="s">
        <v>19</v>
      </c>
    </row>
    <row r="7936" spans="1:15" x14ac:dyDescent="0.25">
      <c r="A7936" t="s">
        <v>5486</v>
      </c>
      <c r="B7936" t="s">
        <v>15</v>
      </c>
      <c r="C7936" t="s">
        <v>25</v>
      </c>
      <c r="D7936" t="s">
        <v>17</v>
      </c>
      <c r="E7936" t="s">
        <v>18</v>
      </c>
      <c r="F7936" t="s">
        <v>19</v>
      </c>
      <c r="G7936" t="s">
        <v>20</v>
      </c>
      <c r="J7936" t="s">
        <v>17</v>
      </c>
      <c r="K7936" t="str">
        <f>"34530139"</f>
        <v>34530139</v>
      </c>
      <c r="L7936" t="str">
        <f>"34530139"</f>
        <v>34530139</v>
      </c>
      <c r="M7936" t="s">
        <v>75</v>
      </c>
      <c r="N7936" s="1">
        <v>42872.839583333334</v>
      </c>
      <c r="O7936" t="s">
        <v>19</v>
      </c>
    </row>
    <row r="7937" spans="1:15" x14ac:dyDescent="0.25">
      <c r="A7937" t="s">
        <v>5486</v>
      </c>
      <c r="B7937" t="s">
        <v>15</v>
      </c>
      <c r="C7937" t="s">
        <v>25</v>
      </c>
      <c r="D7937" t="s">
        <v>17</v>
      </c>
      <c r="E7937" t="s">
        <v>18</v>
      </c>
      <c r="F7937" t="s">
        <v>19</v>
      </c>
      <c r="G7937" t="s">
        <v>20</v>
      </c>
      <c r="J7937" t="s">
        <v>17</v>
      </c>
      <c r="K7937" t="str">
        <f>"345320139"</f>
        <v>345320139</v>
      </c>
      <c r="L7937" t="str">
        <f>"345320139"</f>
        <v>345320139</v>
      </c>
      <c r="M7937" t="s">
        <v>75</v>
      </c>
      <c r="N7937" s="1">
        <v>42872.849305555559</v>
      </c>
      <c r="O7937" t="s">
        <v>19</v>
      </c>
    </row>
    <row r="7938" spans="1:15" x14ac:dyDescent="0.25">
      <c r="A7938" t="s">
        <v>5486</v>
      </c>
      <c r="B7938" t="s">
        <v>15</v>
      </c>
      <c r="C7938" t="s">
        <v>25</v>
      </c>
      <c r="D7938" t="s">
        <v>17</v>
      </c>
      <c r="E7938" t="s">
        <v>18</v>
      </c>
      <c r="F7938" t="s">
        <v>19</v>
      </c>
      <c r="G7938" t="s">
        <v>20</v>
      </c>
      <c r="J7938" t="s">
        <v>17</v>
      </c>
      <c r="K7938" t="str">
        <f>"765320139"</f>
        <v>765320139</v>
      </c>
      <c r="L7938" t="str">
        <f>"765320139"</f>
        <v>765320139</v>
      </c>
      <c r="M7938" t="s">
        <v>75</v>
      </c>
      <c r="N7938" s="1">
        <v>42872.849305555559</v>
      </c>
      <c r="O7938" t="s">
        <v>19</v>
      </c>
    </row>
    <row r="7939" spans="1:15" x14ac:dyDescent="0.25">
      <c r="A7939" t="s">
        <v>5487</v>
      </c>
      <c r="B7939" t="s">
        <v>15</v>
      </c>
      <c r="C7939" t="s">
        <v>25</v>
      </c>
      <c r="D7939" t="s">
        <v>17</v>
      </c>
      <c r="E7939" t="s">
        <v>18</v>
      </c>
      <c r="F7939" t="s">
        <v>19</v>
      </c>
      <c r="G7939" t="s">
        <v>20</v>
      </c>
      <c r="J7939" t="s">
        <v>17</v>
      </c>
      <c r="K7939" t="str">
        <f>"765320180"</f>
        <v>765320180</v>
      </c>
      <c r="L7939" t="str">
        <f>"765320180"</f>
        <v>765320180</v>
      </c>
      <c r="M7939" t="s">
        <v>75</v>
      </c>
      <c r="N7939" s="1">
        <v>42872.849305555559</v>
      </c>
      <c r="O7939" t="s">
        <v>19</v>
      </c>
    </row>
    <row r="7940" spans="1:15" x14ac:dyDescent="0.25">
      <c r="A7940" t="s">
        <v>5488</v>
      </c>
      <c r="B7940" t="s">
        <v>15</v>
      </c>
      <c r="C7940" t="s">
        <v>25</v>
      </c>
      <c r="D7940" t="s">
        <v>17</v>
      </c>
      <c r="E7940" t="s">
        <v>18</v>
      </c>
      <c r="F7940" t="s">
        <v>19</v>
      </c>
      <c r="G7940" t="s">
        <v>20</v>
      </c>
      <c r="J7940" t="s">
        <v>17</v>
      </c>
      <c r="K7940" t="str">
        <f>"763320190"</f>
        <v>763320190</v>
      </c>
      <c r="L7940" t="str">
        <f>"763320190"</f>
        <v>763320190</v>
      </c>
      <c r="M7940" t="s">
        <v>75</v>
      </c>
      <c r="N7940" s="1">
        <v>42893.927777777775</v>
      </c>
      <c r="O7940" t="s">
        <v>19</v>
      </c>
    </row>
    <row r="7941" spans="1:15" x14ac:dyDescent="0.25">
      <c r="A7941" t="s">
        <v>5488</v>
      </c>
      <c r="B7941" t="s">
        <v>15</v>
      </c>
      <c r="C7941" t="s">
        <v>25</v>
      </c>
      <c r="D7941" t="s">
        <v>17</v>
      </c>
      <c r="E7941" t="s">
        <v>18</v>
      </c>
      <c r="F7941" t="s">
        <v>19</v>
      </c>
      <c r="G7941" t="s">
        <v>20</v>
      </c>
      <c r="J7941" t="s">
        <v>17</v>
      </c>
      <c r="K7941" t="str">
        <f>"683320190"</f>
        <v>683320190</v>
      </c>
      <c r="L7941" t="str">
        <f>"683320190"</f>
        <v>683320190</v>
      </c>
      <c r="M7941" t="s">
        <v>75</v>
      </c>
      <c r="N7941" s="1">
        <v>43007.699305555558</v>
      </c>
      <c r="O7941" t="s">
        <v>19</v>
      </c>
    </row>
    <row r="7942" spans="1:15" x14ac:dyDescent="0.25">
      <c r="A7942" t="s">
        <v>5489</v>
      </c>
      <c r="B7942" t="s">
        <v>15</v>
      </c>
      <c r="C7942" t="s">
        <v>25</v>
      </c>
      <c r="D7942" t="s">
        <v>17</v>
      </c>
      <c r="E7942" t="s">
        <v>18</v>
      </c>
      <c r="F7942" t="s">
        <v>19</v>
      </c>
      <c r="G7942" t="s">
        <v>20</v>
      </c>
      <c r="J7942" t="s">
        <v>17</v>
      </c>
      <c r="K7942" t="str">
        <f>"175301211"</f>
        <v>175301211</v>
      </c>
      <c r="L7942" t="str">
        <f>"175301211"</f>
        <v>175301211</v>
      </c>
      <c r="M7942" t="s">
        <v>75</v>
      </c>
      <c r="N7942" s="1">
        <v>42872.849305555559</v>
      </c>
      <c r="O7942" t="s">
        <v>19</v>
      </c>
    </row>
    <row r="7943" spans="1:15" x14ac:dyDescent="0.25">
      <c r="A7943" t="s">
        <v>5490</v>
      </c>
      <c r="B7943" t="s">
        <v>15</v>
      </c>
      <c r="C7943" t="s">
        <v>25</v>
      </c>
      <c r="D7943" t="s">
        <v>17</v>
      </c>
      <c r="E7943" t="s">
        <v>18</v>
      </c>
      <c r="F7943" t="s">
        <v>19</v>
      </c>
      <c r="G7943" t="s">
        <v>20</v>
      </c>
      <c r="J7943" t="s">
        <v>17</v>
      </c>
      <c r="K7943" t="str">
        <f>"345301129"</f>
        <v>345301129</v>
      </c>
      <c r="L7943" t="str">
        <f>"345301129"</f>
        <v>345301129</v>
      </c>
      <c r="M7943" t="s">
        <v>75</v>
      </c>
      <c r="N7943" s="1">
        <v>42872.849305555559</v>
      </c>
      <c r="O7943" t="s">
        <v>19</v>
      </c>
    </row>
    <row r="7944" spans="1:15" x14ac:dyDescent="0.25">
      <c r="A7944" t="s">
        <v>5490</v>
      </c>
      <c r="B7944" t="s">
        <v>15</v>
      </c>
      <c r="C7944" t="s">
        <v>25</v>
      </c>
      <c r="D7944" t="s">
        <v>17</v>
      </c>
      <c r="E7944" t="s">
        <v>18</v>
      </c>
      <c r="F7944" t="s">
        <v>19</v>
      </c>
      <c r="G7944" t="s">
        <v>20</v>
      </c>
      <c r="J7944" t="s">
        <v>17</v>
      </c>
      <c r="K7944" t="str">
        <f>"175301129"</f>
        <v>175301129</v>
      </c>
      <c r="L7944" t="str">
        <f>"175301129"</f>
        <v>175301129</v>
      </c>
      <c r="M7944" t="s">
        <v>75</v>
      </c>
      <c r="N7944" s="1">
        <v>42872.849305555559</v>
      </c>
      <c r="O7944" t="s">
        <v>19</v>
      </c>
    </row>
    <row r="7945" spans="1:15" x14ac:dyDescent="0.25">
      <c r="A7945" t="s">
        <v>5491</v>
      </c>
      <c r="B7945" t="s">
        <v>15</v>
      </c>
      <c r="C7945" t="s">
        <v>25</v>
      </c>
      <c r="D7945" t="s">
        <v>17</v>
      </c>
      <c r="E7945" t="s">
        <v>18</v>
      </c>
      <c r="F7945" t="s">
        <v>19</v>
      </c>
      <c r="G7945" t="s">
        <v>20</v>
      </c>
      <c r="J7945" t="s">
        <v>17</v>
      </c>
      <c r="K7945" t="str">
        <f>"345301185"</f>
        <v>345301185</v>
      </c>
      <c r="L7945" t="str">
        <f>"345301185"</f>
        <v>345301185</v>
      </c>
      <c r="M7945" t="s">
        <v>75</v>
      </c>
      <c r="N7945" s="1">
        <v>42872.849305555559</v>
      </c>
      <c r="O7945" t="s">
        <v>19</v>
      </c>
    </row>
    <row r="7946" spans="1:15" x14ac:dyDescent="0.25">
      <c r="A7946" t="s">
        <v>5492</v>
      </c>
      <c r="B7946" t="s">
        <v>15</v>
      </c>
      <c r="C7946" t="s">
        <v>25</v>
      </c>
      <c r="D7946" t="s">
        <v>17</v>
      </c>
      <c r="E7946" t="s">
        <v>18</v>
      </c>
      <c r="F7946" t="s">
        <v>19</v>
      </c>
      <c r="G7946" t="s">
        <v>20</v>
      </c>
      <c r="J7946" t="s">
        <v>17</v>
      </c>
      <c r="K7946" t="str">
        <f>"345301209"</f>
        <v>345301209</v>
      </c>
      <c r="L7946" t="str">
        <f>"345301209"</f>
        <v>345301209</v>
      </c>
      <c r="M7946" t="s">
        <v>75</v>
      </c>
      <c r="N7946" s="1">
        <v>42872.849305555559</v>
      </c>
      <c r="O7946" t="s">
        <v>19</v>
      </c>
    </row>
    <row r="7947" spans="1:15" x14ac:dyDescent="0.25">
      <c r="A7947" t="s">
        <v>5492</v>
      </c>
      <c r="B7947" t="s">
        <v>15</v>
      </c>
      <c r="C7947" t="s">
        <v>25</v>
      </c>
      <c r="D7947" t="s">
        <v>17</v>
      </c>
      <c r="E7947" t="s">
        <v>18</v>
      </c>
      <c r="F7947" t="s">
        <v>19</v>
      </c>
      <c r="G7947" t="s">
        <v>20</v>
      </c>
      <c r="J7947" t="s">
        <v>17</v>
      </c>
      <c r="K7947" t="str">
        <f>"765301209"</f>
        <v>765301209</v>
      </c>
      <c r="L7947" t="str">
        <f>"765301209"</f>
        <v>765301209</v>
      </c>
      <c r="M7947" t="s">
        <v>75</v>
      </c>
      <c r="N7947" s="1">
        <v>42872.849305555559</v>
      </c>
      <c r="O7947" t="s">
        <v>19</v>
      </c>
    </row>
    <row r="7948" spans="1:15" x14ac:dyDescent="0.25">
      <c r="A7948" t="s">
        <v>5493</v>
      </c>
      <c r="B7948" t="s">
        <v>15</v>
      </c>
      <c r="C7948" t="s">
        <v>25</v>
      </c>
      <c r="D7948" t="s">
        <v>17</v>
      </c>
      <c r="E7948" t="s">
        <v>18</v>
      </c>
      <c r="F7948" t="s">
        <v>19</v>
      </c>
      <c r="G7948" t="s">
        <v>20</v>
      </c>
      <c r="J7948" t="s">
        <v>17</v>
      </c>
      <c r="K7948" t="str">
        <f>"765301212"</f>
        <v>765301212</v>
      </c>
      <c r="L7948" t="str">
        <f>"765301212"</f>
        <v>765301212</v>
      </c>
      <c r="M7948" t="s">
        <v>75</v>
      </c>
      <c r="N7948" s="1">
        <v>42872.849305555559</v>
      </c>
      <c r="O7948" t="s">
        <v>19</v>
      </c>
    </row>
    <row r="7949" spans="1:15" x14ac:dyDescent="0.25">
      <c r="A7949" t="s">
        <v>5494</v>
      </c>
      <c r="B7949" t="s">
        <v>15</v>
      </c>
      <c r="C7949" t="s">
        <v>25</v>
      </c>
      <c r="D7949" t="s">
        <v>17</v>
      </c>
      <c r="E7949" t="s">
        <v>18</v>
      </c>
      <c r="F7949" t="s">
        <v>19</v>
      </c>
      <c r="G7949" t="s">
        <v>20</v>
      </c>
      <c r="J7949" t="s">
        <v>17</v>
      </c>
      <c r="K7949" t="str">
        <f>"76539107"</f>
        <v>76539107</v>
      </c>
      <c r="L7949" t="str">
        <f>"76539107"</f>
        <v>76539107</v>
      </c>
      <c r="M7949" t="s">
        <v>75</v>
      </c>
      <c r="N7949" s="1">
        <v>42872.847222222219</v>
      </c>
      <c r="O7949" t="s">
        <v>19</v>
      </c>
    </row>
    <row r="7950" spans="1:15" x14ac:dyDescent="0.25">
      <c r="A7950" t="s">
        <v>5495</v>
      </c>
      <c r="B7950" t="s">
        <v>15</v>
      </c>
      <c r="C7950" t="s">
        <v>25</v>
      </c>
      <c r="D7950" t="s">
        <v>17</v>
      </c>
      <c r="E7950" t="s">
        <v>18</v>
      </c>
      <c r="F7950" t="s">
        <v>19</v>
      </c>
      <c r="G7950" t="s">
        <v>20</v>
      </c>
      <c r="J7950" t="s">
        <v>17</v>
      </c>
      <c r="K7950" t="str">
        <f>"34531455"</f>
        <v>34531455</v>
      </c>
      <c r="L7950" t="str">
        <f>"34531455"</f>
        <v>34531455</v>
      </c>
      <c r="M7950" t="s">
        <v>75</v>
      </c>
      <c r="N7950" s="1">
        <v>42872.839583333334</v>
      </c>
      <c r="O7950" t="s">
        <v>19</v>
      </c>
    </row>
    <row r="7951" spans="1:15" x14ac:dyDescent="0.25">
      <c r="A7951" t="s">
        <v>5496</v>
      </c>
      <c r="B7951" t="s">
        <v>15</v>
      </c>
      <c r="C7951" t="s">
        <v>25</v>
      </c>
      <c r="D7951" t="s">
        <v>17</v>
      </c>
      <c r="E7951" t="s">
        <v>18</v>
      </c>
      <c r="F7951" t="s">
        <v>19</v>
      </c>
      <c r="G7951" t="s">
        <v>20</v>
      </c>
      <c r="J7951" t="s">
        <v>17</v>
      </c>
      <c r="K7951" t="str">
        <f>"17531470"</f>
        <v>17531470</v>
      </c>
      <c r="L7951" t="str">
        <f>"17531470"</f>
        <v>17531470</v>
      </c>
      <c r="M7951" t="s">
        <v>75</v>
      </c>
      <c r="N7951" s="1">
        <v>42872.839583333334</v>
      </c>
      <c r="O7951" t="s">
        <v>19</v>
      </c>
    </row>
    <row r="7952" spans="1:15" x14ac:dyDescent="0.25">
      <c r="A7952" t="s">
        <v>5497</v>
      </c>
      <c r="B7952" t="s">
        <v>15</v>
      </c>
      <c r="C7952" t="s">
        <v>25</v>
      </c>
      <c r="D7952" t="s">
        <v>17</v>
      </c>
      <c r="E7952" t="s">
        <v>18</v>
      </c>
      <c r="F7952" t="s">
        <v>19</v>
      </c>
      <c r="G7952" t="s">
        <v>20</v>
      </c>
      <c r="J7952" t="s">
        <v>17</v>
      </c>
      <c r="K7952" t="str">
        <f>"763314158"</f>
        <v>763314158</v>
      </c>
      <c r="L7952" t="str">
        <f>"763314158"</f>
        <v>763314158</v>
      </c>
      <c r="M7952" t="s">
        <v>75</v>
      </c>
      <c r="N7952" s="1">
        <v>42872.849305555559</v>
      </c>
      <c r="O7952" t="s">
        <v>19</v>
      </c>
    </row>
    <row r="7953" spans="1:15" x14ac:dyDescent="0.25">
      <c r="A7953" t="s">
        <v>5498</v>
      </c>
      <c r="B7953" t="s">
        <v>15</v>
      </c>
      <c r="C7953" t="s">
        <v>25</v>
      </c>
      <c r="D7953" t="s">
        <v>17</v>
      </c>
      <c r="E7953" t="s">
        <v>18</v>
      </c>
      <c r="F7953" t="s">
        <v>19</v>
      </c>
      <c r="G7953" t="s">
        <v>20</v>
      </c>
      <c r="J7953" t="s">
        <v>17</v>
      </c>
      <c r="K7953" t="str">
        <f>"343314289"</f>
        <v>343314289</v>
      </c>
      <c r="L7953" t="str">
        <f>"343314289"</f>
        <v>343314289</v>
      </c>
      <c r="M7953" t="s">
        <v>21</v>
      </c>
      <c r="N7953" s="1">
        <v>43993.850694444445</v>
      </c>
      <c r="O7953" t="s">
        <v>19</v>
      </c>
    </row>
    <row r="7954" spans="1:15" x14ac:dyDescent="0.25">
      <c r="A7954" t="s">
        <v>5499</v>
      </c>
      <c r="B7954" t="s">
        <v>15</v>
      </c>
      <c r="C7954" t="s">
        <v>25</v>
      </c>
      <c r="D7954" t="s">
        <v>17</v>
      </c>
      <c r="E7954" t="s">
        <v>18</v>
      </c>
      <c r="F7954" t="s">
        <v>19</v>
      </c>
      <c r="G7954" t="s">
        <v>20</v>
      </c>
      <c r="J7954" t="s">
        <v>17</v>
      </c>
      <c r="K7954" t="str">
        <f>"2019110100089"</f>
        <v>2019110100089</v>
      </c>
      <c r="L7954" t="str">
        <f>"183314279"</f>
        <v>183314279</v>
      </c>
      <c r="M7954" t="s">
        <v>21</v>
      </c>
      <c r="N7954" s="1">
        <v>43649.652777777781</v>
      </c>
      <c r="O7954" t="s">
        <v>19</v>
      </c>
    </row>
    <row r="7955" spans="1:15" x14ac:dyDescent="0.25">
      <c r="A7955" t="s">
        <v>5499</v>
      </c>
      <c r="B7955" t="s">
        <v>15</v>
      </c>
      <c r="C7955" t="s">
        <v>25</v>
      </c>
      <c r="D7955" t="s">
        <v>17</v>
      </c>
      <c r="E7955" t="s">
        <v>18</v>
      </c>
      <c r="F7955" t="s">
        <v>19</v>
      </c>
      <c r="G7955" t="s">
        <v>20</v>
      </c>
      <c r="J7955" t="s">
        <v>17</v>
      </c>
      <c r="K7955" t="str">
        <f>"343314279"</f>
        <v>343314279</v>
      </c>
      <c r="L7955" t="str">
        <f>"343314279"</f>
        <v>343314279</v>
      </c>
      <c r="M7955" t="s">
        <v>21</v>
      </c>
      <c r="N7955" s="1">
        <v>43668.679861111108</v>
      </c>
      <c r="O7955" t="s">
        <v>19</v>
      </c>
    </row>
    <row r="7956" spans="1:15" x14ac:dyDescent="0.25">
      <c r="A7956" t="s">
        <v>5499</v>
      </c>
      <c r="B7956" t="s">
        <v>15</v>
      </c>
      <c r="C7956" t="s">
        <v>25</v>
      </c>
      <c r="D7956" t="s">
        <v>17</v>
      </c>
      <c r="E7956" t="s">
        <v>18</v>
      </c>
      <c r="F7956" t="s">
        <v>19</v>
      </c>
      <c r="G7956" t="s">
        <v>20</v>
      </c>
      <c r="J7956" t="s">
        <v>17</v>
      </c>
      <c r="K7956" t="str">
        <f>"1000001014050"</f>
        <v>1000001014050</v>
      </c>
      <c r="L7956" t="str">
        <f>"763314279"</f>
        <v>763314279</v>
      </c>
      <c r="M7956" t="s">
        <v>21</v>
      </c>
      <c r="N7956" s="1">
        <v>43706.690972222219</v>
      </c>
      <c r="O7956" t="s">
        <v>19</v>
      </c>
    </row>
    <row r="7957" spans="1:15" x14ac:dyDescent="0.25">
      <c r="A7957" t="s">
        <v>5499</v>
      </c>
      <c r="B7957" t="s">
        <v>15</v>
      </c>
      <c r="C7957" t="s">
        <v>25</v>
      </c>
      <c r="D7957" t="s">
        <v>17</v>
      </c>
      <c r="E7957" t="s">
        <v>18</v>
      </c>
      <c r="F7957" t="s">
        <v>19</v>
      </c>
      <c r="G7957" t="s">
        <v>20</v>
      </c>
      <c r="J7957" t="s">
        <v>17</v>
      </c>
      <c r="K7957" t="str">
        <f>"1578151011713"</f>
        <v>1578151011713</v>
      </c>
      <c r="L7957" t="str">
        <f>"61330592"</f>
        <v>61330592</v>
      </c>
      <c r="M7957" t="s">
        <v>21</v>
      </c>
      <c r="N7957" s="1">
        <v>43834.636111111111</v>
      </c>
      <c r="O7957" t="s">
        <v>19</v>
      </c>
    </row>
    <row r="7958" spans="1:15" x14ac:dyDescent="0.25">
      <c r="A7958" t="s">
        <v>5500</v>
      </c>
      <c r="B7958" t="s">
        <v>15</v>
      </c>
      <c r="C7958" t="s">
        <v>25</v>
      </c>
      <c r="D7958" t="s">
        <v>17</v>
      </c>
      <c r="E7958" t="s">
        <v>18</v>
      </c>
      <c r="F7958" t="s">
        <v>19</v>
      </c>
      <c r="G7958" t="s">
        <v>20</v>
      </c>
      <c r="J7958" t="s">
        <v>18</v>
      </c>
      <c r="K7958" t="str">
        <f>"763314261"</f>
        <v>763314261</v>
      </c>
      <c r="L7958" t="str">
        <f>"763314261"</f>
        <v>763314261</v>
      </c>
      <c r="M7958" t="s">
        <v>84</v>
      </c>
      <c r="N7958" s="1">
        <v>43377.908333333333</v>
      </c>
      <c r="O7958" t="s">
        <v>19</v>
      </c>
    </row>
    <row r="7959" spans="1:15" x14ac:dyDescent="0.25">
      <c r="A7959" t="s">
        <v>5500</v>
      </c>
      <c r="B7959" t="s">
        <v>15</v>
      </c>
      <c r="C7959" t="s">
        <v>25</v>
      </c>
      <c r="D7959" t="s">
        <v>17</v>
      </c>
      <c r="E7959" t="s">
        <v>18</v>
      </c>
      <c r="F7959" t="s">
        <v>19</v>
      </c>
      <c r="G7959" t="s">
        <v>20</v>
      </c>
      <c r="J7959" t="s">
        <v>17</v>
      </c>
      <c r="K7959" t="str">
        <f>"323314261"</f>
        <v>323314261</v>
      </c>
      <c r="L7959" t="str">
        <f>"323314261"</f>
        <v>323314261</v>
      </c>
      <c r="M7959" t="s">
        <v>84</v>
      </c>
      <c r="N7959" s="1">
        <v>43502.776388888888</v>
      </c>
      <c r="O7959" t="s">
        <v>19</v>
      </c>
    </row>
    <row r="7960" spans="1:15" x14ac:dyDescent="0.25">
      <c r="A7960" t="s">
        <v>5500</v>
      </c>
      <c r="B7960" t="s">
        <v>15</v>
      </c>
      <c r="C7960" t="s">
        <v>25</v>
      </c>
      <c r="D7960" t="s">
        <v>17</v>
      </c>
      <c r="E7960" t="s">
        <v>18</v>
      </c>
      <c r="F7960" t="s">
        <v>19</v>
      </c>
      <c r="G7960" t="s">
        <v>20</v>
      </c>
      <c r="J7960" t="s">
        <v>17</v>
      </c>
      <c r="K7960" t="str">
        <f>"1802007180018"</f>
        <v>1802007180018</v>
      </c>
      <c r="L7960" t="str">
        <f>"183314284"</f>
        <v>183314284</v>
      </c>
      <c r="M7960" t="s">
        <v>21</v>
      </c>
      <c r="N7960" s="1">
        <v>43649.65</v>
      </c>
      <c r="O7960" t="s">
        <v>19</v>
      </c>
    </row>
    <row r="7961" spans="1:15" x14ac:dyDescent="0.25">
      <c r="A7961" t="s">
        <v>5500</v>
      </c>
      <c r="B7961" t="s">
        <v>15</v>
      </c>
      <c r="C7961" t="s">
        <v>25</v>
      </c>
      <c r="D7961" t="s">
        <v>17</v>
      </c>
      <c r="E7961" t="s">
        <v>18</v>
      </c>
      <c r="F7961" t="s">
        <v>19</v>
      </c>
      <c r="G7961" t="s">
        <v>20</v>
      </c>
      <c r="J7961" t="s">
        <v>17</v>
      </c>
      <c r="K7961" t="str">
        <f>"343314261"</f>
        <v>343314261</v>
      </c>
      <c r="L7961" t="str">
        <f>"343314261"</f>
        <v>343314261</v>
      </c>
      <c r="M7961" t="s">
        <v>21</v>
      </c>
      <c r="N7961" s="1">
        <v>43668.681250000001</v>
      </c>
      <c r="O7961" t="s">
        <v>19</v>
      </c>
    </row>
    <row r="7962" spans="1:15" x14ac:dyDescent="0.25">
      <c r="A7962" t="s">
        <v>5500</v>
      </c>
      <c r="B7962" t="s">
        <v>15</v>
      </c>
      <c r="C7962" t="s">
        <v>25</v>
      </c>
      <c r="D7962" t="s">
        <v>17</v>
      </c>
      <c r="E7962" t="s">
        <v>18</v>
      </c>
      <c r="F7962" t="s">
        <v>19</v>
      </c>
      <c r="G7962" t="s">
        <v>20</v>
      </c>
      <c r="J7962" t="s">
        <v>17</v>
      </c>
      <c r="K7962" t="str">
        <f>"683314284"</f>
        <v>683314284</v>
      </c>
      <c r="L7962" t="str">
        <f>"683314284"</f>
        <v>683314284</v>
      </c>
      <c r="M7962" t="s">
        <v>21</v>
      </c>
      <c r="N7962" s="1">
        <v>43819.711111111108</v>
      </c>
      <c r="O7962" t="s">
        <v>19</v>
      </c>
    </row>
    <row r="7963" spans="1:15" x14ac:dyDescent="0.25">
      <c r="A7963" t="s">
        <v>5500</v>
      </c>
      <c r="B7963" t="s">
        <v>15</v>
      </c>
      <c r="C7963" t="s">
        <v>25</v>
      </c>
      <c r="D7963" t="s">
        <v>17</v>
      </c>
      <c r="E7963" t="s">
        <v>18</v>
      </c>
      <c r="F7963" t="s">
        <v>19</v>
      </c>
      <c r="G7963" t="s">
        <v>20</v>
      </c>
      <c r="J7963" t="s">
        <v>17</v>
      </c>
      <c r="K7963" t="str">
        <f>"763314284"</f>
        <v>763314284</v>
      </c>
      <c r="L7963" t="str">
        <f>"763314284"</f>
        <v>763314284</v>
      </c>
      <c r="M7963" t="s">
        <v>21</v>
      </c>
      <c r="N7963" s="1">
        <v>43862.81527777778</v>
      </c>
      <c r="O7963" t="s">
        <v>19</v>
      </c>
    </row>
    <row r="7964" spans="1:15" x14ac:dyDescent="0.25">
      <c r="A7964" t="s">
        <v>5500</v>
      </c>
      <c r="B7964" t="s">
        <v>15</v>
      </c>
      <c r="C7964" t="s">
        <v>25</v>
      </c>
      <c r="D7964" t="s">
        <v>17</v>
      </c>
      <c r="E7964" t="s">
        <v>18</v>
      </c>
      <c r="F7964" t="s">
        <v>19</v>
      </c>
      <c r="G7964" t="s">
        <v>20</v>
      </c>
      <c r="J7964" t="s">
        <v>17</v>
      </c>
      <c r="K7964" t="str">
        <f>"343314284"</f>
        <v>343314284</v>
      </c>
      <c r="L7964" t="str">
        <f>"343314284"</f>
        <v>343314284</v>
      </c>
      <c r="M7964" t="s">
        <v>21</v>
      </c>
      <c r="N7964" s="1">
        <v>43993.865277777775</v>
      </c>
      <c r="O7964" t="s">
        <v>19</v>
      </c>
    </row>
    <row r="7965" spans="1:15" x14ac:dyDescent="0.25">
      <c r="A7965" t="s">
        <v>5501</v>
      </c>
      <c r="B7965" t="s">
        <v>15</v>
      </c>
      <c r="C7965" t="s">
        <v>25</v>
      </c>
      <c r="D7965" t="s">
        <v>17</v>
      </c>
      <c r="E7965" t="s">
        <v>18</v>
      </c>
      <c r="F7965" t="s">
        <v>19</v>
      </c>
      <c r="G7965" t="s">
        <v>20</v>
      </c>
      <c r="J7965" t="s">
        <v>17</v>
      </c>
      <c r="K7965" t="str">
        <f>"2020030300053"</f>
        <v>2020030300053</v>
      </c>
      <c r="L7965" t="str">
        <f>"183314287"</f>
        <v>183314287</v>
      </c>
      <c r="M7965" t="s">
        <v>21</v>
      </c>
      <c r="N7965" s="1">
        <v>42882.759722222225</v>
      </c>
      <c r="O7965" t="s">
        <v>19</v>
      </c>
    </row>
    <row r="7966" spans="1:15" x14ac:dyDescent="0.25">
      <c r="A7966" t="s">
        <v>5501</v>
      </c>
      <c r="B7966" t="s">
        <v>15</v>
      </c>
      <c r="C7966" t="s">
        <v>25</v>
      </c>
      <c r="D7966" t="s">
        <v>17</v>
      </c>
      <c r="E7966" t="s">
        <v>18</v>
      </c>
      <c r="F7966" t="s">
        <v>19</v>
      </c>
      <c r="G7966" t="s">
        <v>20</v>
      </c>
      <c r="J7966" t="s">
        <v>17</v>
      </c>
      <c r="K7966" t="str">
        <f>"345314193"</f>
        <v>345314193</v>
      </c>
      <c r="L7966" t="str">
        <f>"345314193"</f>
        <v>345314193</v>
      </c>
      <c r="M7966" t="s">
        <v>21</v>
      </c>
      <c r="N7966" s="1">
        <v>42872.849305555559</v>
      </c>
      <c r="O7966" t="s">
        <v>33</v>
      </c>
    </row>
    <row r="7967" spans="1:15" x14ac:dyDescent="0.25">
      <c r="A7967" t="s">
        <v>5502</v>
      </c>
      <c r="B7967" t="s">
        <v>15</v>
      </c>
      <c r="C7967" t="s">
        <v>25</v>
      </c>
      <c r="D7967" t="s">
        <v>17</v>
      </c>
      <c r="E7967" t="s">
        <v>18</v>
      </c>
      <c r="F7967" t="s">
        <v>19</v>
      </c>
      <c r="G7967" t="s">
        <v>20</v>
      </c>
      <c r="J7967" t="s">
        <v>17</v>
      </c>
      <c r="K7967" t="str">
        <f>"2019120100086"</f>
        <v>2019120100086</v>
      </c>
      <c r="L7967" t="str">
        <f>"183314281"</f>
        <v>183314281</v>
      </c>
      <c r="M7967" t="s">
        <v>21</v>
      </c>
      <c r="N7967" s="1">
        <v>43866.745138888888</v>
      </c>
      <c r="O7967" t="s">
        <v>19</v>
      </c>
    </row>
    <row r="7968" spans="1:15" x14ac:dyDescent="0.25">
      <c r="A7968" t="s">
        <v>5503</v>
      </c>
      <c r="B7968" t="s">
        <v>15</v>
      </c>
      <c r="C7968" t="s">
        <v>25</v>
      </c>
      <c r="D7968" t="s">
        <v>17</v>
      </c>
      <c r="E7968" t="s">
        <v>18</v>
      </c>
      <c r="F7968" t="s">
        <v>19</v>
      </c>
      <c r="G7968" t="s">
        <v>20</v>
      </c>
      <c r="J7968" t="s">
        <v>17</v>
      </c>
      <c r="K7968" t="str">
        <f>"683314285"</f>
        <v>683314285</v>
      </c>
      <c r="L7968" t="str">
        <f>"683314285"</f>
        <v>683314285</v>
      </c>
      <c r="M7968" t="s">
        <v>21</v>
      </c>
      <c r="N7968" s="1">
        <v>43819.711805555555</v>
      </c>
      <c r="O7968" t="s">
        <v>19</v>
      </c>
    </row>
    <row r="7969" spans="1:15" x14ac:dyDescent="0.25">
      <c r="A7969" t="s">
        <v>5503</v>
      </c>
      <c r="B7969" t="s">
        <v>15</v>
      </c>
      <c r="C7969" t="s">
        <v>25</v>
      </c>
      <c r="D7969" t="s">
        <v>17</v>
      </c>
      <c r="E7969" t="s">
        <v>18</v>
      </c>
      <c r="F7969" t="s">
        <v>19</v>
      </c>
      <c r="G7969" t="s">
        <v>20</v>
      </c>
      <c r="J7969" t="s">
        <v>17</v>
      </c>
      <c r="K7969" t="str">
        <f>"1578150875053"</f>
        <v>1578150875053</v>
      </c>
      <c r="L7969" t="str">
        <f>"61330589"</f>
        <v>61330589</v>
      </c>
      <c r="M7969" t="s">
        <v>21</v>
      </c>
      <c r="N7969" s="1">
        <v>43834.634722222225</v>
      </c>
      <c r="O7969" t="s">
        <v>19</v>
      </c>
    </row>
    <row r="7970" spans="1:15" x14ac:dyDescent="0.25">
      <c r="A7970" t="s">
        <v>5503</v>
      </c>
      <c r="B7970" t="s">
        <v>15</v>
      </c>
      <c r="C7970" t="s">
        <v>25</v>
      </c>
      <c r="D7970" t="s">
        <v>17</v>
      </c>
      <c r="E7970" t="s">
        <v>18</v>
      </c>
      <c r="F7970" t="s">
        <v>19</v>
      </c>
      <c r="G7970" t="s">
        <v>20</v>
      </c>
      <c r="J7970" t="s">
        <v>17</v>
      </c>
      <c r="K7970" t="str">
        <f>"763314285"</f>
        <v>763314285</v>
      </c>
      <c r="L7970" t="str">
        <f>"763314285"</f>
        <v>763314285</v>
      </c>
      <c r="M7970" t="s">
        <v>21</v>
      </c>
      <c r="N7970" s="1">
        <v>43862.82708333333</v>
      </c>
      <c r="O7970" t="s">
        <v>19</v>
      </c>
    </row>
    <row r="7971" spans="1:15" x14ac:dyDescent="0.25">
      <c r="A7971" t="s">
        <v>5504</v>
      </c>
      <c r="B7971" t="s">
        <v>15</v>
      </c>
      <c r="C7971" t="s">
        <v>25</v>
      </c>
      <c r="D7971" t="s">
        <v>17</v>
      </c>
      <c r="E7971" t="s">
        <v>18</v>
      </c>
      <c r="F7971" t="s">
        <v>19</v>
      </c>
      <c r="G7971" t="s">
        <v>20</v>
      </c>
      <c r="J7971" t="s">
        <v>17</v>
      </c>
      <c r="K7971" t="str">
        <f>"34531441"</f>
        <v>34531441</v>
      </c>
      <c r="L7971" t="str">
        <f>"34531441"</f>
        <v>34531441</v>
      </c>
      <c r="M7971" t="s">
        <v>75</v>
      </c>
      <c r="N7971" s="1">
        <v>42872.839583333334</v>
      </c>
      <c r="O7971" t="s">
        <v>19</v>
      </c>
    </row>
    <row r="7972" spans="1:15" x14ac:dyDescent="0.25">
      <c r="A7972" t="s">
        <v>5504</v>
      </c>
      <c r="B7972" t="s">
        <v>15</v>
      </c>
      <c r="C7972" t="s">
        <v>25</v>
      </c>
      <c r="D7972" t="s">
        <v>17</v>
      </c>
      <c r="E7972" t="s">
        <v>18</v>
      </c>
      <c r="F7972" t="s">
        <v>19</v>
      </c>
      <c r="G7972" t="s">
        <v>20</v>
      </c>
      <c r="J7972" t="s">
        <v>17</v>
      </c>
      <c r="K7972" t="str">
        <f>"1000001000084"</f>
        <v>1000001000084</v>
      </c>
      <c r="L7972" t="str">
        <f>"76331441"</f>
        <v>76331441</v>
      </c>
      <c r="M7972" t="s">
        <v>84</v>
      </c>
      <c r="N7972" s="1">
        <v>42872.847222222219</v>
      </c>
      <c r="O7972" t="s">
        <v>19</v>
      </c>
    </row>
    <row r="7973" spans="1:15" x14ac:dyDescent="0.25">
      <c r="A7973" t="s">
        <v>5504</v>
      </c>
      <c r="B7973" t="s">
        <v>15</v>
      </c>
      <c r="C7973" t="s">
        <v>25</v>
      </c>
      <c r="D7973" t="s">
        <v>17</v>
      </c>
      <c r="E7973" t="s">
        <v>18</v>
      </c>
      <c r="F7973" t="s">
        <v>19</v>
      </c>
      <c r="G7973" t="s">
        <v>20</v>
      </c>
      <c r="J7973" t="s">
        <v>17</v>
      </c>
      <c r="K7973" t="str">
        <f>"76531441"</f>
        <v>76531441</v>
      </c>
      <c r="L7973" t="str">
        <f>"76531441"</f>
        <v>76531441</v>
      </c>
      <c r="M7973" t="s">
        <v>75</v>
      </c>
      <c r="N7973" s="1">
        <v>42872.847222222219</v>
      </c>
      <c r="O7973" t="s">
        <v>19</v>
      </c>
    </row>
    <row r="7974" spans="1:15" x14ac:dyDescent="0.25">
      <c r="A7974" t="s">
        <v>5505</v>
      </c>
      <c r="B7974" t="s">
        <v>15</v>
      </c>
      <c r="C7974" t="s">
        <v>25</v>
      </c>
      <c r="D7974" t="s">
        <v>17</v>
      </c>
      <c r="E7974" t="s">
        <v>18</v>
      </c>
      <c r="F7974" t="s">
        <v>19</v>
      </c>
      <c r="G7974" t="s">
        <v>20</v>
      </c>
      <c r="J7974" t="s">
        <v>17</v>
      </c>
      <c r="K7974" t="str">
        <f>"345314197"</f>
        <v>345314197</v>
      </c>
      <c r="L7974" t="str">
        <f>"345314197"</f>
        <v>345314197</v>
      </c>
      <c r="M7974" t="s">
        <v>75</v>
      </c>
      <c r="N7974" s="1">
        <v>42872.849305555559</v>
      </c>
      <c r="O7974" t="s">
        <v>19</v>
      </c>
    </row>
    <row r="7975" spans="1:15" x14ac:dyDescent="0.25">
      <c r="A7975" t="s">
        <v>5505</v>
      </c>
      <c r="B7975" t="s">
        <v>15</v>
      </c>
      <c r="C7975" t="s">
        <v>25</v>
      </c>
      <c r="D7975" t="s">
        <v>17</v>
      </c>
      <c r="E7975" t="s">
        <v>18</v>
      </c>
      <c r="F7975" t="s">
        <v>19</v>
      </c>
      <c r="G7975" t="s">
        <v>20</v>
      </c>
      <c r="J7975" t="s">
        <v>17</v>
      </c>
      <c r="K7975" t="str">
        <f>"1000001002224"</f>
        <v>1000001002224</v>
      </c>
      <c r="L7975" t="str">
        <f>"763314197"</f>
        <v>763314197</v>
      </c>
      <c r="M7975" t="s">
        <v>84</v>
      </c>
      <c r="N7975" s="1">
        <v>42872.849305555559</v>
      </c>
      <c r="O7975" t="s">
        <v>19</v>
      </c>
    </row>
    <row r="7976" spans="1:15" x14ac:dyDescent="0.25">
      <c r="A7976" t="s">
        <v>5505</v>
      </c>
      <c r="B7976" t="s">
        <v>15</v>
      </c>
      <c r="C7976" t="s">
        <v>25</v>
      </c>
      <c r="D7976" t="s">
        <v>17</v>
      </c>
      <c r="E7976" t="s">
        <v>18</v>
      </c>
      <c r="F7976" t="s">
        <v>19</v>
      </c>
      <c r="G7976" t="s">
        <v>20</v>
      </c>
      <c r="J7976" t="s">
        <v>17</v>
      </c>
      <c r="K7976" t="str">
        <f>"765314197"</f>
        <v>765314197</v>
      </c>
      <c r="L7976" t="str">
        <f>"765314197"</f>
        <v>765314197</v>
      </c>
      <c r="M7976" t="s">
        <v>75</v>
      </c>
      <c r="N7976" s="1">
        <v>42872.849305555559</v>
      </c>
      <c r="O7976" t="s">
        <v>19</v>
      </c>
    </row>
    <row r="7977" spans="1:15" x14ac:dyDescent="0.25">
      <c r="A7977" t="s">
        <v>5506</v>
      </c>
      <c r="B7977" t="s">
        <v>15</v>
      </c>
      <c r="C7977" t="s">
        <v>25</v>
      </c>
      <c r="D7977" t="s">
        <v>17</v>
      </c>
      <c r="E7977" t="s">
        <v>18</v>
      </c>
      <c r="F7977" t="s">
        <v>19</v>
      </c>
      <c r="G7977" t="s">
        <v>20</v>
      </c>
      <c r="J7977" t="s">
        <v>17</v>
      </c>
      <c r="K7977" t="str">
        <f>"763314292"</f>
        <v>763314292</v>
      </c>
      <c r="L7977" t="str">
        <f>"763314292"</f>
        <v>763314292</v>
      </c>
      <c r="M7977" t="s">
        <v>75</v>
      </c>
      <c r="N7977" s="1">
        <v>42872.849305555559</v>
      </c>
      <c r="O7977" t="s">
        <v>19</v>
      </c>
    </row>
    <row r="7978" spans="1:15" x14ac:dyDescent="0.25">
      <c r="A7978" t="s">
        <v>5507</v>
      </c>
      <c r="B7978" t="s">
        <v>15</v>
      </c>
      <c r="C7978" t="s">
        <v>25</v>
      </c>
      <c r="D7978" t="s">
        <v>17</v>
      </c>
      <c r="E7978" t="s">
        <v>18</v>
      </c>
      <c r="F7978" t="s">
        <v>19</v>
      </c>
      <c r="G7978" t="s">
        <v>20</v>
      </c>
      <c r="J7978" t="s">
        <v>17</v>
      </c>
      <c r="K7978" t="str">
        <f>"2019029900596"</f>
        <v>2019029900596</v>
      </c>
      <c r="L7978" t="str">
        <f>"183314274"</f>
        <v>183314274</v>
      </c>
      <c r="M7978" t="s">
        <v>21</v>
      </c>
      <c r="N7978" s="1">
        <v>43649.652083333334</v>
      </c>
      <c r="O7978" t="s">
        <v>19</v>
      </c>
    </row>
    <row r="7979" spans="1:15" x14ac:dyDescent="0.25">
      <c r="A7979" t="s">
        <v>5507</v>
      </c>
      <c r="B7979" t="s">
        <v>15</v>
      </c>
      <c r="C7979" t="s">
        <v>25</v>
      </c>
      <c r="D7979" t="s">
        <v>17</v>
      </c>
      <c r="E7979" t="s">
        <v>18</v>
      </c>
      <c r="F7979" t="s">
        <v>19</v>
      </c>
      <c r="G7979" t="s">
        <v>20</v>
      </c>
      <c r="J7979" t="s">
        <v>17</v>
      </c>
      <c r="K7979" t="str">
        <f>"343314274"</f>
        <v>343314274</v>
      </c>
      <c r="L7979" t="str">
        <f>"343314274"</f>
        <v>343314274</v>
      </c>
      <c r="M7979" t="s">
        <v>21</v>
      </c>
      <c r="N7979" s="1">
        <v>43668.681944444441</v>
      </c>
      <c r="O7979" t="s">
        <v>19</v>
      </c>
    </row>
    <row r="7980" spans="1:15" x14ac:dyDescent="0.25">
      <c r="A7980" t="s">
        <v>5507</v>
      </c>
      <c r="B7980" t="s">
        <v>15</v>
      </c>
      <c r="C7980" t="s">
        <v>25</v>
      </c>
      <c r="D7980" t="s">
        <v>17</v>
      </c>
      <c r="E7980" t="s">
        <v>18</v>
      </c>
      <c r="F7980" t="s">
        <v>19</v>
      </c>
      <c r="G7980" t="s">
        <v>20</v>
      </c>
      <c r="J7980" t="s">
        <v>17</v>
      </c>
      <c r="K7980" t="str">
        <f>"1000001004853"</f>
        <v>1000001004853</v>
      </c>
      <c r="L7980" t="str">
        <f>"763314274"</f>
        <v>763314274</v>
      </c>
      <c r="M7980" t="s">
        <v>21</v>
      </c>
      <c r="N7980" s="1">
        <v>43706.692361111112</v>
      </c>
      <c r="O7980" t="s">
        <v>19</v>
      </c>
    </row>
    <row r="7981" spans="1:15" x14ac:dyDescent="0.25">
      <c r="A7981" t="s">
        <v>5507</v>
      </c>
      <c r="B7981" t="s">
        <v>15</v>
      </c>
      <c r="C7981" t="s">
        <v>25</v>
      </c>
      <c r="D7981" t="s">
        <v>17</v>
      </c>
      <c r="E7981" t="s">
        <v>18</v>
      </c>
      <c r="F7981" t="s">
        <v>19</v>
      </c>
      <c r="G7981" t="s">
        <v>20</v>
      </c>
      <c r="J7981" t="s">
        <v>17</v>
      </c>
      <c r="K7981" t="str">
        <f>"1578150982429"</f>
        <v>1578150982429</v>
      </c>
      <c r="L7981" t="str">
        <f>"61330591"</f>
        <v>61330591</v>
      </c>
      <c r="M7981" t="s">
        <v>21</v>
      </c>
      <c r="N7981" s="1">
        <v>43834.636111111111</v>
      </c>
      <c r="O7981" t="s">
        <v>19</v>
      </c>
    </row>
    <row r="7982" spans="1:15" x14ac:dyDescent="0.25">
      <c r="A7982" t="s">
        <v>5508</v>
      </c>
      <c r="B7982" t="s">
        <v>15</v>
      </c>
      <c r="C7982" t="s">
        <v>25</v>
      </c>
      <c r="D7982" t="s">
        <v>17</v>
      </c>
      <c r="E7982" t="s">
        <v>18</v>
      </c>
      <c r="F7982" t="s">
        <v>19</v>
      </c>
      <c r="G7982" t="s">
        <v>20</v>
      </c>
      <c r="J7982" t="s">
        <v>17</v>
      </c>
      <c r="K7982" t="str">
        <f>"1578150922150"</f>
        <v>1578150922150</v>
      </c>
      <c r="L7982" t="str">
        <f>"61330590"</f>
        <v>61330590</v>
      </c>
      <c r="M7982" t="s">
        <v>21</v>
      </c>
      <c r="N7982" s="1">
        <v>43834.635416666664</v>
      </c>
      <c r="O7982" t="s">
        <v>19</v>
      </c>
    </row>
    <row r="7983" spans="1:15" x14ac:dyDescent="0.25">
      <c r="A7983" t="s">
        <v>5509</v>
      </c>
      <c r="B7983" t="s">
        <v>15</v>
      </c>
      <c r="C7983" t="s">
        <v>25</v>
      </c>
      <c r="D7983" t="s">
        <v>17</v>
      </c>
      <c r="E7983" t="s">
        <v>18</v>
      </c>
      <c r="F7983" t="s">
        <v>19</v>
      </c>
      <c r="G7983" t="s">
        <v>20</v>
      </c>
      <c r="J7983" t="s">
        <v>17</v>
      </c>
      <c r="K7983" t="str">
        <f>"343314286"</f>
        <v>343314286</v>
      </c>
      <c r="L7983" t="str">
        <f>"343314286"</f>
        <v>343314286</v>
      </c>
      <c r="M7983" t="s">
        <v>21</v>
      </c>
      <c r="N7983" s="1">
        <v>43993.863888888889</v>
      </c>
      <c r="O7983" t="s">
        <v>19</v>
      </c>
    </row>
    <row r="7984" spans="1:15" x14ac:dyDescent="0.25">
      <c r="A7984" t="s">
        <v>5510</v>
      </c>
      <c r="B7984" t="s">
        <v>15</v>
      </c>
      <c r="C7984" t="s">
        <v>25</v>
      </c>
      <c r="D7984" t="s">
        <v>17</v>
      </c>
      <c r="E7984" t="s">
        <v>18</v>
      </c>
      <c r="F7984" t="s">
        <v>19</v>
      </c>
      <c r="G7984" t="s">
        <v>20</v>
      </c>
      <c r="J7984" t="s">
        <v>17</v>
      </c>
      <c r="K7984" t="str">
        <f>"2019047700307"</f>
        <v>2019047700307</v>
      </c>
      <c r="L7984" t="str">
        <f>"183314278"</f>
        <v>183314278</v>
      </c>
      <c r="M7984" t="s">
        <v>21</v>
      </c>
      <c r="N7984" s="1">
        <v>43603.706250000003</v>
      </c>
      <c r="O7984" t="s">
        <v>19</v>
      </c>
    </row>
    <row r="7985" spans="1:15" x14ac:dyDescent="0.25">
      <c r="A7985" t="s">
        <v>5511</v>
      </c>
      <c r="B7985" t="s">
        <v>15</v>
      </c>
      <c r="C7985" t="s">
        <v>25</v>
      </c>
      <c r="D7985" t="s">
        <v>17</v>
      </c>
      <c r="E7985" t="s">
        <v>18</v>
      </c>
      <c r="F7985" t="s">
        <v>19</v>
      </c>
      <c r="G7985" t="s">
        <v>20</v>
      </c>
      <c r="J7985" t="s">
        <v>17</v>
      </c>
      <c r="K7985" t="str">
        <f>"34531401"</f>
        <v>34531401</v>
      </c>
      <c r="L7985" t="str">
        <f>"34531401"</f>
        <v>34531401</v>
      </c>
      <c r="M7985" t="s">
        <v>75</v>
      </c>
      <c r="N7985" s="1">
        <v>42872.839583333334</v>
      </c>
      <c r="O7985" t="s">
        <v>19</v>
      </c>
    </row>
    <row r="7986" spans="1:15" x14ac:dyDescent="0.25">
      <c r="A7986" t="s">
        <v>5511</v>
      </c>
      <c r="B7986" t="s">
        <v>15</v>
      </c>
      <c r="C7986" t="s">
        <v>25</v>
      </c>
      <c r="D7986" t="s">
        <v>17</v>
      </c>
      <c r="E7986" t="s">
        <v>18</v>
      </c>
      <c r="F7986" t="s">
        <v>19</v>
      </c>
      <c r="G7986" t="s">
        <v>20</v>
      </c>
      <c r="J7986" t="s">
        <v>17</v>
      </c>
      <c r="K7986" t="str">
        <f>"76331401"</f>
        <v>76331401</v>
      </c>
      <c r="L7986" t="str">
        <f>"76331401"</f>
        <v>76331401</v>
      </c>
      <c r="M7986" t="s">
        <v>75</v>
      </c>
      <c r="N7986" s="1">
        <v>42872.847222222219</v>
      </c>
      <c r="O7986" t="s">
        <v>19</v>
      </c>
    </row>
    <row r="7987" spans="1:15" x14ac:dyDescent="0.25">
      <c r="A7987" t="s">
        <v>5511</v>
      </c>
      <c r="B7987" t="s">
        <v>15</v>
      </c>
      <c r="C7987" t="s">
        <v>25</v>
      </c>
      <c r="D7987" t="s">
        <v>17</v>
      </c>
      <c r="E7987" t="s">
        <v>18</v>
      </c>
      <c r="F7987" t="s">
        <v>19</v>
      </c>
      <c r="G7987" t="s">
        <v>20</v>
      </c>
      <c r="J7987" t="s">
        <v>17</v>
      </c>
      <c r="K7987" t="str">
        <f>"34331401"</f>
        <v>34331401</v>
      </c>
      <c r="L7987" t="str">
        <f>"34331401"</f>
        <v>34331401</v>
      </c>
      <c r="M7987" t="s">
        <v>75</v>
      </c>
      <c r="N7987" s="1">
        <v>42872.847222222219</v>
      </c>
      <c r="O7987" t="s">
        <v>19</v>
      </c>
    </row>
    <row r="7988" spans="1:15" x14ac:dyDescent="0.25">
      <c r="A7988" t="s">
        <v>5511</v>
      </c>
      <c r="B7988" t="s">
        <v>15</v>
      </c>
      <c r="C7988" t="s">
        <v>25</v>
      </c>
      <c r="D7988" t="s">
        <v>17</v>
      </c>
      <c r="E7988" t="s">
        <v>18</v>
      </c>
      <c r="F7988" t="s">
        <v>19</v>
      </c>
      <c r="G7988" t="s">
        <v>20</v>
      </c>
      <c r="J7988" t="s">
        <v>17</v>
      </c>
      <c r="K7988" t="str">
        <f>"1000001000091"</f>
        <v>1000001000091</v>
      </c>
      <c r="L7988" t="str">
        <f>"765314293"</f>
        <v>765314293</v>
      </c>
      <c r="M7988" t="s">
        <v>84</v>
      </c>
      <c r="N7988" s="1">
        <v>43307.664583333331</v>
      </c>
      <c r="O7988" t="s">
        <v>19</v>
      </c>
    </row>
    <row r="7989" spans="1:15" x14ac:dyDescent="0.25">
      <c r="A7989" t="s">
        <v>5512</v>
      </c>
      <c r="B7989" t="s">
        <v>15</v>
      </c>
      <c r="C7989" t="s">
        <v>25</v>
      </c>
      <c r="D7989" t="s">
        <v>17</v>
      </c>
      <c r="E7989" t="s">
        <v>18</v>
      </c>
      <c r="F7989" t="s">
        <v>19</v>
      </c>
      <c r="G7989" t="s">
        <v>20</v>
      </c>
      <c r="J7989" t="s">
        <v>17</v>
      </c>
      <c r="K7989" t="str">
        <f>"345314179"</f>
        <v>345314179</v>
      </c>
      <c r="L7989" t="str">
        <f>"345314179"</f>
        <v>345314179</v>
      </c>
      <c r="M7989" t="s">
        <v>75</v>
      </c>
      <c r="N7989" s="1">
        <v>42872.849305555559</v>
      </c>
      <c r="O7989" t="s">
        <v>19</v>
      </c>
    </row>
    <row r="7990" spans="1:15" x14ac:dyDescent="0.25">
      <c r="A7990" t="s">
        <v>5512</v>
      </c>
      <c r="B7990" t="s">
        <v>15</v>
      </c>
      <c r="C7990" t="s">
        <v>25</v>
      </c>
      <c r="D7990" t="s">
        <v>17</v>
      </c>
      <c r="E7990" t="s">
        <v>18</v>
      </c>
      <c r="F7990" t="s">
        <v>19</v>
      </c>
      <c r="G7990" t="s">
        <v>20</v>
      </c>
      <c r="J7990" t="s">
        <v>17</v>
      </c>
      <c r="K7990" t="str">
        <f>"765314179"</f>
        <v>765314179</v>
      </c>
      <c r="L7990" t="str">
        <f>"765314179"</f>
        <v>765314179</v>
      </c>
      <c r="M7990" t="s">
        <v>75</v>
      </c>
      <c r="N7990" s="1">
        <v>42872.849305555559</v>
      </c>
      <c r="O7990" t="s">
        <v>19</v>
      </c>
    </row>
    <row r="7991" spans="1:15" x14ac:dyDescent="0.25">
      <c r="A7991" t="s">
        <v>5513</v>
      </c>
      <c r="B7991" t="s">
        <v>15</v>
      </c>
      <c r="C7991" t="s">
        <v>25</v>
      </c>
      <c r="D7991" t="s">
        <v>17</v>
      </c>
      <c r="E7991" t="s">
        <v>18</v>
      </c>
      <c r="F7991" t="s">
        <v>19</v>
      </c>
      <c r="G7991" t="s">
        <v>20</v>
      </c>
      <c r="J7991" t="s">
        <v>17</v>
      </c>
      <c r="K7991" t="str">
        <f>"1000001001012"</f>
        <v>1000001001012</v>
      </c>
      <c r="L7991" t="str">
        <f>"763314293"</f>
        <v>763314293</v>
      </c>
      <c r="M7991" t="s">
        <v>84</v>
      </c>
      <c r="N7991" s="1">
        <v>42872.849305555559</v>
      </c>
      <c r="O7991" t="s">
        <v>19</v>
      </c>
    </row>
    <row r="7992" spans="1:15" x14ac:dyDescent="0.25">
      <c r="A7992" t="s">
        <v>5514</v>
      </c>
      <c r="B7992" t="s">
        <v>15</v>
      </c>
      <c r="C7992" t="s">
        <v>25</v>
      </c>
      <c r="D7992" t="s">
        <v>17</v>
      </c>
      <c r="E7992" t="s">
        <v>18</v>
      </c>
      <c r="F7992" t="s">
        <v>19</v>
      </c>
      <c r="G7992" t="s">
        <v>20</v>
      </c>
      <c r="J7992" t="s">
        <v>17</v>
      </c>
      <c r="K7992" t="str">
        <f>"2019029900602"</f>
        <v>2019029900602</v>
      </c>
      <c r="L7992" t="str">
        <f>"183314275"</f>
        <v>183314275</v>
      </c>
      <c r="M7992" t="s">
        <v>21</v>
      </c>
      <c r="N7992" s="1">
        <v>43649.650694444441</v>
      </c>
      <c r="O7992" t="s">
        <v>19</v>
      </c>
    </row>
    <row r="7993" spans="1:15" x14ac:dyDescent="0.25">
      <c r="A7993" t="s">
        <v>5515</v>
      </c>
      <c r="B7993" t="s">
        <v>15</v>
      </c>
      <c r="C7993" t="s">
        <v>25</v>
      </c>
      <c r="D7993" t="s">
        <v>17</v>
      </c>
      <c r="E7993" t="s">
        <v>18</v>
      </c>
      <c r="F7993" t="s">
        <v>19</v>
      </c>
      <c r="G7993" t="s">
        <v>20</v>
      </c>
      <c r="J7993" t="s">
        <v>17</v>
      </c>
      <c r="K7993" t="str">
        <f>"2019120100284"</f>
        <v>2019120100284</v>
      </c>
      <c r="L7993" t="str">
        <f>"183314288"</f>
        <v>183314288</v>
      </c>
      <c r="M7993" t="s">
        <v>21</v>
      </c>
      <c r="N7993" s="1">
        <v>43866.749305555553</v>
      </c>
      <c r="O7993" t="s">
        <v>19</v>
      </c>
    </row>
    <row r="7994" spans="1:15" x14ac:dyDescent="0.25">
      <c r="A7994" t="s">
        <v>5515</v>
      </c>
      <c r="B7994" t="s">
        <v>15</v>
      </c>
      <c r="C7994" t="s">
        <v>25</v>
      </c>
      <c r="D7994" t="s">
        <v>17</v>
      </c>
      <c r="E7994" t="s">
        <v>18</v>
      </c>
      <c r="F7994" t="s">
        <v>19</v>
      </c>
      <c r="G7994" t="s">
        <v>20</v>
      </c>
      <c r="J7994" t="s">
        <v>17</v>
      </c>
      <c r="K7994" t="str">
        <f>"343314288"</f>
        <v>343314288</v>
      </c>
      <c r="L7994" t="str">
        <f>"343314288"</f>
        <v>343314288</v>
      </c>
      <c r="M7994" t="s">
        <v>21</v>
      </c>
      <c r="N7994" s="1">
        <v>43993.850694444445</v>
      </c>
      <c r="O7994" t="s">
        <v>19</v>
      </c>
    </row>
    <row r="7995" spans="1:15" x14ac:dyDescent="0.25">
      <c r="A7995" t="s">
        <v>5516</v>
      </c>
      <c r="B7995" t="s">
        <v>15</v>
      </c>
      <c r="C7995" t="s">
        <v>25</v>
      </c>
      <c r="D7995" t="s">
        <v>17</v>
      </c>
      <c r="E7995" t="s">
        <v>18</v>
      </c>
      <c r="F7995" t="s">
        <v>19</v>
      </c>
      <c r="G7995" t="s">
        <v>20</v>
      </c>
      <c r="J7995" t="s">
        <v>17</v>
      </c>
      <c r="K7995" t="str">
        <f>"323314259"</f>
        <v>323314259</v>
      </c>
      <c r="L7995" t="str">
        <f>"323314259"</f>
        <v>323314259</v>
      </c>
      <c r="M7995" t="s">
        <v>84</v>
      </c>
      <c r="N7995" s="1">
        <v>42872.847222222219</v>
      </c>
      <c r="O7995" t="s">
        <v>19</v>
      </c>
    </row>
    <row r="7996" spans="1:15" x14ac:dyDescent="0.25">
      <c r="A7996" t="s">
        <v>5517</v>
      </c>
      <c r="B7996" t="s">
        <v>15</v>
      </c>
      <c r="C7996" t="s">
        <v>25</v>
      </c>
      <c r="D7996" t="s">
        <v>17</v>
      </c>
      <c r="E7996" t="s">
        <v>18</v>
      </c>
      <c r="F7996" t="s">
        <v>19</v>
      </c>
      <c r="G7996" t="s">
        <v>20</v>
      </c>
      <c r="J7996" t="s">
        <v>17</v>
      </c>
      <c r="K7996" t="str">
        <f>"76531442"</f>
        <v>76531442</v>
      </c>
      <c r="L7996" t="str">
        <f>"76531442"</f>
        <v>76531442</v>
      </c>
      <c r="M7996" t="s">
        <v>75</v>
      </c>
      <c r="N7996" s="1">
        <v>42872.847222222219</v>
      </c>
      <c r="O7996" t="s">
        <v>19</v>
      </c>
    </row>
    <row r="7997" spans="1:15" x14ac:dyDescent="0.25">
      <c r="A7997" t="s">
        <v>5517</v>
      </c>
      <c r="B7997" t="s">
        <v>15</v>
      </c>
      <c r="C7997" t="s">
        <v>25</v>
      </c>
      <c r="D7997" t="s">
        <v>17</v>
      </c>
      <c r="E7997" t="s">
        <v>18</v>
      </c>
      <c r="F7997" t="s">
        <v>19</v>
      </c>
      <c r="G7997" t="s">
        <v>20</v>
      </c>
      <c r="J7997" t="s">
        <v>17</v>
      </c>
      <c r="K7997" t="str">
        <f>"343314109"</f>
        <v>343314109</v>
      </c>
      <c r="L7997" t="str">
        <f>"343314109"</f>
        <v>343314109</v>
      </c>
      <c r="M7997" t="s">
        <v>75</v>
      </c>
      <c r="N7997" s="1">
        <v>42872.849305555559</v>
      </c>
      <c r="O7997" t="s">
        <v>19</v>
      </c>
    </row>
    <row r="7998" spans="1:15" x14ac:dyDescent="0.25">
      <c r="A7998" t="s">
        <v>5517</v>
      </c>
      <c r="B7998" t="s">
        <v>15</v>
      </c>
      <c r="C7998" t="s">
        <v>25</v>
      </c>
      <c r="D7998" t="s">
        <v>17</v>
      </c>
      <c r="E7998" t="s">
        <v>18</v>
      </c>
      <c r="F7998" t="s">
        <v>19</v>
      </c>
      <c r="G7998" t="s">
        <v>20</v>
      </c>
      <c r="J7998" t="s">
        <v>17</v>
      </c>
      <c r="K7998" t="str">
        <f>"765314109"</f>
        <v>765314109</v>
      </c>
      <c r="L7998" t="str">
        <f>"765314109"</f>
        <v>765314109</v>
      </c>
      <c r="M7998" t="s">
        <v>75</v>
      </c>
      <c r="N7998" s="1">
        <v>42872.849305555559</v>
      </c>
      <c r="O7998" t="s">
        <v>19</v>
      </c>
    </row>
    <row r="7999" spans="1:15" x14ac:dyDescent="0.25">
      <c r="A7999" t="s">
        <v>5518</v>
      </c>
      <c r="B7999" t="s">
        <v>15</v>
      </c>
      <c r="C7999" t="s">
        <v>25</v>
      </c>
      <c r="D7999" t="s">
        <v>17</v>
      </c>
      <c r="E7999" t="s">
        <v>18</v>
      </c>
      <c r="F7999" t="s">
        <v>19</v>
      </c>
      <c r="G7999" t="s">
        <v>20</v>
      </c>
      <c r="J7999" t="s">
        <v>17</v>
      </c>
      <c r="K7999" t="str">
        <f>"765314294"</f>
        <v>765314294</v>
      </c>
      <c r="L7999" t="str">
        <f>"765314294"</f>
        <v>765314294</v>
      </c>
      <c r="M7999" t="s">
        <v>84</v>
      </c>
      <c r="N7999" s="1">
        <v>43307.665277777778</v>
      </c>
      <c r="O7999" t="s">
        <v>19</v>
      </c>
    </row>
    <row r="8000" spans="1:15" x14ac:dyDescent="0.25">
      <c r="A8000" t="s">
        <v>5519</v>
      </c>
      <c r="B8000" t="s">
        <v>15</v>
      </c>
      <c r="C8000" t="s">
        <v>25</v>
      </c>
      <c r="D8000" t="s">
        <v>17</v>
      </c>
      <c r="E8000" t="s">
        <v>18</v>
      </c>
      <c r="F8000" t="s">
        <v>19</v>
      </c>
      <c r="G8000" t="s">
        <v>20</v>
      </c>
      <c r="J8000" t="s">
        <v>17</v>
      </c>
      <c r="K8000" t="str">
        <f>"343314177"</f>
        <v>343314177</v>
      </c>
      <c r="L8000" t="str">
        <f>"343314177"</f>
        <v>343314177</v>
      </c>
      <c r="M8000" t="s">
        <v>75</v>
      </c>
      <c r="N8000" s="1">
        <v>42872.849305555559</v>
      </c>
      <c r="O8000" t="s">
        <v>19</v>
      </c>
    </row>
    <row r="8001" spans="1:15" x14ac:dyDescent="0.25">
      <c r="A8001" t="s">
        <v>5519</v>
      </c>
      <c r="B8001" t="s">
        <v>15</v>
      </c>
      <c r="C8001" t="s">
        <v>25</v>
      </c>
      <c r="D8001" t="s">
        <v>17</v>
      </c>
      <c r="E8001" t="s">
        <v>18</v>
      </c>
      <c r="F8001" t="s">
        <v>19</v>
      </c>
      <c r="G8001" t="s">
        <v>20</v>
      </c>
      <c r="J8001" t="s">
        <v>17</v>
      </c>
      <c r="K8001" t="str">
        <f>"763314177"</f>
        <v>763314177</v>
      </c>
      <c r="L8001" t="str">
        <f>"763314177"</f>
        <v>763314177</v>
      </c>
      <c r="M8001" t="s">
        <v>75</v>
      </c>
      <c r="N8001" s="1">
        <v>42872.849305555559</v>
      </c>
      <c r="O8001" t="s">
        <v>19</v>
      </c>
    </row>
    <row r="8002" spans="1:15" x14ac:dyDescent="0.25">
      <c r="A8002" t="s">
        <v>5519</v>
      </c>
      <c r="B8002" t="s">
        <v>15</v>
      </c>
      <c r="C8002" t="s">
        <v>25</v>
      </c>
      <c r="D8002" t="s">
        <v>17</v>
      </c>
      <c r="E8002" t="s">
        <v>18</v>
      </c>
      <c r="F8002" t="s">
        <v>19</v>
      </c>
      <c r="G8002" t="s">
        <v>20</v>
      </c>
      <c r="J8002" t="s">
        <v>17</v>
      </c>
      <c r="K8002" t="str">
        <f>"1000001002248"</f>
        <v>1000001002248</v>
      </c>
      <c r="L8002" t="str">
        <f>"765314177"</f>
        <v>765314177</v>
      </c>
      <c r="M8002" t="s">
        <v>84</v>
      </c>
      <c r="N8002" s="1">
        <v>42872.849305555559</v>
      </c>
      <c r="O8002" t="s">
        <v>19</v>
      </c>
    </row>
    <row r="8003" spans="1:15" x14ac:dyDescent="0.25">
      <c r="A8003" t="s">
        <v>5520</v>
      </c>
      <c r="B8003" t="s">
        <v>15</v>
      </c>
      <c r="C8003" t="s">
        <v>25</v>
      </c>
      <c r="D8003" t="s">
        <v>17</v>
      </c>
      <c r="E8003" t="s">
        <v>18</v>
      </c>
      <c r="F8003" t="s">
        <v>19</v>
      </c>
      <c r="G8003" t="s">
        <v>20</v>
      </c>
      <c r="J8003" t="s">
        <v>17</v>
      </c>
      <c r="K8003" t="str">
        <f>"1000001000107"</f>
        <v>1000001000107</v>
      </c>
      <c r="L8003" t="str">
        <f>"763314294"</f>
        <v>763314294</v>
      </c>
      <c r="M8003" t="s">
        <v>84</v>
      </c>
      <c r="N8003" s="1">
        <v>42872.849305555559</v>
      </c>
      <c r="O8003" t="s">
        <v>19</v>
      </c>
    </row>
    <row r="8004" spans="1:15" x14ac:dyDescent="0.25">
      <c r="A8004" t="s">
        <v>5521</v>
      </c>
      <c r="B8004" t="s">
        <v>15</v>
      </c>
      <c r="C8004" t="s">
        <v>25</v>
      </c>
      <c r="D8004" t="s">
        <v>17</v>
      </c>
      <c r="E8004" t="s">
        <v>18</v>
      </c>
      <c r="F8004" t="s">
        <v>19</v>
      </c>
      <c r="G8004" t="s">
        <v>20</v>
      </c>
      <c r="J8004" t="s">
        <v>17</v>
      </c>
      <c r="K8004" t="str">
        <f>"2019120100093"</f>
        <v>2019120100093</v>
      </c>
      <c r="L8004" t="str">
        <f>"183314277"</f>
        <v>183314277</v>
      </c>
      <c r="M8004" t="s">
        <v>21</v>
      </c>
      <c r="N8004" s="1">
        <v>43603.706250000003</v>
      </c>
      <c r="O8004" t="s">
        <v>19</v>
      </c>
    </row>
    <row r="8005" spans="1:15" x14ac:dyDescent="0.25">
      <c r="A8005" t="s">
        <v>5521</v>
      </c>
      <c r="B8005" t="s">
        <v>15</v>
      </c>
      <c r="C8005" t="s">
        <v>25</v>
      </c>
      <c r="D8005" t="s">
        <v>17</v>
      </c>
      <c r="E8005" t="s">
        <v>18</v>
      </c>
      <c r="F8005" t="s">
        <v>19</v>
      </c>
      <c r="G8005" t="s">
        <v>20</v>
      </c>
      <c r="J8005" t="s">
        <v>17</v>
      </c>
      <c r="K8005" t="str">
        <f>"683314277"</f>
        <v>683314277</v>
      </c>
      <c r="L8005" t="str">
        <f>"683314277"</f>
        <v>683314277</v>
      </c>
      <c r="M8005" t="s">
        <v>21</v>
      </c>
      <c r="N8005" s="1">
        <v>43721.593055555553</v>
      </c>
      <c r="O8005" t="s">
        <v>19</v>
      </c>
    </row>
    <row r="8006" spans="1:15" x14ac:dyDescent="0.25">
      <c r="A8006" t="s">
        <v>5521</v>
      </c>
      <c r="B8006" t="s">
        <v>15</v>
      </c>
      <c r="C8006" t="s">
        <v>25</v>
      </c>
      <c r="D8006" t="s">
        <v>17</v>
      </c>
      <c r="E8006" t="s">
        <v>18</v>
      </c>
      <c r="F8006" t="s">
        <v>19</v>
      </c>
      <c r="G8006" t="s">
        <v>20</v>
      </c>
      <c r="J8006" t="s">
        <v>17</v>
      </c>
      <c r="K8006" t="str">
        <f>"343314277"</f>
        <v>343314277</v>
      </c>
      <c r="L8006" t="str">
        <f>"343314277"</f>
        <v>343314277</v>
      </c>
      <c r="M8006" t="s">
        <v>21</v>
      </c>
      <c r="N8006" s="1">
        <v>43993.865972222222</v>
      </c>
      <c r="O8006" t="s">
        <v>19</v>
      </c>
    </row>
    <row r="8007" spans="1:15" x14ac:dyDescent="0.25">
      <c r="A8007" t="s">
        <v>5522</v>
      </c>
      <c r="B8007" t="s">
        <v>15</v>
      </c>
      <c r="C8007" t="s">
        <v>25</v>
      </c>
      <c r="D8007" t="s">
        <v>17</v>
      </c>
      <c r="E8007" t="s">
        <v>18</v>
      </c>
      <c r="F8007" t="s">
        <v>19</v>
      </c>
      <c r="G8007" t="s">
        <v>20</v>
      </c>
      <c r="J8007" t="s">
        <v>17</v>
      </c>
      <c r="K8007" t="str">
        <f>"343314290"</f>
        <v>343314290</v>
      </c>
      <c r="L8007" t="str">
        <f>"343314290"</f>
        <v>343314290</v>
      </c>
      <c r="M8007" t="s">
        <v>21</v>
      </c>
      <c r="N8007" s="1">
        <v>43993.864583333336</v>
      </c>
      <c r="O8007" t="s">
        <v>19</v>
      </c>
    </row>
    <row r="8008" spans="1:15" x14ac:dyDescent="0.25">
      <c r="A8008" t="s">
        <v>5523</v>
      </c>
      <c r="B8008" t="s">
        <v>15</v>
      </c>
      <c r="C8008" t="s">
        <v>25</v>
      </c>
      <c r="D8008" t="s">
        <v>17</v>
      </c>
      <c r="E8008" t="s">
        <v>18</v>
      </c>
      <c r="F8008" t="s">
        <v>19</v>
      </c>
      <c r="G8008" t="s">
        <v>20</v>
      </c>
      <c r="J8008" t="s">
        <v>17</v>
      </c>
      <c r="K8008" t="str">
        <f>"1000001003566"</f>
        <v>1000001003566</v>
      </c>
      <c r="L8008" t="str">
        <f>"765314138"</f>
        <v>765314138</v>
      </c>
      <c r="M8008" t="s">
        <v>84</v>
      </c>
      <c r="N8008" s="1">
        <v>43218.65347222222</v>
      </c>
      <c r="O8008" t="s">
        <v>19</v>
      </c>
    </row>
    <row r="8009" spans="1:15" x14ac:dyDescent="0.25">
      <c r="A8009" t="s">
        <v>5523</v>
      </c>
      <c r="B8009" t="s">
        <v>15</v>
      </c>
      <c r="C8009" t="s">
        <v>25</v>
      </c>
      <c r="D8009" t="s">
        <v>17</v>
      </c>
      <c r="E8009" t="s">
        <v>18</v>
      </c>
      <c r="F8009" t="s">
        <v>19</v>
      </c>
      <c r="G8009" t="s">
        <v>20</v>
      </c>
      <c r="J8009" t="s">
        <v>17</v>
      </c>
      <c r="K8009" t="str">
        <f>"343314168"</f>
        <v>343314168</v>
      </c>
      <c r="L8009" t="str">
        <f>"343314168"</f>
        <v>343314168</v>
      </c>
      <c r="M8009" t="s">
        <v>84</v>
      </c>
      <c r="N8009" s="1">
        <v>43396.95208333333</v>
      </c>
      <c r="O8009" t="s">
        <v>19</v>
      </c>
    </row>
    <row r="8010" spans="1:15" x14ac:dyDescent="0.25">
      <c r="A8010" t="s">
        <v>5524</v>
      </c>
      <c r="B8010" t="s">
        <v>15</v>
      </c>
      <c r="C8010" t="s">
        <v>25</v>
      </c>
      <c r="D8010" t="s">
        <v>17</v>
      </c>
      <c r="E8010" t="s">
        <v>18</v>
      </c>
      <c r="F8010" t="s">
        <v>19</v>
      </c>
      <c r="G8010" t="s">
        <v>20</v>
      </c>
      <c r="J8010" t="s">
        <v>17</v>
      </c>
      <c r="K8010" t="str">
        <f>"1000001003580"</f>
        <v>1000001003580</v>
      </c>
      <c r="L8010" t="str">
        <f>"763314138"</f>
        <v>763314138</v>
      </c>
      <c r="M8010" t="s">
        <v>84</v>
      </c>
      <c r="N8010" s="1">
        <v>43195.877083333333</v>
      </c>
      <c r="O8010" t="s">
        <v>19</v>
      </c>
    </row>
    <row r="8011" spans="1:15" x14ac:dyDescent="0.25">
      <c r="A8011" t="s">
        <v>5524</v>
      </c>
      <c r="B8011" t="s">
        <v>15</v>
      </c>
      <c r="C8011" t="s">
        <v>25</v>
      </c>
      <c r="D8011" t="s">
        <v>17</v>
      </c>
      <c r="E8011" t="s">
        <v>18</v>
      </c>
      <c r="F8011" t="s">
        <v>19</v>
      </c>
      <c r="G8011" t="s">
        <v>20</v>
      </c>
      <c r="J8011" t="s">
        <v>17</v>
      </c>
      <c r="K8011" t="str">
        <f>"323314139"</f>
        <v>323314139</v>
      </c>
      <c r="L8011" t="str">
        <f>"323314139"</f>
        <v>323314139</v>
      </c>
      <c r="M8011" t="s">
        <v>84</v>
      </c>
      <c r="N8011" s="1">
        <v>43502.777083333334</v>
      </c>
      <c r="O8011" t="s">
        <v>19</v>
      </c>
    </row>
    <row r="8012" spans="1:15" x14ac:dyDescent="0.25">
      <c r="A8012" t="s">
        <v>5525</v>
      </c>
      <c r="B8012" t="s">
        <v>15</v>
      </c>
      <c r="C8012" t="s">
        <v>25</v>
      </c>
      <c r="D8012" t="s">
        <v>17</v>
      </c>
      <c r="E8012" t="s">
        <v>18</v>
      </c>
      <c r="F8012" t="s">
        <v>19</v>
      </c>
      <c r="G8012" t="s">
        <v>20</v>
      </c>
      <c r="J8012" t="s">
        <v>17</v>
      </c>
      <c r="K8012" t="str">
        <f>"1000001014043"</f>
        <v>1000001014043</v>
      </c>
      <c r="L8012" t="str">
        <f>"763314282"</f>
        <v>763314282</v>
      </c>
      <c r="M8012" t="s">
        <v>21</v>
      </c>
      <c r="N8012" s="1">
        <v>43743.668055555558</v>
      </c>
      <c r="O8012" t="s">
        <v>19</v>
      </c>
    </row>
    <row r="8013" spans="1:15" x14ac:dyDescent="0.25">
      <c r="A8013" t="s">
        <v>5525</v>
      </c>
      <c r="B8013" t="s">
        <v>15</v>
      </c>
      <c r="C8013" t="s">
        <v>25</v>
      </c>
      <c r="D8013" t="s">
        <v>17</v>
      </c>
      <c r="E8013" t="s">
        <v>18</v>
      </c>
      <c r="F8013" t="s">
        <v>19</v>
      </c>
      <c r="G8013" t="s">
        <v>20</v>
      </c>
      <c r="J8013" t="s">
        <v>17</v>
      </c>
      <c r="K8013" t="str">
        <f>"1578150836556"</f>
        <v>1578150836556</v>
      </c>
      <c r="L8013" t="str">
        <f>"61330588"</f>
        <v>61330588</v>
      </c>
      <c r="M8013" t="s">
        <v>21</v>
      </c>
      <c r="N8013" s="1">
        <v>43834.634027777778</v>
      </c>
      <c r="O8013" t="s">
        <v>19</v>
      </c>
    </row>
    <row r="8014" spans="1:15" x14ac:dyDescent="0.25">
      <c r="A8014" t="s">
        <v>5526</v>
      </c>
      <c r="B8014" t="s">
        <v>15</v>
      </c>
      <c r="C8014" t="s">
        <v>25</v>
      </c>
      <c r="D8014" t="s">
        <v>17</v>
      </c>
      <c r="E8014" t="s">
        <v>18</v>
      </c>
      <c r="F8014" t="s">
        <v>19</v>
      </c>
      <c r="G8014" t="s">
        <v>20</v>
      </c>
      <c r="J8014" t="s">
        <v>17</v>
      </c>
      <c r="K8014" t="str">
        <f>"413314210"</f>
        <v>413314210</v>
      </c>
      <c r="L8014" t="str">
        <f>"413314210"</f>
        <v>413314210</v>
      </c>
      <c r="M8014" t="s">
        <v>75</v>
      </c>
      <c r="N8014" s="1">
        <v>42895.740972222222</v>
      </c>
      <c r="O8014" t="s">
        <v>19</v>
      </c>
    </row>
    <row r="8015" spans="1:15" x14ac:dyDescent="0.25">
      <c r="A8015" t="s">
        <v>5526</v>
      </c>
      <c r="B8015" t="s">
        <v>15</v>
      </c>
      <c r="C8015" t="s">
        <v>25</v>
      </c>
      <c r="D8015" t="s">
        <v>17</v>
      </c>
      <c r="E8015" t="s">
        <v>18</v>
      </c>
      <c r="F8015" t="s">
        <v>19</v>
      </c>
      <c r="G8015" t="s">
        <v>20</v>
      </c>
      <c r="J8015" t="s">
        <v>17</v>
      </c>
      <c r="K8015" t="str">
        <f>"763314210"</f>
        <v>763314210</v>
      </c>
      <c r="L8015" t="str">
        <f>"763314210"</f>
        <v>763314210</v>
      </c>
      <c r="M8015" t="s">
        <v>84</v>
      </c>
      <c r="N8015" s="1">
        <v>43476.945833333331</v>
      </c>
      <c r="O8015" t="s">
        <v>19</v>
      </c>
    </row>
    <row r="8016" spans="1:15" x14ac:dyDescent="0.25">
      <c r="A8016" t="s">
        <v>5526</v>
      </c>
      <c r="B8016" t="s">
        <v>15</v>
      </c>
      <c r="C8016" t="s">
        <v>25</v>
      </c>
      <c r="D8016" t="s">
        <v>17</v>
      </c>
      <c r="E8016" t="s">
        <v>18</v>
      </c>
      <c r="F8016" t="s">
        <v>19</v>
      </c>
      <c r="G8016" t="s">
        <v>20</v>
      </c>
      <c r="J8016" t="s">
        <v>17</v>
      </c>
      <c r="K8016" t="str">
        <f>"763314276"</f>
        <v>763314276</v>
      </c>
      <c r="L8016" t="str">
        <f>"763314276"</f>
        <v>763314276</v>
      </c>
      <c r="M8016" t="s">
        <v>84</v>
      </c>
      <c r="N8016" s="1">
        <v>43570.640972222223</v>
      </c>
      <c r="O8016" t="s">
        <v>19</v>
      </c>
    </row>
    <row r="8017" spans="1:15" x14ac:dyDescent="0.25">
      <c r="A8017" t="s">
        <v>5527</v>
      </c>
      <c r="B8017" t="s">
        <v>15</v>
      </c>
      <c r="C8017" t="s">
        <v>25</v>
      </c>
      <c r="D8017" t="s">
        <v>17</v>
      </c>
      <c r="E8017" t="s">
        <v>18</v>
      </c>
      <c r="F8017" t="s">
        <v>19</v>
      </c>
      <c r="G8017" t="s">
        <v>20</v>
      </c>
      <c r="J8017" t="s">
        <v>17</v>
      </c>
      <c r="K8017" t="str">
        <f>"17531413"</f>
        <v>17531413</v>
      </c>
      <c r="L8017" t="str">
        <f>"17531413"</f>
        <v>17531413</v>
      </c>
      <c r="M8017" t="s">
        <v>75</v>
      </c>
      <c r="N8017" s="1">
        <v>42872.839583333334</v>
      </c>
      <c r="O8017" t="s">
        <v>19</v>
      </c>
    </row>
    <row r="8018" spans="1:15" x14ac:dyDescent="0.25">
      <c r="A8018" t="s">
        <v>5527</v>
      </c>
      <c r="B8018" t="s">
        <v>15</v>
      </c>
      <c r="C8018" t="s">
        <v>25</v>
      </c>
      <c r="D8018" t="s">
        <v>17</v>
      </c>
      <c r="E8018" t="s">
        <v>18</v>
      </c>
      <c r="F8018" t="s">
        <v>19</v>
      </c>
      <c r="G8018" t="s">
        <v>20</v>
      </c>
      <c r="J8018" t="s">
        <v>17</v>
      </c>
      <c r="K8018" t="str">
        <f>"34531413"</f>
        <v>34531413</v>
      </c>
      <c r="L8018" t="str">
        <f>"34531413"</f>
        <v>34531413</v>
      </c>
      <c r="M8018" t="s">
        <v>75</v>
      </c>
      <c r="N8018" s="1">
        <v>42872.839583333334</v>
      </c>
      <c r="O8018" t="s">
        <v>19</v>
      </c>
    </row>
    <row r="8019" spans="1:15" x14ac:dyDescent="0.25">
      <c r="A8019" t="s">
        <v>5528</v>
      </c>
      <c r="B8019" t="s">
        <v>15</v>
      </c>
      <c r="C8019" t="s">
        <v>25</v>
      </c>
      <c r="D8019" t="s">
        <v>17</v>
      </c>
      <c r="E8019" t="s">
        <v>18</v>
      </c>
      <c r="F8019" t="s">
        <v>19</v>
      </c>
      <c r="G8019" t="s">
        <v>20</v>
      </c>
      <c r="J8019" t="s">
        <v>17</v>
      </c>
      <c r="K8019" t="str">
        <f>"76331413"</f>
        <v>76331413</v>
      </c>
      <c r="L8019" t="str">
        <f>"76331413"</f>
        <v>76331413</v>
      </c>
      <c r="M8019" t="s">
        <v>75</v>
      </c>
      <c r="N8019" s="1">
        <v>42872.847222222219</v>
      </c>
      <c r="O8019" t="s">
        <v>19</v>
      </c>
    </row>
    <row r="8020" spans="1:15" x14ac:dyDescent="0.25">
      <c r="A8020" t="s">
        <v>5528</v>
      </c>
      <c r="B8020" t="s">
        <v>15</v>
      </c>
      <c r="C8020" t="s">
        <v>25</v>
      </c>
      <c r="D8020" t="s">
        <v>17</v>
      </c>
      <c r="E8020" t="s">
        <v>18</v>
      </c>
      <c r="F8020" t="s">
        <v>19</v>
      </c>
      <c r="G8020" t="s">
        <v>20</v>
      </c>
      <c r="J8020" t="s">
        <v>17</v>
      </c>
      <c r="K8020" t="str">
        <f>"76531453"</f>
        <v>76531453</v>
      </c>
      <c r="L8020" t="str">
        <f>"76531453"</f>
        <v>76531453</v>
      </c>
      <c r="M8020" t="s">
        <v>75</v>
      </c>
      <c r="N8020" s="1">
        <v>42872.847222222219</v>
      </c>
      <c r="O8020" t="s">
        <v>19</v>
      </c>
    </row>
    <row r="8021" spans="1:15" x14ac:dyDescent="0.25">
      <c r="A8021" t="s">
        <v>5529</v>
      </c>
      <c r="B8021" t="s">
        <v>15</v>
      </c>
      <c r="C8021" t="s">
        <v>25</v>
      </c>
      <c r="D8021" t="s">
        <v>17</v>
      </c>
      <c r="E8021" t="s">
        <v>18</v>
      </c>
      <c r="F8021" t="s">
        <v>19</v>
      </c>
      <c r="G8021" t="s">
        <v>20</v>
      </c>
      <c r="J8021" t="s">
        <v>17</v>
      </c>
      <c r="K8021" t="str">
        <f>"76531413"</f>
        <v>76531413</v>
      </c>
      <c r="L8021" t="str">
        <f>"76531413"</f>
        <v>76531413</v>
      </c>
      <c r="M8021" t="s">
        <v>75</v>
      </c>
      <c r="N8021" s="1">
        <v>42872.847222222219</v>
      </c>
      <c r="O8021" t="s">
        <v>19</v>
      </c>
    </row>
    <row r="8022" spans="1:15" x14ac:dyDescent="0.25">
      <c r="A8022" t="s">
        <v>5530</v>
      </c>
      <c r="B8022" t="s">
        <v>15</v>
      </c>
      <c r="C8022" t="s">
        <v>25</v>
      </c>
      <c r="D8022" t="s">
        <v>17</v>
      </c>
      <c r="E8022" t="s">
        <v>18</v>
      </c>
      <c r="F8022" t="s">
        <v>19</v>
      </c>
      <c r="G8022" t="s">
        <v>20</v>
      </c>
      <c r="J8022" t="s">
        <v>17</v>
      </c>
      <c r="K8022" t="str">
        <f>"76331425"</f>
        <v>76331425</v>
      </c>
      <c r="L8022" t="str">
        <f>"76331425"</f>
        <v>76331425</v>
      </c>
      <c r="M8022" t="s">
        <v>75</v>
      </c>
      <c r="N8022" s="1">
        <v>42872.847222222219</v>
      </c>
      <c r="O8022" t="s">
        <v>19</v>
      </c>
    </row>
    <row r="8023" spans="1:15" x14ac:dyDescent="0.25">
      <c r="A8023" t="s">
        <v>5530</v>
      </c>
      <c r="B8023" t="s">
        <v>15</v>
      </c>
      <c r="C8023" t="s">
        <v>25</v>
      </c>
      <c r="D8023" t="s">
        <v>17</v>
      </c>
      <c r="E8023" t="s">
        <v>18</v>
      </c>
      <c r="F8023" t="s">
        <v>19</v>
      </c>
      <c r="G8023" t="s">
        <v>20</v>
      </c>
      <c r="J8023" t="s">
        <v>17</v>
      </c>
      <c r="K8023" t="str">
        <f>"76531455"</f>
        <v>76531455</v>
      </c>
      <c r="L8023" t="str">
        <f>"76531455"</f>
        <v>76531455</v>
      </c>
      <c r="M8023" t="s">
        <v>75</v>
      </c>
      <c r="N8023" s="1">
        <v>42872.847222222219</v>
      </c>
      <c r="O8023" t="s">
        <v>19</v>
      </c>
    </row>
    <row r="8024" spans="1:15" x14ac:dyDescent="0.25">
      <c r="A8024" t="s">
        <v>5531</v>
      </c>
      <c r="B8024" t="s">
        <v>15</v>
      </c>
      <c r="C8024" t="s">
        <v>25</v>
      </c>
      <c r="D8024" t="s">
        <v>17</v>
      </c>
      <c r="E8024" t="s">
        <v>18</v>
      </c>
      <c r="F8024" t="s">
        <v>19</v>
      </c>
      <c r="G8024" t="s">
        <v>20</v>
      </c>
      <c r="J8024" t="s">
        <v>17</v>
      </c>
      <c r="K8024" t="str">
        <f>"34531425"</f>
        <v>34531425</v>
      </c>
      <c r="L8024" t="str">
        <f>"34531425"</f>
        <v>34531425</v>
      </c>
      <c r="M8024" t="s">
        <v>75</v>
      </c>
      <c r="N8024" s="1">
        <v>42872.839583333334</v>
      </c>
      <c r="O8024" t="s">
        <v>19</v>
      </c>
    </row>
    <row r="8025" spans="1:15" x14ac:dyDescent="0.25">
      <c r="A8025" t="s">
        <v>5532</v>
      </c>
      <c r="B8025" t="s">
        <v>15</v>
      </c>
      <c r="C8025" t="s">
        <v>25</v>
      </c>
      <c r="D8025" t="s">
        <v>17</v>
      </c>
      <c r="E8025" t="s">
        <v>18</v>
      </c>
      <c r="F8025" t="s">
        <v>19</v>
      </c>
      <c r="G8025" t="s">
        <v>20</v>
      </c>
      <c r="J8025" t="s">
        <v>17</v>
      </c>
      <c r="K8025" t="str">
        <f>"32331431"</f>
        <v>32331431</v>
      </c>
      <c r="L8025" t="str">
        <f>"32331431"</f>
        <v>32331431</v>
      </c>
      <c r="M8025" t="s">
        <v>75</v>
      </c>
      <c r="N8025" s="1">
        <v>42872.839583333334</v>
      </c>
      <c r="O8025" t="s">
        <v>19</v>
      </c>
    </row>
    <row r="8026" spans="1:15" x14ac:dyDescent="0.25">
      <c r="A8026" t="s">
        <v>5533</v>
      </c>
      <c r="B8026" t="s">
        <v>15</v>
      </c>
      <c r="C8026" t="s">
        <v>25</v>
      </c>
      <c r="D8026" t="s">
        <v>17</v>
      </c>
      <c r="E8026" t="s">
        <v>18</v>
      </c>
      <c r="F8026" t="s">
        <v>19</v>
      </c>
      <c r="G8026" t="s">
        <v>20</v>
      </c>
      <c r="J8026" t="s">
        <v>17</v>
      </c>
      <c r="K8026" t="str">
        <f>"34531431"</f>
        <v>34531431</v>
      </c>
      <c r="L8026" t="str">
        <f>"34531431"</f>
        <v>34531431</v>
      </c>
      <c r="M8026" t="s">
        <v>75</v>
      </c>
      <c r="N8026" s="1">
        <v>42872.839583333334</v>
      </c>
      <c r="O8026" t="s">
        <v>19</v>
      </c>
    </row>
    <row r="8027" spans="1:15" x14ac:dyDescent="0.25">
      <c r="A8027" t="s">
        <v>5533</v>
      </c>
      <c r="B8027" t="s">
        <v>15</v>
      </c>
      <c r="C8027" t="s">
        <v>25</v>
      </c>
      <c r="D8027" t="s">
        <v>17</v>
      </c>
      <c r="E8027" t="s">
        <v>18</v>
      </c>
      <c r="F8027" t="s">
        <v>19</v>
      </c>
      <c r="G8027" t="s">
        <v>20</v>
      </c>
      <c r="J8027" t="s">
        <v>17</v>
      </c>
      <c r="K8027" t="str">
        <f>"76531431"</f>
        <v>76531431</v>
      </c>
      <c r="L8027" t="str">
        <f>"76531431"</f>
        <v>76531431</v>
      </c>
      <c r="M8027" t="s">
        <v>75</v>
      </c>
      <c r="N8027" s="1">
        <v>42872.847222222219</v>
      </c>
      <c r="O8027" t="s">
        <v>19</v>
      </c>
    </row>
    <row r="8028" spans="1:15" x14ac:dyDescent="0.25">
      <c r="A8028" t="s">
        <v>5534</v>
      </c>
      <c r="B8028" t="s">
        <v>15</v>
      </c>
      <c r="C8028" t="s">
        <v>25</v>
      </c>
      <c r="D8028" t="s">
        <v>17</v>
      </c>
      <c r="E8028" t="s">
        <v>18</v>
      </c>
      <c r="F8028" t="s">
        <v>19</v>
      </c>
      <c r="G8028" t="s">
        <v>20</v>
      </c>
      <c r="J8028" t="s">
        <v>17</v>
      </c>
      <c r="K8028" t="str">
        <f>"345314225"</f>
        <v>345314225</v>
      </c>
      <c r="L8028" t="str">
        <f>"345314225"</f>
        <v>345314225</v>
      </c>
      <c r="M8028" t="s">
        <v>75</v>
      </c>
      <c r="N8028" s="1">
        <v>42872.849305555559</v>
      </c>
      <c r="O8028" t="s">
        <v>19</v>
      </c>
    </row>
    <row r="8029" spans="1:15" x14ac:dyDescent="0.25">
      <c r="A8029" t="s">
        <v>5534</v>
      </c>
      <c r="B8029" t="s">
        <v>15</v>
      </c>
      <c r="C8029" t="s">
        <v>25</v>
      </c>
      <c r="D8029" t="s">
        <v>17</v>
      </c>
      <c r="E8029" t="s">
        <v>18</v>
      </c>
      <c r="F8029" t="s">
        <v>19</v>
      </c>
      <c r="G8029" t="s">
        <v>20</v>
      </c>
      <c r="J8029" t="s">
        <v>17</v>
      </c>
      <c r="K8029" t="str">
        <f>"765314225"</f>
        <v>765314225</v>
      </c>
      <c r="L8029" t="str">
        <f>"765314225"</f>
        <v>765314225</v>
      </c>
      <c r="M8029" t="s">
        <v>75</v>
      </c>
      <c r="N8029" s="1">
        <v>42872.849305555559</v>
      </c>
      <c r="O8029" t="s">
        <v>19</v>
      </c>
    </row>
    <row r="8030" spans="1:15" x14ac:dyDescent="0.25">
      <c r="A8030" t="s">
        <v>5535</v>
      </c>
      <c r="B8030" t="s">
        <v>15</v>
      </c>
      <c r="C8030" t="s">
        <v>25</v>
      </c>
      <c r="D8030" t="s">
        <v>17</v>
      </c>
      <c r="E8030" t="s">
        <v>18</v>
      </c>
      <c r="F8030" t="s">
        <v>19</v>
      </c>
      <c r="G8030" t="s">
        <v>20</v>
      </c>
      <c r="J8030" t="s">
        <v>17</v>
      </c>
      <c r="K8030" t="str">
        <f>"76531428"</f>
        <v>76531428</v>
      </c>
      <c r="L8030" t="str">
        <f>"76531428"</f>
        <v>76531428</v>
      </c>
      <c r="M8030" t="s">
        <v>75</v>
      </c>
      <c r="N8030" s="1">
        <v>42872.847222222219</v>
      </c>
      <c r="O8030" t="s">
        <v>19</v>
      </c>
    </row>
    <row r="8031" spans="1:15" x14ac:dyDescent="0.25">
      <c r="A8031" t="s">
        <v>5535</v>
      </c>
      <c r="B8031" t="s">
        <v>15</v>
      </c>
      <c r="C8031" t="s">
        <v>25</v>
      </c>
      <c r="D8031" t="s">
        <v>17</v>
      </c>
      <c r="E8031" t="s">
        <v>18</v>
      </c>
      <c r="F8031" t="s">
        <v>19</v>
      </c>
      <c r="G8031" t="s">
        <v>20</v>
      </c>
      <c r="J8031" t="s">
        <v>17</v>
      </c>
      <c r="K8031" t="str">
        <f>"76531460"</f>
        <v>76531460</v>
      </c>
      <c r="L8031" t="str">
        <f>"76531460"</f>
        <v>76531460</v>
      </c>
      <c r="M8031" t="s">
        <v>75</v>
      </c>
      <c r="N8031" s="1">
        <v>42872.847222222219</v>
      </c>
      <c r="O8031" t="s">
        <v>19</v>
      </c>
    </row>
    <row r="8032" spans="1:15" x14ac:dyDescent="0.25">
      <c r="A8032" t="s">
        <v>5536</v>
      </c>
      <c r="B8032" t="s">
        <v>15</v>
      </c>
      <c r="C8032" t="s">
        <v>25</v>
      </c>
      <c r="D8032" t="s">
        <v>17</v>
      </c>
      <c r="E8032" t="s">
        <v>18</v>
      </c>
      <c r="F8032" t="s">
        <v>19</v>
      </c>
      <c r="G8032" t="s">
        <v>20</v>
      </c>
      <c r="J8032" t="s">
        <v>17</v>
      </c>
      <c r="K8032" t="str">
        <f>"34531404"</f>
        <v>34531404</v>
      </c>
      <c r="L8032" t="str">
        <f>"34531404"</f>
        <v>34531404</v>
      </c>
      <c r="M8032" t="s">
        <v>75</v>
      </c>
      <c r="N8032" s="1">
        <v>42872.847222222219</v>
      </c>
      <c r="O8032" t="s">
        <v>19</v>
      </c>
    </row>
    <row r="8033" spans="1:15" x14ac:dyDescent="0.25">
      <c r="A8033" t="s">
        <v>5537</v>
      </c>
      <c r="B8033" t="s">
        <v>15</v>
      </c>
      <c r="C8033" t="s">
        <v>25</v>
      </c>
      <c r="D8033" t="s">
        <v>17</v>
      </c>
      <c r="E8033" t="s">
        <v>18</v>
      </c>
      <c r="F8033" t="s">
        <v>19</v>
      </c>
      <c r="G8033" t="s">
        <v>20</v>
      </c>
      <c r="J8033" t="s">
        <v>17</v>
      </c>
      <c r="K8033" t="str">
        <f>"34531427"</f>
        <v>34531427</v>
      </c>
      <c r="L8033" t="str">
        <f>"34531427"</f>
        <v>34531427</v>
      </c>
      <c r="M8033" t="s">
        <v>75</v>
      </c>
      <c r="N8033" s="1">
        <v>42872.839583333334</v>
      </c>
      <c r="O8033" t="s">
        <v>19</v>
      </c>
    </row>
    <row r="8034" spans="1:15" x14ac:dyDescent="0.25">
      <c r="A8034" t="s">
        <v>5537</v>
      </c>
      <c r="B8034" t="s">
        <v>15</v>
      </c>
      <c r="C8034" t="s">
        <v>25</v>
      </c>
      <c r="D8034" t="s">
        <v>17</v>
      </c>
      <c r="E8034" t="s">
        <v>18</v>
      </c>
      <c r="F8034" t="s">
        <v>19</v>
      </c>
      <c r="G8034" t="s">
        <v>20</v>
      </c>
      <c r="J8034" t="s">
        <v>17</v>
      </c>
      <c r="K8034" t="str">
        <f>"76531427"</f>
        <v>76531427</v>
      </c>
      <c r="L8034" t="str">
        <f>"76531427"</f>
        <v>76531427</v>
      </c>
      <c r="M8034" t="s">
        <v>75</v>
      </c>
      <c r="N8034" s="1">
        <v>42872.847222222219</v>
      </c>
      <c r="O8034" t="s">
        <v>19</v>
      </c>
    </row>
    <row r="8035" spans="1:15" x14ac:dyDescent="0.25">
      <c r="A8035" t="s">
        <v>5538</v>
      </c>
      <c r="B8035" t="s">
        <v>15</v>
      </c>
      <c r="C8035" t="s">
        <v>25</v>
      </c>
      <c r="D8035" t="s">
        <v>17</v>
      </c>
      <c r="E8035" t="s">
        <v>18</v>
      </c>
      <c r="F8035" t="s">
        <v>19</v>
      </c>
      <c r="G8035" t="s">
        <v>20</v>
      </c>
      <c r="J8035" t="s">
        <v>17</v>
      </c>
      <c r="K8035" t="str">
        <f>"34531407"</f>
        <v>34531407</v>
      </c>
      <c r="L8035" t="str">
        <f>"34531407"</f>
        <v>34531407</v>
      </c>
      <c r="M8035" t="s">
        <v>75</v>
      </c>
      <c r="N8035" s="1">
        <v>42872.839583333334</v>
      </c>
      <c r="O8035" t="s">
        <v>19</v>
      </c>
    </row>
    <row r="8036" spans="1:15" x14ac:dyDescent="0.25">
      <c r="A8036" t="s">
        <v>5538</v>
      </c>
      <c r="B8036" t="s">
        <v>15</v>
      </c>
      <c r="C8036" t="s">
        <v>25</v>
      </c>
      <c r="D8036" t="s">
        <v>17</v>
      </c>
      <c r="E8036" t="s">
        <v>18</v>
      </c>
      <c r="F8036" t="s">
        <v>19</v>
      </c>
      <c r="G8036" t="s">
        <v>20</v>
      </c>
      <c r="J8036" t="s">
        <v>17</v>
      </c>
      <c r="K8036" t="str">
        <f>"76531407"</f>
        <v>76531407</v>
      </c>
      <c r="L8036" t="str">
        <f>"76531407"</f>
        <v>76531407</v>
      </c>
      <c r="M8036" t="s">
        <v>75</v>
      </c>
      <c r="N8036" s="1">
        <v>42872.847222222219</v>
      </c>
      <c r="O8036" t="s">
        <v>19</v>
      </c>
    </row>
    <row r="8037" spans="1:15" x14ac:dyDescent="0.25">
      <c r="A8037" t="s">
        <v>5538</v>
      </c>
      <c r="B8037" t="s">
        <v>15</v>
      </c>
      <c r="C8037" t="s">
        <v>25</v>
      </c>
      <c r="D8037" t="s">
        <v>17</v>
      </c>
      <c r="E8037" t="s">
        <v>18</v>
      </c>
      <c r="F8037" t="s">
        <v>19</v>
      </c>
      <c r="G8037" t="s">
        <v>20</v>
      </c>
      <c r="J8037" t="s">
        <v>17</v>
      </c>
      <c r="K8037" t="str">
        <f>"76331407"</f>
        <v>76331407</v>
      </c>
      <c r="L8037" t="str">
        <f>"76331407"</f>
        <v>76331407</v>
      </c>
      <c r="M8037" t="s">
        <v>75</v>
      </c>
      <c r="N8037" s="1">
        <v>43006.592361111114</v>
      </c>
      <c r="O8037" t="s">
        <v>19</v>
      </c>
    </row>
    <row r="8038" spans="1:15" x14ac:dyDescent="0.25">
      <c r="A8038" t="s">
        <v>5539</v>
      </c>
      <c r="B8038" t="s">
        <v>15</v>
      </c>
      <c r="C8038" t="s">
        <v>25</v>
      </c>
      <c r="D8038" t="s">
        <v>17</v>
      </c>
      <c r="E8038" t="s">
        <v>18</v>
      </c>
      <c r="F8038" t="s">
        <v>19</v>
      </c>
      <c r="G8038" t="s">
        <v>20</v>
      </c>
      <c r="J8038" t="s">
        <v>17</v>
      </c>
      <c r="K8038" t="str">
        <f>"76331430"</f>
        <v>76331430</v>
      </c>
      <c r="L8038" t="str">
        <f>"76331430"</f>
        <v>76331430</v>
      </c>
      <c r="M8038" t="s">
        <v>75</v>
      </c>
      <c r="N8038" s="1">
        <v>42872.847222222219</v>
      </c>
      <c r="O8038" t="s">
        <v>19</v>
      </c>
    </row>
    <row r="8039" spans="1:15" x14ac:dyDescent="0.25">
      <c r="A8039" t="s">
        <v>5539</v>
      </c>
      <c r="B8039" t="s">
        <v>15</v>
      </c>
      <c r="C8039" t="s">
        <v>25</v>
      </c>
      <c r="D8039" t="s">
        <v>17</v>
      </c>
      <c r="E8039" t="s">
        <v>18</v>
      </c>
      <c r="F8039" t="s">
        <v>19</v>
      </c>
      <c r="G8039" t="s">
        <v>20</v>
      </c>
      <c r="J8039" t="s">
        <v>17</v>
      </c>
      <c r="K8039" t="str">
        <f>"76531430"</f>
        <v>76531430</v>
      </c>
      <c r="L8039" t="str">
        <f>"76531430"</f>
        <v>76531430</v>
      </c>
      <c r="M8039" t="s">
        <v>75</v>
      </c>
      <c r="N8039" s="1">
        <v>42872.847222222219</v>
      </c>
      <c r="O8039" t="s">
        <v>19</v>
      </c>
    </row>
    <row r="8040" spans="1:15" x14ac:dyDescent="0.25">
      <c r="A8040" t="s">
        <v>5540</v>
      </c>
      <c r="B8040" t="s">
        <v>15</v>
      </c>
      <c r="C8040" t="s">
        <v>25</v>
      </c>
      <c r="D8040" t="s">
        <v>17</v>
      </c>
      <c r="E8040" t="s">
        <v>18</v>
      </c>
      <c r="F8040" t="s">
        <v>19</v>
      </c>
      <c r="G8040" t="s">
        <v>20</v>
      </c>
      <c r="J8040" t="s">
        <v>17</v>
      </c>
      <c r="K8040" t="str">
        <f>"76531425"</f>
        <v>76531425</v>
      </c>
      <c r="L8040" t="str">
        <f>"76531425"</f>
        <v>76531425</v>
      </c>
      <c r="M8040" t="s">
        <v>75</v>
      </c>
      <c r="N8040" s="1">
        <v>42872.847222222219</v>
      </c>
      <c r="O8040" t="s">
        <v>19</v>
      </c>
    </row>
    <row r="8041" spans="1:15" x14ac:dyDescent="0.25">
      <c r="A8041" t="s">
        <v>5541</v>
      </c>
      <c r="B8041" t="s">
        <v>15</v>
      </c>
      <c r="C8041" t="s">
        <v>25</v>
      </c>
      <c r="D8041" t="s">
        <v>17</v>
      </c>
      <c r="E8041" t="s">
        <v>18</v>
      </c>
      <c r="F8041" t="s">
        <v>19</v>
      </c>
      <c r="G8041" t="s">
        <v>20</v>
      </c>
      <c r="J8041" t="s">
        <v>17</v>
      </c>
      <c r="K8041" t="str">
        <f>"34531460"</f>
        <v>34531460</v>
      </c>
      <c r="L8041" t="str">
        <f>"34531460"</f>
        <v>34531460</v>
      </c>
      <c r="M8041" t="s">
        <v>75</v>
      </c>
      <c r="N8041" s="1">
        <v>42872.839583333334</v>
      </c>
      <c r="O8041" t="s">
        <v>19</v>
      </c>
    </row>
    <row r="8042" spans="1:15" x14ac:dyDescent="0.25">
      <c r="A8042" t="s">
        <v>5542</v>
      </c>
      <c r="B8042" t="s">
        <v>15</v>
      </c>
      <c r="C8042" t="s">
        <v>25</v>
      </c>
      <c r="D8042" t="s">
        <v>17</v>
      </c>
      <c r="E8042" t="s">
        <v>18</v>
      </c>
      <c r="F8042" t="s">
        <v>19</v>
      </c>
      <c r="G8042" t="s">
        <v>20</v>
      </c>
      <c r="J8042" t="s">
        <v>17</v>
      </c>
      <c r="K8042" t="str">
        <f>"93331430"</f>
        <v>93331430</v>
      </c>
      <c r="L8042" t="str">
        <f>"93331430"</f>
        <v>93331430</v>
      </c>
      <c r="M8042" t="s">
        <v>75</v>
      </c>
      <c r="N8042" s="1">
        <v>42872.847222222219</v>
      </c>
      <c r="O8042" t="s">
        <v>19</v>
      </c>
    </row>
    <row r="8043" spans="1:15" x14ac:dyDescent="0.25">
      <c r="A8043" t="s">
        <v>5543</v>
      </c>
      <c r="B8043" t="s">
        <v>15</v>
      </c>
      <c r="C8043" t="s">
        <v>25</v>
      </c>
      <c r="D8043" t="s">
        <v>17</v>
      </c>
      <c r="E8043" t="s">
        <v>18</v>
      </c>
      <c r="F8043" t="s">
        <v>19</v>
      </c>
      <c r="G8043" t="s">
        <v>20</v>
      </c>
      <c r="J8043" t="s">
        <v>17</v>
      </c>
      <c r="K8043" t="str">
        <f>"110170072"</f>
        <v>110170072</v>
      </c>
      <c r="L8043" t="str">
        <f>"110170072"</f>
        <v>110170072</v>
      </c>
      <c r="M8043" t="s">
        <v>75</v>
      </c>
      <c r="N8043" s="1">
        <v>42872.847222222219</v>
      </c>
      <c r="O8043" t="s">
        <v>19</v>
      </c>
    </row>
    <row r="8044" spans="1:15" x14ac:dyDescent="0.25">
      <c r="A8044" t="s">
        <v>5544</v>
      </c>
      <c r="B8044" t="s">
        <v>15</v>
      </c>
      <c r="C8044" t="s">
        <v>25</v>
      </c>
      <c r="D8044" t="s">
        <v>17</v>
      </c>
      <c r="E8044" t="s">
        <v>18</v>
      </c>
      <c r="F8044" t="s">
        <v>19</v>
      </c>
      <c r="G8044" t="s">
        <v>20</v>
      </c>
      <c r="J8044" t="s">
        <v>17</v>
      </c>
      <c r="K8044" t="str">
        <f>"34531481"</f>
        <v>34531481</v>
      </c>
      <c r="L8044" t="str">
        <f>"34531481"</f>
        <v>34531481</v>
      </c>
      <c r="M8044" t="s">
        <v>75</v>
      </c>
      <c r="N8044" s="1">
        <v>42872.839583333334</v>
      </c>
      <c r="O8044" t="s">
        <v>19</v>
      </c>
    </row>
    <row r="8045" spans="1:15" x14ac:dyDescent="0.25">
      <c r="A8045" t="s">
        <v>5544</v>
      </c>
      <c r="B8045" t="s">
        <v>15</v>
      </c>
      <c r="C8045" t="s">
        <v>25</v>
      </c>
      <c r="D8045" t="s">
        <v>17</v>
      </c>
      <c r="E8045" t="s">
        <v>18</v>
      </c>
      <c r="F8045" t="s">
        <v>19</v>
      </c>
      <c r="G8045" t="s">
        <v>20</v>
      </c>
      <c r="J8045" t="s">
        <v>17</v>
      </c>
      <c r="K8045" t="str">
        <f>"1000001000190"</f>
        <v>1000001000190</v>
      </c>
      <c r="L8045" t="str">
        <f>"76531481"</f>
        <v>76531481</v>
      </c>
      <c r="M8045" t="s">
        <v>84</v>
      </c>
      <c r="N8045" s="1">
        <v>42872.847222222219</v>
      </c>
      <c r="O8045" t="s">
        <v>19</v>
      </c>
    </row>
    <row r="8046" spans="1:15" x14ac:dyDescent="0.25">
      <c r="A8046" t="s">
        <v>5545</v>
      </c>
      <c r="B8046" t="s">
        <v>15</v>
      </c>
      <c r="C8046" t="s">
        <v>25</v>
      </c>
      <c r="D8046" t="s">
        <v>17</v>
      </c>
      <c r="E8046" t="s">
        <v>18</v>
      </c>
      <c r="F8046" t="s">
        <v>19</v>
      </c>
      <c r="G8046" t="s">
        <v>20</v>
      </c>
      <c r="J8046" t="s">
        <v>17</v>
      </c>
      <c r="K8046" t="str">
        <f>"76531477"</f>
        <v>76531477</v>
      </c>
      <c r="L8046" t="str">
        <f>"76531477"</f>
        <v>76531477</v>
      </c>
      <c r="M8046" t="s">
        <v>75</v>
      </c>
      <c r="N8046" s="1">
        <v>42872.847222222219</v>
      </c>
      <c r="O8046" t="s">
        <v>19</v>
      </c>
    </row>
    <row r="8047" spans="1:15" x14ac:dyDescent="0.25">
      <c r="A8047" t="s">
        <v>5546</v>
      </c>
      <c r="B8047" t="s">
        <v>15</v>
      </c>
      <c r="C8047" t="s">
        <v>25</v>
      </c>
      <c r="D8047" t="s">
        <v>17</v>
      </c>
      <c r="E8047" t="s">
        <v>18</v>
      </c>
      <c r="F8047" t="s">
        <v>19</v>
      </c>
      <c r="G8047" t="s">
        <v>20</v>
      </c>
      <c r="J8047" t="s">
        <v>17</v>
      </c>
      <c r="K8047" t="str">
        <f>"17531480"</f>
        <v>17531480</v>
      </c>
      <c r="L8047" t="str">
        <f>"17531480"</f>
        <v>17531480</v>
      </c>
      <c r="M8047" t="s">
        <v>75</v>
      </c>
      <c r="N8047" s="1">
        <v>42872.839583333334</v>
      </c>
      <c r="O8047" t="s">
        <v>19</v>
      </c>
    </row>
    <row r="8048" spans="1:15" x14ac:dyDescent="0.25">
      <c r="A8048" t="s">
        <v>5546</v>
      </c>
      <c r="B8048" t="s">
        <v>15</v>
      </c>
      <c r="C8048" t="s">
        <v>25</v>
      </c>
      <c r="D8048" t="s">
        <v>17</v>
      </c>
      <c r="E8048" t="s">
        <v>18</v>
      </c>
      <c r="F8048" t="s">
        <v>19</v>
      </c>
      <c r="G8048" t="s">
        <v>20</v>
      </c>
      <c r="J8048" t="s">
        <v>17</v>
      </c>
      <c r="K8048" t="str">
        <f>"34531480"</f>
        <v>34531480</v>
      </c>
      <c r="L8048" t="str">
        <f>"34531480"</f>
        <v>34531480</v>
      </c>
      <c r="M8048" t="s">
        <v>75</v>
      </c>
      <c r="N8048" s="1">
        <v>42872.839583333334</v>
      </c>
      <c r="O8048" t="s">
        <v>19</v>
      </c>
    </row>
    <row r="8049" spans="1:15" x14ac:dyDescent="0.25">
      <c r="A8049" t="s">
        <v>5546</v>
      </c>
      <c r="B8049" t="s">
        <v>15</v>
      </c>
      <c r="C8049" t="s">
        <v>25</v>
      </c>
      <c r="D8049" t="s">
        <v>17</v>
      </c>
      <c r="E8049" t="s">
        <v>18</v>
      </c>
      <c r="F8049" t="s">
        <v>19</v>
      </c>
      <c r="G8049" t="s">
        <v>20</v>
      </c>
      <c r="J8049" t="s">
        <v>17</v>
      </c>
      <c r="K8049" t="str">
        <f>"76331480"</f>
        <v>76331480</v>
      </c>
      <c r="L8049" t="str">
        <f>"76331480"</f>
        <v>76331480</v>
      </c>
      <c r="M8049" t="s">
        <v>75</v>
      </c>
      <c r="N8049" s="1">
        <v>42872.847222222219</v>
      </c>
      <c r="O8049" t="s">
        <v>19</v>
      </c>
    </row>
    <row r="8050" spans="1:15" x14ac:dyDescent="0.25">
      <c r="A8050" t="s">
        <v>5547</v>
      </c>
      <c r="B8050" t="s">
        <v>15</v>
      </c>
      <c r="C8050" t="s">
        <v>25</v>
      </c>
      <c r="D8050" t="s">
        <v>17</v>
      </c>
      <c r="E8050" t="s">
        <v>18</v>
      </c>
      <c r="F8050" t="s">
        <v>19</v>
      </c>
      <c r="G8050" t="s">
        <v>20</v>
      </c>
      <c r="J8050" t="s">
        <v>17</v>
      </c>
      <c r="K8050" t="str">
        <f>"34331480"</f>
        <v>34331480</v>
      </c>
      <c r="L8050" t="str">
        <f>"34331480"</f>
        <v>34331480</v>
      </c>
      <c r="M8050" t="s">
        <v>75</v>
      </c>
      <c r="N8050" s="1">
        <v>42872.839583333334</v>
      </c>
      <c r="O8050" t="s">
        <v>19</v>
      </c>
    </row>
    <row r="8051" spans="1:15" x14ac:dyDescent="0.25">
      <c r="A8051" t="s">
        <v>5548</v>
      </c>
      <c r="B8051" t="s">
        <v>15</v>
      </c>
      <c r="C8051" t="s">
        <v>25</v>
      </c>
      <c r="D8051" t="s">
        <v>17</v>
      </c>
      <c r="E8051" t="s">
        <v>18</v>
      </c>
      <c r="F8051" t="s">
        <v>19</v>
      </c>
      <c r="G8051" t="s">
        <v>20</v>
      </c>
      <c r="J8051" t="s">
        <v>17</v>
      </c>
      <c r="K8051" t="str">
        <f>"76531480"</f>
        <v>76531480</v>
      </c>
      <c r="L8051" t="str">
        <f>"76531480"</f>
        <v>76531480</v>
      </c>
      <c r="M8051" t="s">
        <v>75</v>
      </c>
      <c r="N8051" s="1">
        <v>42872.847222222219</v>
      </c>
      <c r="O8051" t="s">
        <v>19</v>
      </c>
    </row>
    <row r="8052" spans="1:15" x14ac:dyDescent="0.25">
      <c r="A8052" t="s">
        <v>5549</v>
      </c>
      <c r="B8052" t="s">
        <v>15</v>
      </c>
      <c r="C8052" t="s">
        <v>25</v>
      </c>
      <c r="D8052" t="s">
        <v>17</v>
      </c>
      <c r="E8052" t="s">
        <v>18</v>
      </c>
      <c r="F8052" t="s">
        <v>19</v>
      </c>
      <c r="G8052" t="s">
        <v>20</v>
      </c>
      <c r="J8052" t="s">
        <v>17</v>
      </c>
      <c r="K8052" t="str">
        <f>"17531430"</f>
        <v>17531430</v>
      </c>
      <c r="L8052" t="str">
        <f>"17531430"</f>
        <v>17531430</v>
      </c>
      <c r="M8052" t="s">
        <v>75</v>
      </c>
      <c r="N8052" s="1">
        <v>42872.839583333334</v>
      </c>
      <c r="O8052" t="s">
        <v>19</v>
      </c>
    </row>
    <row r="8053" spans="1:15" x14ac:dyDescent="0.25">
      <c r="A8053" t="s">
        <v>5549</v>
      </c>
      <c r="B8053" t="s">
        <v>15</v>
      </c>
      <c r="C8053" t="s">
        <v>25</v>
      </c>
      <c r="D8053" t="s">
        <v>17</v>
      </c>
      <c r="E8053" t="s">
        <v>18</v>
      </c>
      <c r="F8053" t="s">
        <v>19</v>
      </c>
      <c r="G8053" t="s">
        <v>20</v>
      </c>
      <c r="J8053" t="s">
        <v>17</v>
      </c>
      <c r="K8053" t="str">
        <f>"86331430"</f>
        <v>86331430</v>
      </c>
      <c r="L8053" t="str">
        <f>"86331430"</f>
        <v>86331430</v>
      </c>
      <c r="M8053" t="s">
        <v>75</v>
      </c>
      <c r="N8053" s="1">
        <v>42872.847222222219</v>
      </c>
      <c r="O8053" t="s">
        <v>19</v>
      </c>
    </row>
    <row r="8054" spans="1:15" x14ac:dyDescent="0.25">
      <c r="A8054" t="s">
        <v>5549</v>
      </c>
      <c r="B8054" t="s">
        <v>15</v>
      </c>
      <c r="C8054" t="s">
        <v>25</v>
      </c>
      <c r="D8054" t="s">
        <v>17</v>
      </c>
      <c r="E8054" t="s">
        <v>18</v>
      </c>
      <c r="F8054" t="s">
        <v>19</v>
      </c>
      <c r="G8054" t="s">
        <v>20</v>
      </c>
      <c r="J8054" t="s">
        <v>17</v>
      </c>
      <c r="K8054" t="str">
        <f>"17331430"</f>
        <v>17331430</v>
      </c>
      <c r="L8054" t="str">
        <f>"17331430"</f>
        <v>17331430</v>
      </c>
      <c r="M8054" t="s">
        <v>75</v>
      </c>
      <c r="N8054" s="1">
        <v>43096.718055555553</v>
      </c>
      <c r="O8054" t="s">
        <v>19</v>
      </c>
    </row>
    <row r="8055" spans="1:15" x14ac:dyDescent="0.25">
      <c r="A8055" t="s">
        <v>5550</v>
      </c>
      <c r="B8055" t="s">
        <v>15</v>
      </c>
      <c r="C8055" t="s">
        <v>25</v>
      </c>
      <c r="D8055" t="s">
        <v>17</v>
      </c>
      <c r="E8055" t="s">
        <v>18</v>
      </c>
      <c r="F8055" t="s">
        <v>19</v>
      </c>
      <c r="G8055" t="s">
        <v>20</v>
      </c>
      <c r="J8055" t="s">
        <v>17</v>
      </c>
      <c r="K8055" t="str">
        <f>"34531430"</f>
        <v>34531430</v>
      </c>
      <c r="L8055" t="str">
        <f>"34531430"</f>
        <v>34531430</v>
      </c>
      <c r="M8055" t="s">
        <v>75</v>
      </c>
      <c r="N8055" s="1">
        <v>42872.839583333334</v>
      </c>
      <c r="O8055" t="s">
        <v>19</v>
      </c>
    </row>
    <row r="8056" spans="1:15" x14ac:dyDescent="0.25">
      <c r="A8056" t="s">
        <v>5551</v>
      </c>
      <c r="B8056" t="s">
        <v>15</v>
      </c>
      <c r="C8056" t="s">
        <v>25</v>
      </c>
      <c r="D8056" t="s">
        <v>17</v>
      </c>
      <c r="E8056" t="s">
        <v>18</v>
      </c>
      <c r="F8056" t="s">
        <v>19</v>
      </c>
      <c r="G8056" t="s">
        <v>20</v>
      </c>
      <c r="J8056" t="s">
        <v>17</v>
      </c>
      <c r="K8056" t="str">
        <f>"76530930"</f>
        <v>76530930</v>
      </c>
      <c r="L8056" t="str">
        <f>"76530930"</f>
        <v>76530930</v>
      </c>
      <c r="M8056" t="s">
        <v>75</v>
      </c>
      <c r="N8056" s="1">
        <v>42872.847222222219</v>
      </c>
      <c r="O8056" t="s">
        <v>19</v>
      </c>
    </row>
    <row r="8057" spans="1:15" x14ac:dyDescent="0.25">
      <c r="A8057" t="s">
        <v>5552</v>
      </c>
      <c r="B8057" t="s">
        <v>15</v>
      </c>
      <c r="C8057" t="s">
        <v>25</v>
      </c>
      <c r="D8057" t="s">
        <v>17</v>
      </c>
      <c r="E8057" t="s">
        <v>18</v>
      </c>
      <c r="F8057" t="s">
        <v>19</v>
      </c>
      <c r="G8057" t="s">
        <v>20</v>
      </c>
      <c r="J8057" t="s">
        <v>17</v>
      </c>
      <c r="K8057" t="str">
        <f>"110767200"</f>
        <v>110767200</v>
      </c>
      <c r="L8057" t="str">
        <f>"110767200"</f>
        <v>110767200</v>
      </c>
      <c r="M8057" t="s">
        <v>75</v>
      </c>
      <c r="N8057" s="1">
        <v>42872.847222222219</v>
      </c>
      <c r="O8057" t="s">
        <v>19</v>
      </c>
    </row>
    <row r="8058" spans="1:15" x14ac:dyDescent="0.25">
      <c r="A8058" t="s">
        <v>5553</v>
      </c>
      <c r="B8058" t="s">
        <v>15</v>
      </c>
      <c r="C8058" t="s">
        <v>25</v>
      </c>
      <c r="D8058" t="s">
        <v>17</v>
      </c>
      <c r="E8058" t="s">
        <v>18</v>
      </c>
      <c r="F8058" t="s">
        <v>19</v>
      </c>
      <c r="G8058" t="s">
        <v>20</v>
      </c>
      <c r="J8058" t="s">
        <v>17</v>
      </c>
      <c r="K8058" t="str">
        <f>"34531443"</f>
        <v>34531443</v>
      </c>
      <c r="L8058" t="str">
        <f>"34531443"</f>
        <v>34531443</v>
      </c>
      <c r="M8058" t="s">
        <v>75</v>
      </c>
      <c r="N8058" s="1">
        <v>42872.839583333334</v>
      </c>
      <c r="O8058" t="s">
        <v>19</v>
      </c>
    </row>
    <row r="8059" spans="1:15" x14ac:dyDescent="0.25">
      <c r="A8059" t="s">
        <v>5553</v>
      </c>
      <c r="B8059" t="s">
        <v>15</v>
      </c>
      <c r="C8059" t="s">
        <v>25</v>
      </c>
      <c r="D8059" t="s">
        <v>17</v>
      </c>
      <c r="E8059" t="s">
        <v>18</v>
      </c>
      <c r="F8059" t="s">
        <v>19</v>
      </c>
      <c r="G8059" t="s">
        <v>20</v>
      </c>
      <c r="J8059" t="s">
        <v>17</v>
      </c>
      <c r="K8059" t="str">
        <f>"76531433"</f>
        <v>76531433</v>
      </c>
      <c r="L8059" t="str">
        <f>"76531433"</f>
        <v>76531433</v>
      </c>
      <c r="M8059" t="s">
        <v>75</v>
      </c>
      <c r="N8059" s="1">
        <v>42872.847222222219</v>
      </c>
      <c r="O8059" t="s">
        <v>19</v>
      </c>
    </row>
    <row r="8060" spans="1:15" x14ac:dyDescent="0.25">
      <c r="A8060" t="s">
        <v>5553</v>
      </c>
      <c r="B8060" t="s">
        <v>15</v>
      </c>
      <c r="C8060" t="s">
        <v>25</v>
      </c>
      <c r="D8060" t="s">
        <v>17</v>
      </c>
      <c r="E8060" t="s">
        <v>18</v>
      </c>
      <c r="F8060" t="s">
        <v>19</v>
      </c>
      <c r="G8060" t="s">
        <v>20</v>
      </c>
      <c r="J8060" t="s">
        <v>17</v>
      </c>
      <c r="K8060" t="str">
        <f>"76531443"</f>
        <v>76531443</v>
      </c>
      <c r="L8060" t="str">
        <f>"76531443"</f>
        <v>76531443</v>
      </c>
      <c r="M8060" t="s">
        <v>75</v>
      </c>
      <c r="N8060" s="1">
        <v>42872.847222222219</v>
      </c>
      <c r="O8060" t="s">
        <v>19</v>
      </c>
    </row>
    <row r="8061" spans="1:15" x14ac:dyDescent="0.25">
      <c r="A8061" t="s">
        <v>5553</v>
      </c>
      <c r="B8061" t="s">
        <v>15</v>
      </c>
      <c r="C8061" t="s">
        <v>25</v>
      </c>
      <c r="D8061" t="s">
        <v>17</v>
      </c>
      <c r="E8061" t="s">
        <v>18</v>
      </c>
      <c r="F8061" t="s">
        <v>19</v>
      </c>
      <c r="G8061" t="s">
        <v>20</v>
      </c>
      <c r="J8061" t="s">
        <v>17</v>
      </c>
      <c r="K8061" t="str">
        <f>"343314011"</f>
        <v>343314011</v>
      </c>
      <c r="L8061" t="str">
        <f>"343314011"</f>
        <v>343314011</v>
      </c>
      <c r="M8061" t="s">
        <v>21</v>
      </c>
      <c r="N8061" s="1">
        <v>43446.886805555558</v>
      </c>
      <c r="O8061" t="s">
        <v>19</v>
      </c>
    </row>
    <row r="8062" spans="1:15" x14ac:dyDescent="0.25">
      <c r="A8062" t="s">
        <v>5554</v>
      </c>
      <c r="B8062" t="s">
        <v>15</v>
      </c>
      <c r="C8062" t="s">
        <v>25</v>
      </c>
      <c r="D8062" t="s">
        <v>17</v>
      </c>
      <c r="E8062" t="s">
        <v>18</v>
      </c>
      <c r="F8062" t="s">
        <v>19</v>
      </c>
      <c r="G8062" t="s">
        <v>20</v>
      </c>
      <c r="J8062" t="s">
        <v>17</v>
      </c>
      <c r="K8062" t="str">
        <f>"175314125"</f>
        <v>175314125</v>
      </c>
      <c r="L8062" t="str">
        <f>"175314125"</f>
        <v>175314125</v>
      </c>
      <c r="M8062" t="s">
        <v>75</v>
      </c>
      <c r="N8062" s="1">
        <v>42872.849305555559</v>
      </c>
      <c r="O8062" t="s">
        <v>19</v>
      </c>
    </row>
    <row r="8063" spans="1:15" x14ac:dyDescent="0.25">
      <c r="A8063" t="s">
        <v>5554</v>
      </c>
      <c r="B8063" t="s">
        <v>15</v>
      </c>
      <c r="C8063" t="s">
        <v>25</v>
      </c>
      <c r="D8063" t="s">
        <v>17</v>
      </c>
      <c r="E8063" t="s">
        <v>18</v>
      </c>
      <c r="F8063" t="s">
        <v>19</v>
      </c>
      <c r="G8063" t="s">
        <v>20</v>
      </c>
      <c r="J8063" t="s">
        <v>17</v>
      </c>
      <c r="K8063" t="str">
        <f>"345311125"</f>
        <v>345311125</v>
      </c>
      <c r="L8063" t="str">
        <f>"345311125"</f>
        <v>345311125</v>
      </c>
      <c r="M8063" t="s">
        <v>75</v>
      </c>
      <c r="N8063" s="1">
        <v>42872.849305555559</v>
      </c>
      <c r="O8063" t="s">
        <v>19</v>
      </c>
    </row>
    <row r="8064" spans="1:15" x14ac:dyDescent="0.25">
      <c r="A8064" t="s">
        <v>5554</v>
      </c>
      <c r="B8064" t="s">
        <v>15</v>
      </c>
      <c r="C8064" t="s">
        <v>25</v>
      </c>
      <c r="D8064" t="s">
        <v>17</v>
      </c>
      <c r="E8064" t="s">
        <v>18</v>
      </c>
      <c r="F8064" t="s">
        <v>19</v>
      </c>
      <c r="G8064" t="s">
        <v>20</v>
      </c>
      <c r="J8064" t="s">
        <v>17</v>
      </c>
      <c r="K8064" t="str">
        <f>"763314125"</f>
        <v>763314125</v>
      </c>
      <c r="L8064" t="str">
        <f>"763314125"</f>
        <v>763314125</v>
      </c>
      <c r="M8064" t="s">
        <v>75</v>
      </c>
      <c r="N8064" s="1">
        <v>42872.849305555559</v>
      </c>
      <c r="O8064" t="s">
        <v>19</v>
      </c>
    </row>
    <row r="8065" spans="1:15" x14ac:dyDescent="0.25">
      <c r="A8065" t="s">
        <v>5554</v>
      </c>
      <c r="B8065" t="s">
        <v>15</v>
      </c>
      <c r="C8065" t="s">
        <v>25</v>
      </c>
      <c r="D8065" t="s">
        <v>17</v>
      </c>
      <c r="E8065" t="s">
        <v>18</v>
      </c>
      <c r="F8065" t="s">
        <v>19</v>
      </c>
      <c r="G8065" t="s">
        <v>20</v>
      </c>
      <c r="J8065" t="s">
        <v>17</v>
      </c>
      <c r="K8065" t="str">
        <f>"765314125"</f>
        <v>765314125</v>
      </c>
      <c r="L8065" t="str">
        <f>"765314125"</f>
        <v>765314125</v>
      </c>
      <c r="M8065" t="s">
        <v>75</v>
      </c>
      <c r="N8065" s="1">
        <v>42872.849305555559</v>
      </c>
      <c r="O8065" t="s">
        <v>19</v>
      </c>
    </row>
    <row r="8066" spans="1:15" x14ac:dyDescent="0.25">
      <c r="A8066" t="s">
        <v>5554</v>
      </c>
      <c r="B8066" t="s">
        <v>15</v>
      </c>
      <c r="C8066" t="s">
        <v>25</v>
      </c>
      <c r="D8066" t="s">
        <v>17</v>
      </c>
      <c r="E8066" t="s">
        <v>18</v>
      </c>
      <c r="F8066" t="s">
        <v>19</v>
      </c>
      <c r="G8066" t="s">
        <v>20</v>
      </c>
      <c r="J8066" t="s">
        <v>17</v>
      </c>
      <c r="K8066" t="str">
        <f>"343314125"</f>
        <v>343314125</v>
      </c>
      <c r="L8066" t="str">
        <f>"343314125"</f>
        <v>343314125</v>
      </c>
      <c r="M8066" t="s">
        <v>75</v>
      </c>
      <c r="N8066" s="1">
        <v>42872.849305555559</v>
      </c>
      <c r="O8066" t="s">
        <v>19</v>
      </c>
    </row>
    <row r="8067" spans="1:15" x14ac:dyDescent="0.25">
      <c r="A8067" t="s">
        <v>5554</v>
      </c>
      <c r="B8067" t="s">
        <v>15</v>
      </c>
      <c r="C8067" t="s">
        <v>25</v>
      </c>
      <c r="D8067" t="s">
        <v>17</v>
      </c>
      <c r="E8067" t="s">
        <v>18</v>
      </c>
      <c r="F8067" t="s">
        <v>19</v>
      </c>
      <c r="G8067" t="s">
        <v>20</v>
      </c>
      <c r="J8067" t="s">
        <v>17</v>
      </c>
      <c r="K8067" t="str">
        <f>"343314145"</f>
        <v>343314145</v>
      </c>
      <c r="L8067" t="str">
        <f>"343314145"</f>
        <v>343314145</v>
      </c>
      <c r="M8067" t="s">
        <v>75</v>
      </c>
      <c r="N8067" s="1">
        <v>42872.849305555559</v>
      </c>
      <c r="O8067" t="s">
        <v>19</v>
      </c>
    </row>
    <row r="8068" spans="1:15" x14ac:dyDescent="0.25">
      <c r="A8068" t="s">
        <v>5554</v>
      </c>
      <c r="B8068" t="s">
        <v>15</v>
      </c>
      <c r="C8068" t="s">
        <v>25</v>
      </c>
      <c r="D8068" t="s">
        <v>17</v>
      </c>
      <c r="E8068" t="s">
        <v>18</v>
      </c>
      <c r="F8068" t="s">
        <v>19</v>
      </c>
      <c r="G8068" t="s">
        <v>20</v>
      </c>
      <c r="J8068" t="s">
        <v>17</v>
      </c>
      <c r="K8068" t="str">
        <f>"345314125"</f>
        <v>345314125</v>
      </c>
      <c r="L8068" t="str">
        <f>"345314125"</f>
        <v>345314125</v>
      </c>
      <c r="M8068" t="s">
        <v>75</v>
      </c>
      <c r="N8068" s="1">
        <v>42872.849305555559</v>
      </c>
      <c r="O8068" t="s">
        <v>19</v>
      </c>
    </row>
    <row r="8069" spans="1:15" x14ac:dyDescent="0.25">
      <c r="A8069" t="s">
        <v>5554</v>
      </c>
      <c r="B8069" t="s">
        <v>15</v>
      </c>
      <c r="C8069" t="s">
        <v>25</v>
      </c>
      <c r="D8069" t="s">
        <v>17</v>
      </c>
      <c r="E8069" t="s">
        <v>18</v>
      </c>
      <c r="F8069" t="s">
        <v>19</v>
      </c>
      <c r="G8069" t="s">
        <v>20</v>
      </c>
      <c r="J8069" t="s">
        <v>17</v>
      </c>
      <c r="K8069" t="str">
        <f>"2020030300060"</f>
        <v>2020030300060</v>
      </c>
      <c r="L8069" t="str">
        <f>"183314294"</f>
        <v>183314294</v>
      </c>
      <c r="M8069" t="s">
        <v>21</v>
      </c>
      <c r="N8069" s="1">
        <v>42882.761805555558</v>
      </c>
      <c r="O8069" t="s">
        <v>19</v>
      </c>
    </row>
    <row r="8070" spans="1:15" x14ac:dyDescent="0.25">
      <c r="A8070" t="s">
        <v>5554</v>
      </c>
      <c r="B8070" t="s">
        <v>15</v>
      </c>
      <c r="C8070" t="s">
        <v>25</v>
      </c>
      <c r="D8070" t="s">
        <v>17</v>
      </c>
      <c r="E8070" t="s">
        <v>18</v>
      </c>
      <c r="F8070" t="s">
        <v>19</v>
      </c>
      <c r="G8070" t="s">
        <v>20</v>
      </c>
      <c r="J8070" t="s">
        <v>17</v>
      </c>
      <c r="K8070" t="str">
        <f>"863314125"</f>
        <v>863314125</v>
      </c>
      <c r="L8070" t="str">
        <f>"863314125"</f>
        <v>863314125</v>
      </c>
      <c r="M8070" t="s">
        <v>84</v>
      </c>
      <c r="N8070" s="1">
        <v>43367.675000000003</v>
      </c>
      <c r="O8070" t="s">
        <v>19</v>
      </c>
    </row>
    <row r="8071" spans="1:15" x14ac:dyDescent="0.25">
      <c r="A8071" t="s">
        <v>5555</v>
      </c>
      <c r="B8071" t="s">
        <v>15</v>
      </c>
      <c r="C8071" t="s">
        <v>25</v>
      </c>
      <c r="D8071" t="s">
        <v>17</v>
      </c>
      <c r="E8071" t="s">
        <v>18</v>
      </c>
      <c r="F8071" t="s">
        <v>19</v>
      </c>
      <c r="G8071" t="s">
        <v>20</v>
      </c>
      <c r="J8071" t="s">
        <v>17</v>
      </c>
      <c r="K8071" t="str">
        <f>"763314193"</f>
        <v>763314193</v>
      </c>
      <c r="L8071" t="str">
        <f>"763314193"</f>
        <v>763314193</v>
      </c>
      <c r="M8071" t="s">
        <v>75</v>
      </c>
      <c r="N8071" s="1">
        <v>43147.665972222225</v>
      </c>
      <c r="O8071" t="s">
        <v>19</v>
      </c>
    </row>
    <row r="8072" spans="1:15" x14ac:dyDescent="0.25">
      <c r="A8072" t="s">
        <v>5555</v>
      </c>
      <c r="B8072" t="s">
        <v>15</v>
      </c>
      <c r="C8072" t="s">
        <v>25</v>
      </c>
      <c r="D8072" t="s">
        <v>17</v>
      </c>
      <c r="E8072" t="s">
        <v>18</v>
      </c>
      <c r="F8072" t="s">
        <v>19</v>
      </c>
      <c r="G8072" t="s">
        <v>20</v>
      </c>
      <c r="J8072" t="s">
        <v>17</v>
      </c>
      <c r="K8072" t="str">
        <f>"863314193"</f>
        <v>863314193</v>
      </c>
      <c r="L8072" t="str">
        <f>"863314193"</f>
        <v>863314193</v>
      </c>
      <c r="M8072" t="s">
        <v>84</v>
      </c>
      <c r="N8072" s="1">
        <v>43367.676388888889</v>
      </c>
      <c r="O8072" t="s">
        <v>19</v>
      </c>
    </row>
    <row r="8073" spans="1:15" x14ac:dyDescent="0.25">
      <c r="A8073" t="s">
        <v>5556</v>
      </c>
      <c r="B8073" t="s">
        <v>15</v>
      </c>
      <c r="C8073" t="s">
        <v>25</v>
      </c>
      <c r="D8073" t="s">
        <v>17</v>
      </c>
      <c r="E8073" t="s">
        <v>18</v>
      </c>
      <c r="F8073" t="s">
        <v>19</v>
      </c>
      <c r="G8073" t="s">
        <v>20</v>
      </c>
      <c r="J8073" t="s">
        <v>17</v>
      </c>
      <c r="K8073" t="str">
        <f>"763314192"</f>
        <v>763314192</v>
      </c>
      <c r="L8073" t="str">
        <f>"763314192"</f>
        <v>763314192</v>
      </c>
      <c r="M8073" t="s">
        <v>75</v>
      </c>
      <c r="N8073" s="1">
        <v>42872.849305555559</v>
      </c>
      <c r="O8073" t="s">
        <v>19</v>
      </c>
    </row>
    <row r="8074" spans="1:15" x14ac:dyDescent="0.25">
      <c r="A8074" t="s">
        <v>5556</v>
      </c>
      <c r="B8074" t="s">
        <v>15</v>
      </c>
      <c r="C8074" t="s">
        <v>25</v>
      </c>
      <c r="D8074" t="s">
        <v>17</v>
      </c>
      <c r="E8074" t="s">
        <v>18</v>
      </c>
      <c r="F8074" t="s">
        <v>19</v>
      </c>
      <c r="G8074" t="s">
        <v>20</v>
      </c>
      <c r="J8074" t="s">
        <v>17</v>
      </c>
      <c r="K8074" t="str">
        <f>"1000001002347"</f>
        <v>1000001002347</v>
      </c>
      <c r="L8074" t="str">
        <f>"765314192"</f>
        <v>765314192</v>
      </c>
      <c r="M8074" t="s">
        <v>84</v>
      </c>
      <c r="N8074" s="1">
        <v>42872.849305555559</v>
      </c>
      <c r="O8074" t="s">
        <v>19</v>
      </c>
    </row>
    <row r="8075" spans="1:15" x14ac:dyDescent="0.25">
      <c r="A8075" t="s">
        <v>5557</v>
      </c>
      <c r="B8075" t="s">
        <v>15</v>
      </c>
      <c r="C8075" t="s">
        <v>25</v>
      </c>
      <c r="D8075" t="s">
        <v>17</v>
      </c>
      <c r="E8075" t="s">
        <v>18</v>
      </c>
      <c r="F8075" t="s">
        <v>19</v>
      </c>
      <c r="G8075" t="s">
        <v>20</v>
      </c>
      <c r="J8075" t="s">
        <v>17</v>
      </c>
      <c r="K8075" t="str">
        <f>"345314136"</f>
        <v>345314136</v>
      </c>
      <c r="L8075" t="str">
        <f>"345314136"</f>
        <v>345314136</v>
      </c>
      <c r="M8075" t="s">
        <v>75</v>
      </c>
      <c r="N8075" s="1">
        <v>42872.849305555559</v>
      </c>
      <c r="O8075" t="s">
        <v>19</v>
      </c>
    </row>
    <row r="8076" spans="1:15" x14ac:dyDescent="0.25">
      <c r="A8076" t="s">
        <v>5557</v>
      </c>
      <c r="B8076" t="s">
        <v>15</v>
      </c>
      <c r="C8076" t="s">
        <v>25</v>
      </c>
      <c r="D8076" t="s">
        <v>17</v>
      </c>
      <c r="E8076" t="s">
        <v>18</v>
      </c>
      <c r="F8076" t="s">
        <v>19</v>
      </c>
      <c r="G8076" t="s">
        <v>20</v>
      </c>
      <c r="J8076" t="s">
        <v>17</v>
      </c>
      <c r="K8076" t="str">
        <f>"765314136"</f>
        <v>765314136</v>
      </c>
      <c r="L8076" t="str">
        <f>"765314136"</f>
        <v>765314136</v>
      </c>
      <c r="M8076" t="s">
        <v>75</v>
      </c>
      <c r="N8076" s="1">
        <v>42872.849305555559</v>
      </c>
      <c r="O8076" t="s">
        <v>19</v>
      </c>
    </row>
    <row r="8077" spans="1:15" x14ac:dyDescent="0.25">
      <c r="A8077" t="s">
        <v>5557</v>
      </c>
      <c r="B8077" t="s">
        <v>15</v>
      </c>
      <c r="C8077" t="s">
        <v>25</v>
      </c>
      <c r="D8077" t="s">
        <v>17</v>
      </c>
      <c r="E8077" t="s">
        <v>18</v>
      </c>
      <c r="F8077" t="s">
        <v>19</v>
      </c>
      <c r="G8077" t="s">
        <v>20</v>
      </c>
      <c r="J8077" t="s">
        <v>17</v>
      </c>
      <c r="K8077" t="str">
        <f>"763314136"</f>
        <v>763314136</v>
      </c>
      <c r="L8077" t="str">
        <f>"763314136"</f>
        <v>763314136</v>
      </c>
      <c r="M8077" t="s">
        <v>75</v>
      </c>
      <c r="N8077" s="1">
        <v>42872.849305555559</v>
      </c>
      <c r="O8077" t="s">
        <v>19</v>
      </c>
    </row>
    <row r="8078" spans="1:15" x14ac:dyDescent="0.25">
      <c r="A8078" t="s">
        <v>5558</v>
      </c>
      <c r="B8078" t="s">
        <v>15</v>
      </c>
      <c r="C8078" t="s">
        <v>25</v>
      </c>
      <c r="D8078" t="s">
        <v>17</v>
      </c>
      <c r="E8078" t="s">
        <v>18</v>
      </c>
      <c r="F8078" t="s">
        <v>19</v>
      </c>
      <c r="G8078" t="s">
        <v>20</v>
      </c>
      <c r="J8078" t="s">
        <v>18</v>
      </c>
      <c r="K8078" t="str">
        <f>"763314262"</f>
        <v>763314262</v>
      </c>
      <c r="L8078" t="str">
        <f>"763314262"</f>
        <v>763314262</v>
      </c>
      <c r="M8078" t="s">
        <v>84</v>
      </c>
      <c r="N8078" s="1">
        <v>43447.854861111111</v>
      </c>
      <c r="O8078" t="s">
        <v>19</v>
      </c>
    </row>
    <row r="8079" spans="1:15" x14ac:dyDescent="0.25">
      <c r="A8079" t="s">
        <v>5559</v>
      </c>
      <c r="B8079" t="s">
        <v>15</v>
      </c>
      <c r="C8079" t="s">
        <v>25</v>
      </c>
      <c r="D8079" t="s">
        <v>17</v>
      </c>
      <c r="E8079" t="s">
        <v>18</v>
      </c>
      <c r="F8079" t="s">
        <v>19</v>
      </c>
      <c r="G8079" t="s">
        <v>20</v>
      </c>
      <c r="J8079" t="s">
        <v>17</v>
      </c>
      <c r="K8079" t="str">
        <f>"1000001001050"</f>
        <v>1000001001050</v>
      </c>
      <c r="L8079" t="str">
        <f>"763314283"</f>
        <v>763314283</v>
      </c>
      <c r="M8079" t="s">
        <v>84</v>
      </c>
      <c r="N8079" s="1">
        <v>42872.849305555559</v>
      </c>
      <c r="O8079" t="s">
        <v>19</v>
      </c>
    </row>
    <row r="8080" spans="1:15" x14ac:dyDescent="0.25">
      <c r="A8080" t="s">
        <v>5559</v>
      </c>
      <c r="B8080" t="s">
        <v>15</v>
      </c>
      <c r="C8080" t="s">
        <v>25</v>
      </c>
      <c r="D8080" t="s">
        <v>17</v>
      </c>
      <c r="E8080" t="s">
        <v>18</v>
      </c>
      <c r="F8080" t="s">
        <v>19</v>
      </c>
      <c r="G8080" t="s">
        <v>20</v>
      </c>
      <c r="J8080" t="s">
        <v>17</v>
      </c>
      <c r="K8080" t="str">
        <f>"765314283"</f>
        <v>765314283</v>
      </c>
      <c r="L8080" t="str">
        <f>"765314283"</f>
        <v>765314283</v>
      </c>
      <c r="M8080" t="s">
        <v>75</v>
      </c>
      <c r="N8080" s="1">
        <v>42872.849305555559</v>
      </c>
      <c r="O8080" t="s">
        <v>19</v>
      </c>
    </row>
    <row r="8081" spans="1:15" x14ac:dyDescent="0.25">
      <c r="A8081" t="s">
        <v>5559</v>
      </c>
      <c r="B8081" t="s">
        <v>15</v>
      </c>
      <c r="C8081" t="s">
        <v>25</v>
      </c>
      <c r="D8081" t="s">
        <v>17</v>
      </c>
      <c r="E8081" t="s">
        <v>18</v>
      </c>
      <c r="F8081" t="s">
        <v>19</v>
      </c>
      <c r="G8081" t="s">
        <v>20</v>
      </c>
      <c r="J8081" t="s">
        <v>17</v>
      </c>
      <c r="K8081" t="str">
        <f>"343314283"</f>
        <v>343314283</v>
      </c>
      <c r="L8081" t="str">
        <f>"343314283"</f>
        <v>343314283</v>
      </c>
      <c r="M8081" t="s">
        <v>75</v>
      </c>
      <c r="N8081" s="1">
        <v>43179.585416666669</v>
      </c>
      <c r="O8081" t="s">
        <v>19</v>
      </c>
    </row>
    <row r="8082" spans="1:15" x14ac:dyDescent="0.25">
      <c r="A8082" t="s">
        <v>5559</v>
      </c>
      <c r="B8082" t="s">
        <v>15</v>
      </c>
      <c r="C8082" t="s">
        <v>25</v>
      </c>
      <c r="D8082" t="s">
        <v>17</v>
      </c>
      <c r="E8082" t="s">
        <v>18</v>
      </c>
      <c r="F8082" t="s">
        <v>19</v>
      </c>
      <c r="G8082" t="s">
        <v>20</v>
      </c>
      <c r="J8082" t="s">
        <v>17</v>
      </c>
      <c r="K8082" t="str">
        <f>"693314283"</f>
        <v>693314283</v>
      </c>
      <c r="L8082" t="str">
        <f>"693314283"</f>
        <v>693314283</v>
      </c>
      <c r="M8082" t="s">
        <v>84</v>
      </c>
      <c r="N8082" s="1">
        <v>43328.838194444441</v>
      </c>
      <c r="O8082" t="s">
        <v>19</v>
      </c>
    </row>
    <row r="8083" spans="1:15" x14ac:dyDescent="0.25">
      <c r="A8083" t="s">
        <v>5559</v>
      </c>
      <c r="B8083" t="s">
        <v>15</v>
      </c>
      <c r="C8083" t="s">
        <v>25</v>
      </c>
      <c r="D8083" t="s">
        <v>17</v>
      </c>
      <c r="E8083" t="s">
        <v>18</v>
      </c>
      <c r="F8083" t="s">
        <v>19</v>
      </c>
      <c r="G8083" t="s">
        <v>20</v>
      </c>
      <c r="J8083" t="s">
        <v>17</v>
      </c>
      <c r="K8083" t="str">
        <f>"2019110100041"</f>
        <v>2019110100041</v>
      </c>
      <c r="L8083" t="str">
        <f>"183314283"</f>
        <v>183314283</v>
      </c>
      <c r="M8083" t="s">
        <v>21</v>
      </c>
      <c r="N8083" s="1">
        <v>43866.744444444441</v>
      </c>
      <c r="O8083" t="s">
        <v>19</v>
      </c>
    </row>
    <row r="8084" spans="1:15" x14ac:dyDescent="0.25">
      <c r="A8084" t="s">
        <v>5560</v>
      </c>
      <c r="B8084" t="s">
        <v>15</v>
      </c>
      <c r="C8084" t="s">
        <v>25</v>
      </c>
      <c r="D8084" t="s">
        <v>17</v>
      </c>
      <c r="E8084" t="s">
        <v>18</v>
      </c>
      <c r="F8084" t="s">
        <v>19</v>
      </c>
      <c r="G8084" t="s">
        <v>20</v>
      </c>
      <c r="J8084" t="s">
        <v>17</v>
      </c>
      <c r="K8084" t="str">
        <f>"1000001003061"</f>
        <v>1000001003061</v>
      </c>
      <c r="L8084" t="str">
        <f>"763314131"</f>
        <v>763314131</v>
      </c>
      <c r="M8084" t="s">
        <v>84</v>
      </c>
      <c r="N8084" s="1">
        <v>43195.880555555559</v>
      </c>
      <c r="O8084" t="s">
        <v>19</v>
      </c>
    </row>
    <row r="8085" spans="1:15" x14ac:dyDescent="0.25">
      <c r="A8085" t="s">
        <v>5560</v>
      </c>
      <c r="B8085" t="s">
        <v>15</v>
      </c>
      <c r="C8085" t="s">
        <v>25</v>
      </c>
      <c r="D8085" t="s">
        <v>17</v>
      </c>
      <c r="E8085" t="s">
        <v>18</v>
      </c>
      <c r="F8085" t="s">
        <v>19</v>
      </c>
      <c r="G8085" t="s">
        <v>20</v>
      </c>
      <c r="J8085" t="s">
        <v>17</v>
      </c>
      <c r="K8085" t="str">
        <f>"1000001003610"</f>
        <v>1000001003610</v>
      </c>
      <c r="L8085" t="str">
        <f>"765314131"</f>
        <v>765314131</v>
      </c>
      <c r="M8085" t="s">
        <v>84</v>
      </c>
      <c r="N8085" s="1">
        <v>43267.98333333333</v>
      </c>
      <c r="O8085" t="s">
        <v>19</v>
      </c>
    </row>
    <row r="8086" spans="1:15" x14ac:dyDescent="0.25">
      <c r="A8086" t="s">
        <v>5560</v>
      </c>
      <c r="B8086" t="s">
        <v>15</v>
      </c>
      <c r="C8086" t="s">
        <v>25</v>
      </c>
      <c r="D8086" t="s">
        <v>17</v>
      </c>
      <c r="E8086" t="s">
        <v>18</v>
      </c>
      <c r="F8086" t="s">
        <v>19</v>
      </c>
      <c r="G8086" t="s">
        <v>20</v>
      </c>
      <c r="J8086" t="s">
        <v>17</v>
      </c>
      <c r="K8086" t="str">
        <f>"693314131"</f>
        <v>693314131</v>
      </c>
      <c r="L8086" t="str">
        <f>"693314131"</f>
        <v>693314131</v>
      </c>
      <c r="M8086" t="s">
        <v>84</v>
      </c>
      <c r="N8086" s="1">
        <v>43328.836111111108</v>
      </c>
      <c r="O8086" t="s">
        <v>19</v>
      </c>
    </row>
    <row r="8087" spans="1:15" x14ac:dyDescent="0.25">
      <c r="A8087" t="s">
        <v>5560</v>
      </c>
      <c r="B8087" t="s">
        <v>15</v>
      </c>
      <c r="C8087" t="s">
        <v>25</v>
      </c>
      <c r="D8087" t="s">
        <v>17</v>
      </c>
      <c r="E8087" t="s">
        <v>18</v>
      </c>
      <c r="F8087" t="s">
        <v>19</v>
      </c>
      <c r="G8087" t="s">
        <v>20</v>
      </c>
      <c r="J8087" t="s">
        <v>17</v>
      </c>
      <c r="K8087" t="str">
        <f>"683314131"</f>
        <v>683314131</v>
      </c>
      <c r="L8087" t="str">
        <f>"683314131"</f>
        <v>683314131</v>
      </c>
      <c r="M8087" t="s">
        <v>84</v>
      </c>
      <c r="N8087" s="1">
        <v>43420.621527777781</v>
      </c>
      <c r="O8087" t="s">
        <v>19</v>
      </c>
    </row>
    <row r="8088" spans="1:15" x14ac:dyDescent="0.25">
      <c r="A8088" t="s">
        <v>5561</v>
      </c>
      <c r="B8088" t="s">
        <v>15</v>
      </c>
      <c r="C8088" t="s">
        <v>25</v>
      </c>
      <c r="D8088" t="s">
        <v>17</v>
      </c>
      <c r="E8088" t="s">
        <v>18</v>
      </c>
      <c r="F8088" t="s">
        <v>19</v>
      </c>
      <c r="G8088" t="s">
        <v>20</v>
      </c>
      <c r="J8088" t="s">
        <v>17</v>
      </c>
      <c r="K8088" t="str">
        <f>"763314291"</f>
        <v>763314291</v>
      </c>
      <c r="L8088" t="str">
        <f>"763314291"</f>
        <v>763314291</v>
      </c>
      <c r="M8088" t="s">
        <v>75</v>
      </c>
      <c r="N8088" s="1">
        <v>42954.877083333333</v>
      </c>
      <c r="O8088" t="s">
        <v>19</v>
      </c>
    </row>
    <row r="8089" spans="1:15" x14ac:dyDescent="0.25">
      <c r="A8089" t="s">
        <v>5561</v>
      </c>
      <c r="B8089" t="s">
        <v>15</v>
      </c>
      <c r="C8089" t="s">
        <v>25</v>
      </c>
      <c r="D8089" t="s">
        <v>17</v>
      </c>
      <c r="E8089" t="s">
        <v>18</v>
      </c>
      <c r="F8089" t="s">
        <v>19</v>
      </c>
      <c r="G8089" t="s">
        <v>20</v>
      </c>
      <c r="J8089" t="s">
        <v>17</v>
      </c>
      <c r="K8089" t="str">
        <f>"173314291"</f>
        <v>173314291</v>
      </c>
      <c r="L8089" t="str">
        <f>"173314291"</f>
        <v>173314291</v>
      </c>
      <c r="M8089" t="s">
        <v>75</v>
      </c>
      <c r="N8089" s="1">
        <v>43096.71875</v>
      </c>
      <c r="O8089" t="s">
        <v>19</v>
      </c>
    </row>
    <row r="8090" spans="1:15" x14ac:dyDescent="0.25">
      <c r="A8090" t="s">
        <v>5562</v>
      </c>
      <c r="B8090" t="s">
        <v>15</v>
      </c>
      <c r="C8090" t="s">
        <v>25</v>
      </c>
      <c r="D8090" t="s">
        <v>17</v>
      </c>
      <c r="E8090" t="s">
        <v>18</v>
      </c>
      <c r="F8090" t="s">
        <v>19</v>
      </c>
      <c r="G8090" t="s">
        <v>20</v>
      </c>
      <c r="J8090" t="s">
        <v>17</v>
      </c>
      <c r="K8090" t="str">
        <f>"343314108"</f>
        <v>343314108</v>
      </c>
      <c r="L8090" t="str">
        <f>"343314108"</f>
        <v>343314108</v>
      </c>
      <c r="M8090" t="s">
        <v>75</v>
      </c>
      <c r="N8090" s="1">
        <v>42872.849305555559</v>
      </c>
      <c r="O8090" t="s">
        <v>19</v>
      </c>
    </row>
    <row r="8091" spans="1:15" x14ac:dyDescent="0.25">
      <c r="A8091" t="s">
        <v>5562</v>
      </c>
      <c r="B8091" t="s">
        <v>15</v>
      </c>
      <c r="C8091" t="s">
        <v>25</v>
      </c>
      <c r="D8091" t="s">
        <v>17</v>
      </c>
      <c r="E8091" t="s">
        <v>18</v>
      </c>
      <c r="F8091" t="s">
        <v>19</v>
      </c>
      <c r="G8091" t="s">
        <v>20</v>
      </c>
      <c r="J8091" t="s">
        <v>17</v>
      </c>
      <c r="K8091" t="str">
        <f>"345314108"</f>
        <v>345314108</v>
      </c>
      <c r="L8091" t="str">
        <f>"345314108"</f>
        <v>345314108</v>
      </c>
      <c r="M8091" t="s">
        <v>75</v>
      </c>
      <c r="N8091" s="1">
        <v>42872.849305555559</v>
      </c>
      <c r="O8091" t="s">
        <v>19</v>
      </c>
    </row>
    <row r="8092" spans="1:15" x14ac:dyDescent="0.25">
      <c r="A8092" t="s">
        <v>5563</v>
      </c>
      <c r="B8092" t="s">
        <v>15</v>
      </c>
      <c r="C8092" t="s">
        <v>25</v>
      </c>
      <c r="D8092" t="s">
        <v>17</v>
      </c>
      <c r="E8092" t="s">
        <v>18</v>
      </c>
      <c r="F8092" t="s">
        <v>19</v>
      </c>
      <c r="G8092" t="s">
        <v>20</v>
      </c>
      <c r="J8092" t="s">
        <v>17</v>
      </c>
      <c r="K8092" t="str">
        <f>"1000001002781"</f>
        <v>1000001002781</v>
      </c>
      <c r="L8092" t="str">
        <f>"763314130"</f>
        <v>763314130</v>
      </c>
      <c r="M8092" t="s">
        <v>84</v>
      </c>
      <c r="N8092" s="1">
        <v>43033.84652777778</v>
      </c>
      <c r="O8092" t="s">
        <v>19</v>
      </c>
    </row>
    <row r="8093" spans="1:15" x14ac:dyDescent="0.25">
      <c r="A8093" t="s">
        <v>5564</v>
      </c>
      <c r="B8093" t="s">
        <v>15</v>
      </c>
      <c r="C8093" t="s">
        <v>25</v>
      </c>
      <c r="D8093" t="s">
        <v>17</v>
      </c>
      <c r="E8093" t="s">
        <v>18</v>
      </c>
      <c r="F8093" t="s">
        <v>19</v>
      </c>
      <c r="G8093" t="s">
        <v>20</v>
      </c>
      <c r="J8093" t="s">
        <v>17</v>
      </c>
      <c r="K8093" t="str">
        <f>"763314108"</f>
        <v>763314108</v>
      </c>
      <c r="L8093" t="str">
        <f>"763314108"</f>
        <v>763314108</v>
      </c>
      <c r="M8093" t="s">
        <v>75</v>
      </c>
      <c r="N8093" s="1">
        <v>42872.849305555559</v>
      </c>
      <c r="O8093" t="s">
        <v>19</v>
      </c>
    </row>
    <row r="8094" spans="1:15" x14ac:dyDescent="0.25">
      <c r="A8094" t="s">
        <v>5564</v>
      </c>
      <c r="B8094" t="s">
        <v>15</v>
      </c>
      <c r="C8094" t="s">
        <v>25</v>
      </c>
      <c r="D8094" t="s">
        <v>17</v>
      </c>
      <c r="E8094" t="s">
        <v>18</v>
      </c>
      <c r="F8094" t="s">
        <v>19</v>
      </c>
      <c r="G8094" t="s">
        <v>20</v>
      </c>
      <c r="J8094" t="s">
        <v>17</v>
      </c>
      <c r="K8094" t="str">
        <f>"765314108"</f>
        <v>765314108</v>
      </c>
      <c r="L8094" t="str">
        <f>"765314108"</f>
        <v>765314108</v>
      </c>
      <c r="M8094" t="s">
        <v>75</v>
      </c>
      <c r="N8094" s="1">
        <v>42872.849305555559</v>
      </c>
      <c r="O8094" t="s">
        <v>19</v>
      </c>
    </row>
    <row r="8095" spans="1:15" x14ac:dyDescent="0.25">
      <c r="A8095" t="s">
        <v>5565</v>
      </c>
      <c r="B8095" t="s">
        <v>15</v>
      </c>
      <c r="C8095" t="s">
        <v>25</v>
      </c>
      <c r="D8095" t="s">
        <v>17</v>
      </c>
      <c r="E8095" t="s">
        <v>18</v>
      </c>
      <c r="F8095" t="s">
        <v>19</v>
      </c>
      <c r="G8095" t="s">
        <v>20</v>
      </c>
      <c r="J8095" t="s">
        <v>17</v>
      </c>
      <c r="K8095" t="str">
        <f>"345314194"</f>
        <v>345314194</v>
      </c>
      <c r="L8095" t="str">
        <f>"345314194"</f>
        <v>345314194</v>
      </c>
      <c r="M8095" t="s">
        <v>75</v>
      </c>
      <c r="N8095" s="1">
        <v>42872.849305555559</v>
      </c>
      <c r="O8095" t="s">
        <v>19</v>
      </c>
    </row>
    <row r="8096" spans="1:15" x14ac:dyDescent="0.25">
      <c r="A8096" t="s">
        <v>5565</v>
      </c>
      <c r="B8096" t="s">
        <v>15</v>
      </c>
      <c r="C8096" t="s">
        <v>25</v>
      </c>
      <c r="D8096" t="s">
        <v>17</v>
      </c>
      <c r="E8096" t="s">
        <v>18</v>
      </c>
      <c r="F8096" t="s">
        <v>19</v>
      </c>
      <c r="G8096" t="s">
        <v>20</v>
      </c>
      <c r="J8096" t="s">
        <v>17</v>
      </c>
      <c r="K8096" t="str">
        <f>"765314194"</f>
        <v>765314194</v>
      </c>
      <c r="L8096" t="str">
        <f>"765314194"</f>
        <v>765314194</v>
      </c>
      <c r="M8096" t="s">
        <v>75</v>
      </c>
      <c r="N8096" s="1">
        <v>42872.849305555559</v>
      </c>
      <c r="O8096" t="s">
        <v>19</v>
      </c>
    </row>
    <row r="8097" spans="1:15" x14ac:dyDescent="0.25">
      <c r="A8097" t="s">
        <v>5565</v>
      </c>
      <c r="B8097" t="s">
        <v>15</v>
      </c>
      <c r="C8097" t="s">
        <v>25</v>
      </c>
      <c r="D8097" t="s">
        <v>17</v>
      </c>
      <c r="E8097" t="s">
        <v>18</v>
      </c>
      <c r="F8097" t="s">
        <v>19</v>
      </c>
      <c r="G8097" t="s">
        <v>20</v>
      </c>
      <c r="J8097" t="s">
        <v>17</v>
      </c>
      <c r="K8097" t="str">
        <f>"173314108"</f>
        <v>173314108</v>
      </c>
      <c r="L8097" t="str">
        <f>"173314108"</f>
        <v>173314108</v>
      </c>
      <c r="M8097" t="s">
        <v>75</v>
      </c>
      <c r="N8097" s="1">
        <v>43150.629166666666</v>
      </c>
      <c r="O8097" t="s">
        <v>19</v>
      </c>
    </row>
    <row r="8098" spans="1:15" x14ac:dyDescent="0.25">
      <c r="A8098" t="s">
        <v>5566</v>
      </c>
      <c r="B8098" t="s">
        <v>15</v>
      </c>
      <c r="C8098" t="s">
        <v>25</v>
      </c>
      <c r="D8098" t="s">
        <v>17</v>
      </c>
      <c r="E8098" t="s">
        <v>18</v>
      </c>
      <c r="F8098" t="s">
        <v>19</v>
      </c>
      <c r="G8098" t="s">
        <v>20</v>
      </c>
      <c r="J8098" t="s">
        <v>18</v>
      </c>
      <c r="K8098" t="str">
        <f>"1000001004006"</f>
        <v>1000001004006</v>
      </c>
      <c r="L8098" t="str">
        <f>"763314255"</f>
        <v>763314255</v>
      </c>
      <c r="M8098" t="s">
        <v>84</v>
      </c>
      <c r="N8098" s="1">
        <v>43320.806250000001</v>
      </c>
      <c r="O8098" t="s">
        <v>19</v>
      </c>
    </row>
    <row r="8099" spans="1:15" x14ac:dyDescent="0.25">
      <c r="A8099" t="s">
        <v>5566</v>
      </c>
      <c r="B8099" t="s">
        <v>15</v>
      </c>
      <c r="C8099" t="s">
        <v>25</v>
      </c>
      <c r="D8099" t="s">
        <v>17</v>
      </c>
      <c r="E8099" t="s">
        <v>18</v>
      </c>
      <c r="F8099" t="s">
        <v>19</v>
      </c>
      <c r="G8099" t="s">
        <v>20</v>
      </c>
      <c r="J8099" t="s">
        <v>17</v>
      </c>
      <c r="K8099" t="str">
        <f>"693314255"</f>
        <v>693314255</v>
      </c>
      <c r="L8099" t="str">
        <f>"693314255"</f>
        <v>693314255</v>
      </c>
      <c r="M8099" t="s">
        <v>84</v>
      </c>
      <c r="N8099" s="1">
        <v>43328.838194444441</v>
      </c>
      <c r="O8099" t="s">
        <v>19</v>
      </c>
    </row>
    <row r="8100" spans="1:15" x14ac:dyDescent="0.25">
      <c r="A8100" t="s">
        <v>5566</v>
      </c>
      <c r="B8100" t="s">
        <v>15</v>
      </c>
      <c r="C8100" t="s">
        <v>25</v>
      </c>
      <c r="D8100" t="s">
        <v>17</v>
      </c>
      <c r="E8100" t="s">
        <v>18</v>
      </c>
      <c r="F8100" t="s">
        <v>19</v>
      </c>
      <c r="G8100" t="s">
        <v>20</v>
      </c>
      <c r="J8100" t="s">
        <v>17</v>
      </c>
      <c r="K8100" t="str">
        <f>"765314255"</f>
        <v>765314255</v>
      </c>
      <c r="L8100" t="str">
        <f>"765314255"</f>
        <v>765314255</v>
      </c>
      <c r="M8100" t="s">
        <v>84</v>
      </c>
      <c r="N8100" s="1">
        <v>43335.763888888891</v>
      </c>
      <c r="O8100" t="s">
        <v>19</v>
      </c>
    </row>
    <row r="8101" spans="1:15" x14ac:dyDescent="0.25">
      <c r="A8101" t="s">
        <v>5566</v>
      </c>
      <c r="B8101" t="s">
        <v>15</v>
      </c>
      <c r="C8101" t="s">
        <v>25</v>
      </c>
      <c r="D8101" t="s">
        <v>17</v>
      </c>
      <c r="E8101" t="s">
        <v>18</v>
      </c>
      <c r="F8101" t="s">
        <v>19</v>
      </c>
      <c r="G8101" t="s">
        <v>20</v>
      </c>
      <c r="J8101" t="s">
        <v>17</v>
      </c>
      <c r="K8101" t="str">
        <f>"2018123800078"</f>
        <v>2018123800078</v>
      </c>
      <c r="L8101" t="str">
        <f>"183314255"</f>
        <v>183314255</v>
      </c>
      <c r="M8101" t="s">
        <v>21</v>
      </c>
      <c r="N8101" s="1">
        <v>43595.917361111111</v>
      </c>
      <c r="O8101" t="s">
        <v>19</v>
      </c>
    </row>
    <row r="8102" spans="1:15" x14ac:dyDescent="0.25">
      <c r="A8102" t="s">
        <v>5566</v>
      </c>
      <c r="B8102" t="s">
        <v>15</v>
      </c>
      <c r="C8102" t="s">
        <v>25</v>
      </c>
      <c r="D8102" t="s">
        <v>17</v>
      </c>
      <c r="E8102" t="s">
        <v>18</v>
      </c>
      <c r="F8102" t="s">
        <v>19</v>
      </c>
      <c r="G8102" t="s">
        <v>20</v>
      </c>
      <c r="J8102" t="s">
        <v>17</v>
      </c>
      <c r="K8102" t="str">
        <f>"343314255"</f>
        <v>343314255</v>
      </c>
      <c r="L8102" t="str">
        <f>"343314255"</f>
        <v>343314255</v>
      </c>
      <c r="M8102" t="s">
        <v>21</v>
      </c>
      <c r="N8102" s="1">
        <v>43668.681944444441</v>
      </c>
      <c r="O8102" t="s">
        <v>19</v>
      </c>
    </row>
    <row r="8103" spans="1:15" x14ac:dyDescent="0.25">
      <c r="A8103" t="s">
        <v>5566</v>
      </c>
      <c r="B8103" t="s">
        <v>15</v>
      </c>
      <c r="C8103" t="s">
        <v>25</v>
      </c>
      <c r="D8103" t="s">
        <v>17</v>
      </c>
      <c r="E8103" t="s">
        <v>18</v>
      </c>
      <c r="F8103" t="s">
        <v>19</v>
      </c>
      <c r="G8103" t="s">
        <v>20</v>
      </c>
      <c r="J8103" t="s">
        <v>17</v>
      </c>
      <c r="K8103" t="str">
        <f>"1578150762026"</f>
        <v>1578150762026</v>
      </c>
      <c r="L8103" t="str">
        <f>"61330587"</f>
        <v>61330587</v>
      </c>
      <c r="M8103" t="s">
        <v>21</v>
      </c>
      <c r="N8103" s="1">
        <v>43834.633333333331</v>
      </c>
      <c r="O8103" t="s">
        <v>19</v>
      </c>
    </row>
    <row r="8104" spans="1:15" x14ac:dyDescent="0.25">
      <c r="A8104" t="s">
        <v>5567</v>
      </c>
      <c r="B8104" t="s">
        <v>15</v>
      </c>
      <c r="C8104" t="s">
        <v>25</v>
      </c>
      <c r="D8104" t="s">
        <v>17</v>
      </c>
      <c r="E8104" t="s">
        <v>18</v>
      </c>
      <c r="F8104" t="s">
        <v>19</v>
      </c>
      <c r="G8104" t="s">
        <v>20</v>
      </c>
      <c r="J8104" t="s">
        <v>17</v>
      </c>
      <c r="K8104" t="str">
        <f>"683314268"</f>
        <v>683314268</v>
      </c>
      <c r="L8104" t="str">
        <f>"683314268"</f>
        <v>683314268</v>
      </c>
      <c r="M8104" t="s">
        <v>84</v>
      </c>
      <c r="N8104" s="1">
        <v>43545.780555555553</v>
      </c>
      <c r="O8104" t="s">
        <v>19</v>
      </c>
    </row>
    <row r="8105" spans="1:15" x14ac:dyDescent="0.25">
      <c r="A8105" t="s">
        <v>5568</v>
      </c>
      <c r="B8105" t="s">
        <v>15</v>
      </c>
      <c r="C8105" t="s">
        <v>25</v>
      </c>
      <c r="D8105" t="s">
        <v>17</v>
      </c>
      <c r="E8105" t="s">
        <v>18</v>
      </c>
      <c r="F8105" t="s">
        <v>19</v>
      </c>
      <c r="G8105" t="s">
        <v>20</v>
      </c>
      <c r="J8105" t="s">
        <v>17</v>
      </c>
      <c r="K8105" t="str">
        <f>"763314263"</f>
        <v>763314263</v>
      </c>
      <c r="L8105" t="str">
        <f>"763314263"</f>
        <v>763314263</v>
      </c>
      <c r="M8105" t="s">
        <v>84</v>
      </c>
      <c r="N8105" s="1">
        <v>43451.6</v>
      </c>
      <c r="O8105" t="s">
        <v>19</v>
      </c>
    </row>
    <row r="8106" spans="1:15" x14ac:dyDescent="0.25">
      <c r="A8106" t="s">
        <v>5568</v>
      </c>
      <c r="B8106" t="s">
        <v>15</v>
      </c>
      <c r="C8106" t="s">
        <v>25</v>
      </c>
      <c r="D8106" t="s">
        <v>17</v>
      </c>
      <c r="E8106" t="s">
        <v>18</v>
      </c>
      <c r="F8106" t="s">
        <v>19</v>
      </c>
      <c r="G8106" t="s">
        <v>20</v>
      </c>
      <c r="J8106" t="s">
        <v>17</v>
      </c>
      <c r="K8106" t="str">
        <f>"343314263"</f>
        <v>343314263</v>
      </c>
      <c r="L8106" t="str">
        <f>"343314263"</f>
        <v>343314263</v>
      </c>
      <c r="M8106" t="s">
        <v>21</v>
      </c>
      <c r="N8106" s="1">
        <v>43798.904861111114</v>
      </c>
      <c r="O8106" t="s">
        <v>19</v>
      </c>
    </row>
    <row r="8107" spans="1:15" x14ac:dyDescent="0.25">
      <c r="A8107" t="s">
        <v>5569</v>
      </c>
      <c r="B8107" t="s">
        <v>15</v>
      </c>
      <c r="C8107" t="s">
        <v>25</v>
      </c>
      <c r="D8107" t="s">
        <v>17</v>
      </c>
      <c r="E8107" t="s">
        <v>18</v>
      </c>
      <c r="F8107" t="s">
        <v>19</v>
      </c>
      <c r="G8107" t="s">
        <v>20</v>
      </c>
      <c r="J8107" t="s">
        <v>17</v>
      </c>
      <c r="K8107" t="str">
        <f>"17531445"</f>
        <v>17531445</v>
      </c>
      <c r="L8107" t="str">
        <f>"17531445"</f>
        <v>17531445</v>
      </c>
      <c r="M8107" t="s">
        <v>75</v>
      </c>
      <c r="N8107" s="1">
        <v>42872.839583333334</v>
      </c>
      <c r="O8107" t="s">
        <v>19</v>
      </c>
    </row>
    <row r="8108" spans="1:15" x14ac:dyDescent="0.25">
      <c r="A8108" t="s">
        <v>5569</v>
      </c>
      <c r="B8108" t="s">
        <v>15</v>
      </c>
      <c r="C8108" t="s">
        <v>25</v>
      </c>
      <c r="D8108" t="s">
        <v>17</v>
      </c>
      <c r="E8108" t="s">
        <v>18</v>
      </c>
      <c r="F8108" t="s">
        <v>19</v>
      </c>
      <c r="G8108" t="s">
        <v>20</v>
      </c>
      <c r="J8108" t="s">
        <v>17</v>
      </c>
      <c r="K8108" t="str">
        <f>"34531045"</f>
        <v>34531045</v>
      </c>
      <c r="L8108" t="str">
        <f>"34531045"</f>
        <v>34531045</v>
      </c>
      <c r="M8108" t="s">
        <v>75</v>
      </c>
      <c r="N8108" s="1">
        <v>42872.839583333334</v>
      </c>
      <c r="O8108" t="s">
        <v>19</v>
      </c>
    </row>
    <row r="8109" spans="1:15" x14ac:dyDescent="0.25">
      <c r="A8109" t="s">
        <v>5569</v>
      </c>
      <c r="B8109" t="s">
        <v>15</v>
      </c>
      <c r="C8109" t="s">
        <v>25</v>
      </c>
      <c r="D8109" t="s">
        <v>17</v>
      </c>
      <c r="E8109" t="s">
        <v>18</v>
      </c>
      <c r="F8109" t="s">
        <v>19</v>
      </c>
      <c r="G8109" t="s">
        <v>20</v>
      </c>
      <c r="J8109" t="s">
        <v>17</v>
      </c>
      <c r="K8109" t="str">
        <f>"34331415"</f>
        <v>34331415</v>
      </c>
      <c r="L8109" t="str">
        <f>"34331415"</f>
        <v>34331415</v>
      </c>
      <c r="M8109" t="s">
        <v>75</v>
      </c>
      <c r="N8109" s="1">
        <v>42872.839583333334</v>
      </c>
      <c r="O8109" t="s">
        <v>19</v>
      </c>
    </row>
    <row r="8110" spans="1:15" x14ac:dyDescent="0.25">
      <c r="A8110" t="s">
        <v>5569</v>
      </c>
      <c r="B8110" t="s">
        <v>15</v>
      </c>
      <c r="C8110" t="s">
        <v>25</v>
      </c>
      <c r="D8110" t="s">
        <v>17</v>
      </c>
      <c r="E8110" t="s">
        <v>18</v>
      </c>
      <c r="F8110" t="s">
        <v>19</v>
      </c>
      <c r="G8110" t="s">
        <v>20</v>
      </c>
      <c r="J8110" t="s">
        <v>17</v>
      </c>
      <c r="K8110" t="str">
        <f>"34331445"</f>
        <v>34331445</v>
      </c>
      <c r="L8110" t="str">
        <f>"34331445"</f>
        <v>34331445</v>
      </c>
      <c r="M8110" t="s">
        <v>75</v>
      </c>
      <c r="N8110" s="1">
        <v>42872.839583333334</v>
      </c>
      <c r="O8110" t="s">
        <v>19</v>
      </c>
    </row>
    <row r="8111" spans="1:15" x14ac:dyDescent="0.25">
      <c r="A8111" t="s">
        <v>5569</v>
      </c>
      <c r="B8111" t="s">
        <v>15</v>
      </c>
      <c r="C8111" t="s">
        <v>25</v>
      </c>
      <c r="D8111" t="s">
        <v>17</v>
      </c>
      <c r="E8111" t="s">
        <v>18</v>
      </c>
      <c r="F8111" t="s">
        <v>19</v>
      </c>
      <c r="G8111" t="s">
        <v>20</v>
      </c>
      <c r="J8111" t="s">
        <v>17</v>
      </c>
      <c r="K8111" t="str">
        <f>"34531445"</f>
        <v>34531445</v>
      </c>
      <c r="L8111" t="str">
        <f>"34531445"</f>
        <v>34531445</v>
      </c>
      <c r="M8111" t="s">
        <v>75</v>
      </c>
      <c r="N8111" s="1">
        <v>42872.839583333334</v>
      </c>
      <c r="O8111" t="s">
        <v>19</v>
      </c>
    </row>
    <row r="8112" spans="1:15" x14ac:dyDescent="0.25">
      <c r="A8112" t="s">
        <v>5569</v>
      </c>
      <c r="B8112" t="s">
        <v>15</v>
      </c>
      <c r="C8112" t="s">
        <v>25</v>
      </c>
      <c r="D8112" t="s">
        <v>17</v>
      </c>
      <c r="E8112" t="s">
        <v>18</v>
      </c>
      <c r="F8112" t="s">
        <v>19</v>
      </c>
      <c r="G8112" t="s">
        <v>20</v>
      </c>
      <c r="J8112" t="s">
        <v>17</v>
      </c>
      <c r="K8112" t="str">
        <f>"68531445"</f>
        <v>68531445</v>
      </c>
      <c r="L8112" t="str">
        <f>"68531445"</f>
        <v>68531445</v>
      </c>
      <c r="M8112" t="s">
        <v>75</v>
      </c>
      <c r="N8112" s="1">
        <v>42872.847222222219</v>
      </c>
      <c r="O8112" t="s">
        <v>19</v>
      </c>
    </row>
    <row r="8113" spans="1:15" x14ac:dyDescent="0.25">
      <c r="A8113" t="s">
        <v>5569</v>
      </c>
      <c r="B8113" t="s">
        <v>15</v>
      </c>
      <c r="C8113" t="s">
        <v>25</v>
      </c>
      <c r="D8113" t="s">
        <v>17</v>
      </c>
      <c r="E8113" t="s">
        <v>18</v>
      </c>
      <c r="F8113" t="s">
        <v>19</v>
      </c>
      <c r="G8113" t="s">
        <v>20</v>
      </c>
      <c r="J8113" t="s">
        <v>17</v>
      </c>
      <c r="K8113" t="str">
        <f>"76531445"</f>
        <v>76531445</v>
      </c>
      <c r="L8113" t="str">
        <f>"76531445"</f>
        <v>76531445</v>
      </c>
      <c r="M8113" t="s">
        <v>75</v>
      </c>
      <c r="N8113" s="1">
        <v>42872.847222222219</v>
      </c>
      <c r="O8113" t="s">
        <v>19</v>
      </c>
    </row>
    <row r="8114" spans="1:15" x14ac:dyDescent="0.25">
      <c r="A8114" t="s">
        <v>5569</v>
      </c>
      <c r="B8114" t="s">
        <v>15</v>
      </c>
      <c r="C8114" t="s">
        <v>25</v>
      </c>
      <c r="D8114" t="s">
        <v>17</v>
      </c>
      <c r="E8114" t="s">
        <v>18</v>
      </c>
      <c r="F8114" t="s">
        <v>19</v>
      </c>
      <c r="G8114" t="s">
        <v>20</v>
      </c>
      <c r="J8114" t="s">
        <v>17</v>
      </c>
      <c r="K8114" t="str">
        <f>"76331445"</f>
        <v>76331445</v>
      </c>
      <c r="L8114" t="str">
        <f>"76331445"</f>
        <v>76331445</v>
      </c>
      <c r="M8114" t="s">
        <v>75</v>
      </c>
      <c r="N8114" s="1">
        <v>42872.847222222219</v>
      </c>
      <c r="O8114" t="s">
        <v>19</v>
      </c>
    </row>
    <row r="8115" spans="1:15" x14ac:dyDescent="0.25">
      <c r="A8115" t="s">
        <v>5569</v>
      </c>
      <c r="B8115" t="s">
        <v>15</v>
      </c>
      <c r="C8115" t="s">
        <v>25</v>
      </c>
      <c r="D8115" t="s">
        <v>17</v>
      </c>
      <c r="E8115" t="s">
        <v>18</v>
      </c>
      <c r="F8115" t="s">
        <v>19</v>
      </c>
      <c r="G8115" t="s">
        <v>20</v>
      </c>
      <c r="J8115" t="s">
        <v>17</v>
      </c>
      <c r="K8115" t="str">
        <f>"86331445"</f>
        <v>86331445</v>
      </c>
      <c r="L8115" t="str">
        <f>"86331445"</f>
        <v>86331445</v>
      </c>
      <c r="M8115" t="s">
        <v>75</v>
      </c>
      <c r="N8115" s="1">
        <v>42872.847222222219</v>
      </c>
      <c r="O8115" t="s">
        <v>19</v>
      </c>
    </row>
    <row r="8116" spans="1:15" x14ac:dyDescent="0.25">
      <c r="A8116" t="s">
        <v>5570</v>
      </c>
      <c r="B8116" t="s">
        <v>15</v>
      </c>
      <c r="C8116" t="s">
        <v>25</v>
      </c>
      <c r="D8116" t="s">
        <v>17</v>
      </c>
      <c r="E8116" t="s">
        <v>18</v>
      </c>
      <c r="F8116" t="s">
        <v>19</v>
      </c>
      <c r="G8116" t="s">
        <v>20</v>
      </c>
      <c r="J8116" t="s">
        <v>17</v>
      </c>
      <c r="K8116" t="str">
        <f>"343314270"</f>
        <v>343314270</v>
      </c>
      <c r="L8116" t="str">
        <f>"343314270"</f>
        <v>343314270</v>
      </c>
      <c r="M8116" t="s">
        <v>75</v>
      </c>
      <c r="N8116" s="1">
        <v>42872.849305555559</v>
      </c>
      <c r="O8116" t="s">
        <v>19</v>
      </c>
    </row>
    <row r="8117" spans="1:15" x14ac:dyDescent="0.25">
      <c r="A8117" t="s">
        <v>5570</v>
      </c>
      <c r="B8117" t="s">
        <v>15</v>
      </c>
      <c r="C8117" t="s">
        <v>25</v>
      </c>
      <c r="D8117" t="s">
        <v>17</v>
      </c>
      <c r="E8117" t="s">
        <v>18</v>
      </c>
      <c r="F8117" t="s">
        <v>19</v>
      </c>
      <c r="G8117" t="s">
        <v>20</v>
      </c>
      <c r="J8117" t="s">
        <v>17</v>
      </c>
      <c r="K8117" t="str">
        <f>"863314270"</f>
        <v>863314270</v>
      </c>
      <c r="L8117" t="str">
        <f>"863314270"</f>
        <v>863314270</v>
      </c>
      <c r="M8117" t="s">
        <v>75</v>
      </c>
      <c r="N8117" s="1">
        <v>42872.849305555559</v>
      </c>
      <c r="O8117" t="s">
        <v>19</v>
      </c>
    </row>
    <row r="8118" spans="1:15" x14ac:dyDescent="0.25">
      <c r="A8118" t="s">
        <v>5570</v>
      </c>
      <c r="B8118" t="s">
        <v>15</v>
      </c>
      <c r="C8118" t="s">
        <v>25</v>
      </c>
      <c r="D8118" t="s">
        <v>17</v>
      </c>
      <c r="E8118" t="s">
        <v>18</v>
      </c>
      <c r="F8118" t="s">
        <v>19</v>
      </c>
      <c r="G8118" t="s">
        <v>20</v>
      </c>
      <c r="J8118" t="s">
        <v>17</v>
      </c>
      <c r="K8118" t="str">
        <f>"763314270"</f>
        <v>763314270</v>
      </c>
      <c r="L8118" t="str">
        <f>"763314270"</f>
        <v>763314270</v>
      </c>
      <c r="M8118" t="s">
        <v>75</v>
      </c>
      <c r="N8118" s="1">
        <v>42872.849305555559</v>
      </c>
      <c r="O8118" t="s">
        <v>19</v>
      </c>
    </row>
    <row r="8119" spans="1:15" x14ac:dyDescent="0.25">
      <c r="A8119" t="s">
        <v>5570</v>
      </c>
      <c r="B8119" t="s">
        <v>15</v>
      </c>
      <c r="C8119" t="s">
        <v>25</v>
      </c>
      <c r="D8119" t="s">
        <v>17</v>
      </c>
      <c r="E8119" t="s">
        <v>18</v>
      </c>
      <c r="F8119" t="s">
        <v>19</v>
      </c>
      <c r="G8119" t="s">
        <v>20</v>
      </c>
      <c r="J8119" t="s">
        <v>17</v>
      </c>
      <c r="K8119" t="str">
        <f>"765314270"</f>
        <v>765314270</v>
      </c>
      <c r="L8119" t="str">
        <f>"765314270"</f>
        <v>765314270</v>
      </c>
      <c r="M8119" t="s">
        <v>75</v>
      </c>
      <c r="N8119" s="1">
        <v>42872.849305555559</v>
      </c>
      <c r="O8119" t="s">
        <v>19</v>
      </c>
    </row>
    <row r="8120" spans="1:15" x14ac:dyDescent="0.25">
      <c r="A8120" t="s">
        <v>5570</v>
      </c>
      <c r="B8120" t="s">
        <v>15</v>
      </c>
      <c r="C8120" t="s">
        <v>25</v>
      </c>
      <c r="D8120" t="s">
        <v>17</v>
      </c>
      <c r="E8120" t="s">
        <v>18</v>
      </c>
      <c r="F8120" t="s">
        <v>19</v>
      </c>
      <c r="G8120" t="s">
        <v>20</v>
      </c>
      <c r="J8120" t="s">
        <v>17</v>
      </c>
      <c r="K8120" t="str">
        <f>"173314270"</f>
        <v>173314270</v>
      </c>
      <c r="L8120" t="str">
        <f>"173314270"</f>
        <v>173314270</v>
      </c>
      <c r="M8120" t="s">
        <v>75</v>
      </c>
      <c r="N8120" s="1">
        <v>43131.934027777781</v>
      </c>
      <c r="O8120" t="s">
        <v>19</v>
      </c>
    </row>
    <row r="8121" spans="1:15" x14ac:dyDescent="0.25">
      <c r="A8121" t="s">
        <v>5571</v>
      </c>
      <c r="B8121" t="s">
        <v>15</v>
      </c>
      <c r="C8121" t="s">
        <v>25</v>
      </c>
      <c r="D8121" t="s">
        <v>17</v>
      </c>
      <c r="E8121" t="s">
        <v>18</v>
      </c>
      <c r="F8121" t="s">
        <v>19</v>
      </c>
      <c r="G8121" t="s">
        <v>20</v>
      </c>
      <c r="J8121" t="s">
        <v>17</v>
      </c>
      <c r="K8121" t="str">
        <f>"173314271"</f>
        <v>173314271</v>
      </c>
      <c r="L8121" t="str">
        <f>"173314271"</f>
        <v>173314271</v>
      </c>
      <c r="M8121" t="s">
        <v>75</v>
      </c>
      <c r="N8121" s="1">
        <v>43131.923611111109</v>
      </c>
      <c r="O8121" t="s">
        <v>19</v>
      </c>
    </row>
    <row r="8122" spans="1:15" x14ac:dyDescent="0.25">
      <c r="A8122" t="s">
        <v>5572</v>
      </c>
      <c r="B8122" t="s">
        <v>15</v>
      </c>
      <c r="C8122" t="s">
        <v>25</v>
      </c>
      <c r="D8122" t="s">
        <v>17</v>
      </c>
      <c r="E8122" t="s">
        <v>18</v>
      </c>
      <c r="F8122" t="s">
        <v>19</v>
      </c>
      <c r="G8122" t="s">
        <v>20</v>
      </c>
      <c r="J8122" t="s">
        <v>17</v>
      </c>
      <c r="K8122" t="str">
        <f>"1000001001814"</f>
        <v>1000001001814</v>
      </c>
      <c r="L8122" t="str">
        <f>"763314128"</f>
        <v>763314128</v>
      </c>
      <c r="M8122" t="s">
        <v>84</v>
      </c>
      <c r="N8122" s="1">
        <v>42985.95416666667</v>
      </c>
      <c r="O8122" t="s">
        <v>19</v>
      </c>
    </row>
    <row r="8123" spans="1:15" x14ac:dyDescent="0.25">
      <c r="A8123" t="s">
        <v>5573</v>
      </c>
      <c r="B8123" t="s">
        <v>15</v>
      </c>
      <c r="C8123" t="s">
        <v>25</v>
      </c>
      <c r="D8123" t="s">
        <v>17</v>
      </c>
      <c r="E8123" t="s">
        <v>18</v>
      </c>
      <c r="F8123" t="s">
        <v>19</v>
      </c>
      <c r="G8123" t="s">
        <v>20</v>
      </c>
      <c r="J8123" t="s">
        <v>17</v>
      </c>
      <c r="K8123" t="str">
        <f>"343314126"</f>
        <v>343314126</v>
      </c>
      <c r="L8123" t="str">
        <f>"343314126"</f>
        <v>343314126</v>
      </c>
      <c r="M8123" t="s">
        <v>75</v>
      </c>
      <c r="N8123" s="1">
        <v>42872.849305555559</v>
      </c>
      <c r="O8123" t="s">
        <v>19</v>
      </c>
    </row>
    <row r="8124" spans="1:15" x14ac:dyDescent="0.25">
      <c r="A8124" t="s">
        <v>5573</v>
      </c>
      <c r="B8124" t="s">
        <v>15</v>
      </c>
      <c r="C8124" t="s">
        <v>25</v>
      </c>
      <c r="D8124" t="s">
        <v>17</v>
      </c>
      <c r="E8124" t="s">
        <v>18</v>
      </c>
      <c r="F8124" t="s">
        <v>19</v>
      </c>
      <c r="G8124" t="s">
        <v>20</v>
      </c>
      <c r="J8124" t="s">
        <v>17</v>
      </c>
      <c r="K8124" t="str">
        <f>"765314126"</f>
        <v>765314126</v>
      </c>
      <c r="L8124" t="str">
        <f>"765314126"</f>
        <v>765314126</v>
      </c>
      <c r="M8124" t="s">
        <v>75</v>
      </c>
      <c r="N8124" s="1">
        <v>42872.849305555559</v>
      </c>
      <c r="O8124" t="s">
        <v>19</v>
      </c>
    </row>
    <row r="8125" spans="1:15" x14ac:dyDescent="0.25">
      <c r="A8125" t="s">
        <v>5573</v>
      </c>
      <c r="B8125" t="s">
        <v>15</v>
      </c>
      <c r="C8125" t="s">
        <v>25</v>
      </c>
      <c r="D8125" t="s">
        <v>17</v>
      </c>
      <c r="E8125" t="s">
        <v>18</v>
      </c>
      <c r="F8125" t="s">
        <v>19</v>
      </c>
      <c r="G8125" t="s">
        <v>20</v>
      </c>
      <c r="J8125" t="s">
        <v>17</v>
      </c>
      <c r="K8125" t="str">
        <f>"1000001002378"</f>
        <v>1000001002378</v>
      </c>
      <c r="L8125" t="str">
        <f>"763314126"</f>
        <v>763314126</v>
      </c>
      <c r="M8125" t="s">
        <v>84</v>
      </c>
      <c r="N8125" s="1">
        <v>42872.849305555559</v>
      </c>
      <c r="O8125" t="s">
        <v>19</v>
      </c>
    </row>
    <row r="8126" spans="1:15" x14ac:dyDescent="0.25">
      <c r="A8126" t="s">
        <v>5573</v>
      </c>
      <c r="B8126" t="s">
        <v>15</v>
      </c>
      <c r="C8126" t="s">
        <v>25</v>
      </c>
      <c r="D8126" t="s">
        <v>17</v>
      </c>
      <c r="E8126" t="s">
        <v>18</v>
      </c>
      <c r="F8126" t="s">
        <v>19</v>
      </c>
      <c r="G8126" t="s">
        <v>20</v>
      </c>
      <c r="J8126" t="s">
        <v>17</v>
      </c>
      <c r="K8126" t="str">
        <f>"863314126"</f>
        <v>863314126</v>
      </c>
      <c r="L8126" t="str">
        <f>"863314126"</f>
        <v>863314126</v>
      </c>
      <c r="M8126" t="s">
        <v>75</v>
      </c>
      <c r="N8126" s="1">
        <v>42872.849305555559</v>
      </c>
      <c r="O8126" t="s">
        <v>19</v>
      </c>
    </row>
    <row r="8127" spans="1:15" x14ac:dyDescent="0.25">
      <c r="A8127" t="s">
        <v>5573</v>
      </c>
      <c r="B8127" t="s">
        <v>15</v>
      </c>
      <c r="C8127" t="s">
        <v>25</v>
      </c>
      <c r="D8127" t="s">
        <v>17</v>
      </c>
      <c r="E8127" t="s">
        <v>18</v>
      </c>
      <c r="F8127" t="s">
        <v>19</v>
      </c>
      <c r="G8127" t="s">
        <v>20</v>
      </c>
      <c r="J8127" t="s">
        <v>17</v>
      </c>
      <c r="K8127" t="str">
        <f>"413314126"</f>
        <v>413314126</v>
      </c>
      <c r="L8127" t="str">
        <f>"413314126"</f>
        <v>413314126</v>
      </c>
      <c r="M8127" t="s">
        <v>75</v>
      </c>
      <c r="N8127" s="1">
        <v>43083.77847222222</v>
      </c>
      <c r="O8127" t="s">
        <v>19</v>
      </c>
    </row>
    <row r="8128" spans="1:15" x14ac:dyDescent="0.25">
      <c r="A8128" t="s">
        <v>5573</v>
      </c>
      <c r="B8128" t="s">
        <v>15</v>
      </c>
      <c r="C8128" t="s">
        <v>25</v>
      </c>
      <c r="D8128" t="s">
        <v>17</v>
      </c>
      <c r="E8128" t="s">
        <v>18</v>
      </c>
      <c r="F8128" t="s">
        <v>19</v>
      </c>
      <c r="G8128" t="s">
        <v>20</v>
      </c>
      <c r="J8128" t="s">
        <v>17</v>
      </c>
      <c r="K8128" t="str">
        <f>"763314271"</f>
        <v>763314271</v>
      </c>
      <c r="L8128" t="str">
        <f>"763314271"</f>
        <v>763314271</v>
      </c>
      <c r="M8128" t="s">
        <v>75</v>
      </c>
      <c r="N8128" s="1">
        <v>43132.719444444447</v>
      </c>
      <c r="O8128" t="s">
        <v>19</v>
      </c>
    </row>
    <row r="8129" spans="1:15" x14ac:dyDescent="0.25">
      <c r="A8129" t="s">
        <v>5574</v>
      </c>
      <c r="B8129" t="s">
        <v>15</v>
      </c>
      <c r="C8129" t="s">
        <v>25</v>
      </c>
      <c r="D8129" t="s">
        <v>17</v>
      </c>
      <c r="E8129" t="s">
        <v>18</v>
      </c>
      <c r="F8129" t="s">
        <v>19</v>
      </c>
      <c r="G8129" t="s">
        <v>20</v>
      </c>
      <c r="J8129" t="s">
        <v>17</v>
      </c>
      <c r="K8129" t="str">
        <f>"1000001001449"</f>
        <v>1000001001449</v>
      </c>
      <c r="L8129" t="str">
        <f>"763314217"</f>
        <v>763314217</v>
      </c>
      <c r="M8129" t="s">
        <v>84</v>
      </c>
      <c r="N8129" s="1">
        <v>43006.586805555555</v>
      </c>
      <c r="O8129" t="s">
        <v>19</v>
      </c>
    </row>
    <row r="8130" spans="1:15" x14ac:dyDescent="0.25">
      <c r="A8130" t="s">
        <v>5574</v>
      </c>
      <c r="B8130" t="s">
        <v>15</v>
      </c>
      <c r="C8130" t="s">
        <v>25</v>
      </c>
      <c r="D8130" t="s">
        <v>17</v>
      </c>
      <c r="E8130" t="s">
        <v>18</v>
      </c>
      <c r="F8130" t="s">
        <v>19</v>
      </c>
      <c r="G8130" t="s">
        <v>20</v>
      </c>
      <c r="J8130" t="s">
        <v>17</v>
      </c>
      <c r="K8130" t="str">
        <f>"765314217"</f>
        <v>765314217</v>
      </c>
      <c r="L8130" t="str">
        <f>"765314217"</f>
        <v>765314217</v>
      </c>
      <c r="M8130" t="s">
        <v>84</v>
      </c>
      <c r="N8130" s="1">
        <v>43251.928472222222</v>
      </c>
      <c r="O8130" t="s">
        <v>19</v>
      </c>
    </row>
    <row r="8131" spans="1:15" x14ac:dyDescent="0.25">
      <c r="A8131" t="s">
        <v>5575</v>
      </c>
      <c r="B8131" t="s">
        <v>15</v>
      </c>
      <c r="C8131" t="s">
        <v>25</v>
      </c>
      <c r="D8131" t="s">
        <v>17</v>
      </c>
      <c r="E8131" t="s">
        <v>18</v>
      </c>
      <c r="F8131" t="s">
        <v>19</v>
      </c>
      <c r="G8131" t="s">
        <v>20</v>
      </c>
      <c r="J8131" t="s">
        <v>17</v>
      </c>
      <c r="K8131" t="str">
        <f>"763314256"</f>
        <v>763314256</v>
      </c>
      <c r="L8131" t="str">
        <f>"763314256"</f>
        <v>763314256</v>
      </c>
      <c r="M8131" t="s">
        <v>84</v>
      </c>
      <c r="N8131" s="1">
        <v>43286.731249999997</v>
      </c>
      <c r="O8131" t="s">
        <v>19</v>
      </c>
    </row>
    <row r="8132" spans="1:15" x14ac:dyDescent="0.25">
      <c r="A8132" t="s">
        <v>5575</v>
      </c>
      <c r="B8132" t="s">
        <v>15</v>
      </c>
      <c r="C8132" t="s">
        <v>25</v>
      </c>
      <c r="D8132" t="s">
        <v>17</v>
      </c>
      <c r="E8132" t="s">
        <v>18</v>
      </c>
      <c r="F8132" t="s">
        <v>19</v>
      </c>
      <c r="G8132" t="s">
        <v>20</v>
      </c>
      <c r="J8132" t="s">
        <v>17</v>
      </c>
      <c r="K8132" t="str">
        <f>"2018361200029"</f>
        <v>2018361200029</v>
      </c>
      <c r="L8132" t="str">
        <f>"613314256"</f>
        <v>613314256</v>
      </c>
      <c r="M8132" t="s">
        <v>84</v>
      </c>
      <c r="N8132" s="1">
        <v>43320.675000000003</v>
      </c>
      <c r="O8132" t="s">
        <v>19</v>
      </c>
    </row>
    <row r="8133" spans="1:15" x14ac:dyDescent="0.25">
      <c r="A8133" t="s">
        <v>5575</v>
      </c>
      <c r="B8133" t="s">
        <v>15</v>
      </c>
      <c r="C8133" t="s">
        <v>25</v>
      </c>
      <c r="D8133" t="s">
        <v>17</v>
      </c>
      <c r="E8133" t="s">
        <v>18</v>
      </c>
      <c r="F8133" t="s">
        <v>19</v>
      </c>
      <c r="G8133" t="s">
        <v>20</v>
      </c>
      <c r="J8133" t="s">
        <v>17</v>
      </c>
      <c r="K8133" t="str">
        <f>"7101027010744"</f>
        <v>7101027010744</v>
      </c>
      <c r="L8133" t="str">
        <f>"643314256"</f>
        <v>643314256</v>
      </c>
      <c r="M8133" t="s">
        <v>84</v>
      </c>
      <c r="N8133" s="1">
        <v>43336.634722222225</v>
      </c>
      <c r="O8133" t="s">
        <v>19</v>
      </c>
    </row>
    <row r="8134" spans="1:15" x14ac:dyDescent="0.25">
      <c r="A8134" t="s">
        <v>5575</v>
      </c>
      <c r="B8134" t="s">
        <v>15</v>
      </c>
      <c r="C8134" t="s">
        <v>25</v>
      </c>
      <c r="D8134" t="s">
        <v>17</v>
      </c>
      <c r="E8134" t="s">
        <v>18</v>
      </c>
      <c r="F8134" t="s">
        <v>19</v>
      </c>
      <c r="G8134" t="s">
        <v>20</v>
      </c>
      <c r="J8134" t="s">
        <v>17</v>
      </c>
      <c r="K8134" t="str">
        <f>"2018410400028"</f>
        <v>2018410400028</v>
      </c>
      <c r="L8134" t="str">
        <f>"183314256"</f>
        <v>183314256</v>
      </c>
      <c r="M8134" t="s">
        <v>84</v>
      </c>
      <c r="N8134" s="1">
        <v>43397.624305555553</v>
      </c>
      <c r="O8134" t="s">
        <v>19</v>
      </c>
    </row>
    <row r="8135" spans="1:15" x14ac:dyDescent="0.25">
      <c r="A8135" t="s">
        <v>5575</v>
      </c>
      <c r="B8135" t="s">
        <v>15</v>
      </c>
      <c r="C8135" t="s">
        <v>25</v>
      </c>
      <c r="D8135" t="s">
        <v>17</v>
      </c>
      <c r="E8135" t="s">
        <v>18</v>
      </c>
      <c r="F8135" t="s">
        <v>19</v>
      </c>
      <c r="G8135" t="s">
        <v>20</v>
      </c>
      <c r="J8135" t="s">
        <v>17</v>
      </c>
      <c r="K8135" t="str">
        <f>"683314256"</f>
        <v>683314256</v>
      </c>
      <c r="L8135" t="str">
        <f>"683314256"</f>
        <v>683314256</v>
      </c>
      <c r="M8135" t="s">
        <v>84</v>
      </c>
      <c r="N8135" s="1">
        <v>43420.625694444447</v>
      </c>
      <c r="O8135" t="s">
        <v>19</v>
      </c>
    </row>
    <row r="8136" spans="1:15" x14ac:dyDescent="0.25">
      <c r="A8136" t="s">
        <v>5575</v>
      </c>
      <c r="B8136" t="s">
        <v>15</v>
      </c>
      <c r="C8136" t="s">
        <v>25</v>
      </c>
      <c r="D8136" t="s">
        <v>17</v>
      </c>
      <c r="E8136" t="s">
        <v>18</v>
      </c>
      <c r="F8136" t="s">
        <v>19</v>
      </c>
      <c r="G8136" t="s">
        <v>20</v>
      </c>
      <c r="J8136" t="s">
        <v>17</v>
      </c>
      <c r="K8136" t="str">
        <f>"323314256"</f>
        <v>323314256</v>
      </c>
      <c r="L8136" t="str">
        <f>"323314256"</f>
        <v>323314256</v>
      </c>
      <c r="M8136" t="s">
        <v>84</v>
      </c>
      <c r="N8136" s="1">
        <v>43502.776388888888</v>
      </c>
      <c r="O8136" t="s">
        <v>19</v>
      </c>
    </row>
    <row r="8137" spans="1:15" x14ac:dyDescent="0.25">
      <c r="A8137" t="s">
        <v>5575</v>
      </c>
      <c r="B8137" t="s">
        <v>15</v>
      </c>
      <c r="C8137" t="s">
        <v>25</v>
      </c>
      <c r="D8137" t="s">
        <v>17</v>
      </c>
      <c r="E8137" t="s">
        <v>18</v>
      </c>
      <c r="F8137" t="s">
        <v>19</v>
      </c>
      <c r="G8137" t="s">
        <v>20</v>
      </c>
      <c r="J8137" t="s">
        <v>17</v>
      </c>
      <c r="K8137" t="str">
        <f>"343314256"</f>
        <v>343314256</v>
      </c>
      <c r="L8137" t="str">
        <f>"343314256"</f>
        <v>343314256</v>
      </c>
      <c r="M8137" t="s">
        <v>21</v>
      </c>
      <c r="N8137" s="1">
        <v>43798.904861111114</v>
      </c>
      <c r="O8137" t="s">
        <v>19</v>
      </c>
    </row>
    <row r="8138" spans="1:15" x14ac:dyDescent="0.25">
      <c r="A8138" t="s">
        <v>5576</v>
      </c>
      <c r="B8138" t="s">
        <v>15</v>
      </c>
      <c r="C8138" t="s">
        <v>25</v>
      </c>
      <c r="D8138" t="s">
        <v>17</v>
      </c>
      <c r="E8138" t="s">
        <v>18</v>
      </c>
      <c r="F8138" t="s">
        <v>19</v>
      </c>
      <c r="G8138" t="s">
        <v>20</v>
      </c>
      <c r="J8138" t="s">
        <v>17</v>
      </c>
      <c r="K8138" t="str">
        <f>"763314264"</f>
        <v>763314264</v>
      </c>
      <c r="L8138" t="str">
        <f>"763314264"</f>
        <v>763314264</v>
      </c>
      <c r="M8138" t="s">
        <v>84</v>
      </c>
      <c r="N8138" s="1">
        <v>43451.6</v>
      </c>
      <c r="O8138" t="s">
        <v>19</v>
      </c>
    </row>
    <row r="8139" spans="1:15" x14ac:dyDescent="0.25">
      <c r="A8139" t="s">
        <v>5577</v>
      </c>
      <c r="B8139" t="s">
        <v>15</v>
      </c>
      <c r="C8139" t="s">
        <v>25</v>
      </c>
      <c r="D8139" t="s">
        <v>17</v>
      </c>
      <c r="E8139" t="s">
        <v>18</v>
      </c>
      <c r="F8139" t="s">
        <v>19</v>
      </c>
      <c r="G8139" t="s">
        <v>20</v>
      </c>
      <c r="J8139" t="s">
        <v>17</v>
      </c>
      <c r="K8139" t="str">
        <f>"17531447"</f>
        <v>17531447</v>
      </c>
      <c r="L8139" t="str">
        <f>"17531447"</f>
        <v>17531447</v>
      </c>
      <c r="M8139" t="s">
        <v>75</v>
      </c>
      <c r="N8139" s="1">
        <v>42872.839583333334</v>
      </c>
      <c r="O8139" t="s">
        <v>19</v>
      </c>
    </row>
    <row r="8140" spans="1:15" x14ac:dyDescent="0.25">
      <c r="A8140" t="s">
        <v>5577</v>
      </c>
      <c r="B8140" t="s">
        <v>15</v>
      </c>
      <c r="C8140" t="s">
        <v>25</v>
      </c>
      <c r="D8140" t="s">
        <v>17</v>
      </c>
      <c r="E8140" t="s">
        <v>18</v>
      </c>
      <c r="F8140" t="s">
        <v>19</v>
      </c>
      <c r="G8140" t="s">
        <v>20</v>
      </c>
      <c r="J8140" t="s">
        <v>17</v>
      </c>
      <c r="K8140" t="str">
        <f>"34331447"</f>
        <v>34331447</v>
      </c>
      <c r="L8140" t="str">
        <f>"34331447"</f>
        <v>34331447</v>
      </c>
      <c r="M8140" t="s">
        <v>75</v>
      </c>
      <c r="N8140" s="1">
        <v>42872.839583333334</v>
      </c>
      <c r="O8140" t="s">
        <v>19</v>
      </c>
    </row>
    <row r="8141" spans="1:15" x14ac:dyDescent="0.25">
      <c r="A8141" t="s">
        <v>5577</v>
      </c>
      <c r="B8141" t="s">
        <v>15</v>
      </c>
      <c r="C8141" t="s">
        <v>25</v>
      </c>
      <c r="D8141" t="s">
        <v>17</v>
      </c>
      <c r="E8141" t="s">
        <v>18</v>
      </c>
      <c r="F8141" t="s">
        <v>19</v>
      </c>
      <c r="G8141" t="s">
        <v>20</v>
      </c>
      <c r="J8141" t="s">
        <v>17</v>
      </c>
      <c r="K8141" t="str">
        <f>"34531447"</f>
        <v>34531447</v>
      </c>
      <c r="L8141" t="str">
        <f>"34531447"</f>
        <v>34531447</v>
      </c>
      <c r="M8141" t="s">
        <v>75</v>
      </c>
      <c r="N8141" s="1">
        <v>42872.839583333334</v>
      </c>
      <c r="O8141" t="s">
        <v>19</v>
      </c>
    </row>
    <row r="8142" spans="1:15" x14ac:dyDescent="0.25">
      <c r="A8142" t="s">
        <v>5577</v>
      </c>
      <c r="B8142" t="s">
        <v>15</v>
      </c>
      <c r="C8142" t="s">
        <v>25</v>
      </c>
      <c r="D8142" t="s">
        <v>17</v>
      </c>
      <c r="E8142" t="s">
        <v>18</v>
      </c>
      <c r="F8142" t="s">
        <v>19</v>
      </c>
      <c r="G8142" t="s">
        <v>20</v>
      </c>
      <c r="J8142" t="s">
        <v>17</v>
      </c>
      <c r="K8142" t="str">
        <f>"1000001000244"</f>
        <v>1000001000244</v>
      </c>
      <c r="L8142" t="str">
        <f>"76331447"</f>
        <v>76331447</v>
      </c>
      <c r="M8142" t="s">
        <v>84</v>
      </c>
      <c r="N8142" s="1">
        <v>42872.847222222219</v>
      </c>
      <c r="O8142" t="s">
        <v>19</v>
      </c>
    </row>
    <row r="8143" spans="1:15" x14ac:dyDescent="0.25">
      <c r="A8143" t="s">
        <v>5577</v>
      </c>
      <c r="B8143" t="s">
        <v>15</v>
      </c>
      <c r="C8143" t="s">
        <v>25</v>
      </c>
      <c r="D8143" t="s">
        <v>17</v>
      </c>
      <c r="E8143" t="s">
        <v>18</v>
      </c>
      <c r="F8143" t="s">
        <v>19</v>
      </c>
      <c r="G8143" t="s">
        <v>20</v>
      </c>
      <c r="J8143" t="s">
        <v>17</v>
      </c>
      <c r="K8143" t="str">
        <f>"76531447"</f>
        <v>76531447</v>
      </c>
      <c r="L8143" t="str">
        <f>"76531447"</f>
        <v>76531447</v>
      </c>
      <c r="M8143" t="s">
        <v>75</v>
      </c>
      <c r="N8143" s="1">
        <v>42872.847222222219</v>
      </c>
      <c r="O8143" t="s">
        <v>19</v>
      </c>
    </row>
    <row r="8144" spans="1:15" x14ac:dyDescent="0.25">
      <c r="A8144" t="s">
        <v>5577</v>
      </c>
      <c r="B8144" t="s">
        <v>15</v>
      </c>
      <c r="C8144" t="s">
        <v>25</v>
      </c>
      <c r="D8144" t="s">
        <v>17</v>
      </c>
      <c r="E8144" t="s">
        <v>18</v>
      </c>
      <c r="F8144" t="s">
        <v>19</v>
      </c>
      <c r="G8144" t="s">
        <v>20</v>
      </c>
      <c r="J8144" t="s">
        <v>17</v>
      </c>
      <c r="K8144" t="str">
        <f>"86331447"</f>
        <v>86331447</v>
      </c>
      <c r="L8144" t="str">
        <f>"86331447"</f>
        <v>86331447</v>
      </c>
      <c r="M8144" t="s">
        <v>75</v>
      </c>
      <c r="N8144" s="1">
        <v>42872.847222222219</v>
      </c>
      <c r="O8144" t="s">
        <v>19</v>
      </c>
    </row>
    <row r="8145" spans="1:15" x14ac:dyDescent="0.25">
      <c r="A8145" t="s">
        <v>5577</v>
      </c>
      <c r="B8145" t="s">
        <v>15</v>
      </c>
      <c r="C8145" t="s">
        <v>25</v>
      </c>
      <c r="D8145" t="s">
        <v>17</v>
      </c>
      <c r="E8145" t="s">
        <v>18</v>
      </c>
      <c r="F8145" t="s">
        <v>19</v>
      </c>
      <c r="G8145" t="s">
        <v>20</v>
      </c>
      <c r="J8145" t="s">
        <v>17</v>
      </c>
      <c r="K8145" t="str">
        <f>"41331447"</f>
        <v>41331447</v>
      </c>
      <c r="L8145" t="str">
        <f>"41331447"</f>
        <v>41331447</v>
      </c>
      <c r="M8145" t="s">
        <v>84</v>
      </c>
      <c r="N8145" s="1">
        <v>43350.868750000001</v>
      </c>
      <c r="O8145" t="s">
        <v>19</v>
      </c>
    </row>
    <row r="8146" spans="1:15" x14ac:dyDescent="0.25">
      <c r="A8146" t="s">
        <v>5578</v>
      </c>
      <c r="B8146" t="s">
        <v>15</v>
      </c>
      <c r="C8146" t="s">
        <v>25</v>
      </c>
      <c r="D8146" t="s">
        <v>17</v>
      </c>
      <c r="E8146" t="s">
        <v>18</v>
      </c>
      <c r="F8146" t="s">
        <v>19</v>
      </c>
      <c r="G8146" t="s">
        <v>20</v>
      </c>
      <c r="J8146" t="s">
        <v>18</v>
      </c>
      <c r="K8146" t="str">
        <f>"1000001004013"</f>
        <v>1000001004013</v>
      </c>
      <c r="L8146" t="str">
        <f>"763314257"</f>
        <v>763314257</v>
      </c>
      <c r="M8146" t="s">
        <v>84</v>
      </c>
      <c r="N8146" s="1">
        <v>43286.79791666667</v>
      </c>
      <c r="O8146" t="s">
        <v>19</v>
      </c>
    </row>
    <row r="8147" spans="1:15" x14ac:dyDescent="0.25">
      <c r="A8147" t="s">
        <v>5579</v>
      </c>
      <c r="B8147" t="s">
        <v>15</v>
      </c>
      <c r="C8147" t="s">
        <v>25</v>
      </c>
      <c r="D8147" t="s">
        <v>17</v>
      </c>
      <c r="E8147" t="s">
        <v>18</v>
      </c>
      <c r="F8147" t="s">
        <v>19</v>
      </c>
      <c r="G8147" t="s">
        <v>20</v>
      </c>
      <c r="J8147" t="s">
        <v>17</v>
      </c>
      <c r="K8147" t="str">
        <f>"1000001002910"</f>
        <v>1000001002910</v>
      </c>
      <c r="L8147" t="str">
        <f>"763314137"</f>
        <v>763314137</v>
      </c>
      <c r="M8147" t="s">
        <v>84</v>
      </c>
      <c r="N8147" s="1">
        <v>43064.718055555553</v>
      </c>
      <c r="O8147" t="s">
        <v>19</v>
      </c>
    </row>
    <row r="8148" spans="1:15" x14ac:dyDescent="0.25">
      <c r="A8148" t="s">
        <v>5579</v>
      </c>
      <c r="B8148" t="s">
        <v>15</v>
      </c>
      <c r="C8148" t="s">
        <v>25</v>
      </c>
      <c r="D8148" t="s">
        <v>17</v>
      </c>
      <c r="E8148" t="s">
        <v>18</v>
      </c>
      <c r="F8148" t="s">
        <v>19</v>
      </c>
      <c r="G8148" t="s">
        <v>20</v>
      </c>
      <c r="J8148" t="s">
        <v>17</v>
      </c>
      <c r="K8148" t="str">
        <f>"173314137"</f>
        <v>173314137</v>
      </c>
      <c r="L8148" t="str">
        <f>"173314137"</f>
        <v>173314137</v>
      </c>
      <c r="M8148" t="s">
        <v>75</v>
      </c>
      <c r="N8148" s="1">
        <v>43131.924305555556</v>
      </c>
      <c r="O8148" t="s">
        <v>19</v>
      </c>
    </row>
    <row r="8149" spans="1:15" x14ac:dyDescent="0.25">
      <c r="A8149" t="s">
        <v>5579</v>
      </c>
      <c r="B8149" t="s">
        <v>15</v>
      </c>
      <c r="C8149" t="s">
        <v>25</v>
      </c>
      <c r="D8149" t="s">
        <v>17</v>
      </c>
      <c r="E8149" t="s">
        <v>18</v>
      </c>
      <c r="F8149" t="s">
        <v>19</v>
      </c>
      <c r="G8149" t="s">
        <v>20</v>
      </c>
      <c r="J8149" t="s">
        <v>17</v>
      </c>
      <c r="K8149" t="str">
        <f>"765314137"</f>
        <v>765314137</v>
      </c>
      <c r="L8149" t="str">
        <f>"765314137"</f>
        <v>765314137</v>
      </c>
      <c r="M8149" t="s">
        <v>75</v>
      </c>
      <c r="N8149" s="1">
        <v>43231.65902777778</v>
      </c>
      <c r="O8149" t="s">
        <v>19</v>
      </c>
    </row>
    <row r="8150" spans="1:15" x14ac:dyDescent="0.25">
      <c r="A8150" t="s">
        <v>5580</v>
      </c>
      <c r="B8150" t="s">
        <v>15</v>
      </c>
      <c r="C8150" t="s">
        <v>25</v>
      </c>
      <c r="D8150" t="s">
        <v>17</v>
      </c>
      <c r="E8150" t="s">
        <v>18</v>
      </c>
      <c r="F8150" t="s">
        <v>19</v>
      </c>
      <c r="G8150" t="s">
        <v>20</v>
      </c>
      <c r="J8150" t="s">
        <v>17</v>
      </c>
      <c r="K8150" t="str">
        <f>"343314266"</f>
        <v>343314266</v>
      </c>
      <c r="L8150" t="str">
        <f>"343314266"</f>
        <v>343314266</v>
      </c>
      <c r="M8150" t="s">
        <v>75</v>
      </c>
      <c r="N8150" s="1">
        <v>42872.849305555559</v>
      </c>
      <c r="O8150" t="s">
        <v>19</v>
      </c>
    </row>
    <row r="8151" spans="1:15" x14ac:dyDescent="0.25">
      <c r="A8151" t="s">
        <v>5580</v>
      </c>
      <c r="B8151" t="s">
        <v>15</v>
      </c>
      <c r="C8151" t="s">
        <v>25</v>
      </c>
      <c r="D8151" t="s">
        <v>17</v>
      </c>
      <c r="E8151" t="s">
        <v>18</v>
      </c>
      <c r="F8151" t="s">
        <v>19</v>
      </c>
      <c r="G8151" t="s">
        <v>20</v>
      </c>
      <c r="J8151" t="s">
        <v>17</v>
      </c>
      <c r="K8151" t="str">
        <f>"1000001002415"</f>
        <v>1000001002415</v>
      </c>
      <c r="L8151" t="str">
        <f>"763314266"</f>
        <v>763314266</v>
      </c>
      <c r="M8151" t="s">
        <v>84</v>
      </c>
      <c r="N8151" s="1">
        <v>42872.849305555559</v>
      </c>
      <c r="O8151" t="s">
        <v>19</v>
      </c>
    </row>
    <row r="8152" spans="1:15" x14ac:dyDescent="0.25">
      <c r="A8152" t="s">
        <v>5580</v>
      </c>
      <c r="B8152" t="s">
        <v>15</v>
      </c>
      <c r="C8152" t="s">
        <v>25</v>
      </c>
      <c r="D8152" t="s">
        <v>17</v>
      </c>
      <c r="E8152" t="s">
        <v>18</v>
      </c>
      <c r="F8152" t="s">
        <v>19</v>
      </c>
      <c r="G8152" t="s">
        <v>20</v>
      </c>
      <c r="J8152" t="s">
        <v>17</v>
      </c>
      <c r="K8152" t="str">
        <f>"765314266"</f>
        <v>765314266</v>
      </c>
      <c r="L8152" t="str">
        <f>"765314266"</f>
        <v>765314266</v>
      </c>
      <c r="M8152" t="s">
        <v>75</v>
      </c>
      <c r="N8152" s="1">
        <v>42872.849305555559</v>
      </c>
      <c r="O8152" t="s">
        <v>19</v>
      </c>
    </row>
    <row r="8153" spans="1:15" x14ac:dyDescent="0.25">
      <c r="A8153" t="s">
        <v>5580</v>
      </c>
      <c r="B8153" t="s">
        <v>15</v>
      </c>
      <c r="C8153" t="s">
        <v>25</v>
      </c>
      <c r="D8153" t="s">
        <v>17</v>
      </c>
      <c r="E8153" t="s">
        <v>18</v>
      </c>
      <c r="F8153" t="s">
        <v>19</v>
      </c>
      <c r="G8153" t="s">
        <v>20</v>
      </c>
      <c r="J8153" t="s">
        <v>17</v>
      </c>
      <c r="K8153" t="str">
        <f>"863314266"</f>
        <v>863314266</v>
      </c>
      <c r="L8153" t="str">
        <f>"863314266"</f>
        <v>863314266</v>
      </c>
      <c r="M8153" t="s">
        <v>75</v>
      </c>
      <c r="N8153" s="1">
        <v>42872.849305555559</v>
      </c>
      <c r="O8153" t="s">
        <v>19</v>
      </c>
    </row>
    <row r="8154" spans="1:15" x14ac:dyDescent="0.25">
      <c r="A8154" t="s">
        <v>5580</v>
      </c>
      <c r="B8154" t="s">
        <v>15</v>
      </c>
      <c r="C8154" t="s">
        <v>25</v>
      </c>
      <c r="D8154" t="s">
        <v>17</v>
      </c>
      <c r="E8154" t="s">
        <v>18</v>
      </c>
      <c r="F8154" t="s">
        <v>19</v>
      </c>
      <c r="G8154" t="s">
        <v>20</v>
      </c>
      <c r="J8154" t="s">
        <v>17</v>
      </c>
      <c r="K8154" t="str">
        <f>"2019029900138"</f>
        <v>2019029900138</v>
      </c>
      <c r="L8154" t="str">
        <f>"183314266"</f>
        <v>183314266</v>
      </c>
      <c r="M8154" t="s">
        <v>21</v>
      </c>
      <c r="N8154" s="1">
        <v>43595.916666666664</v>
      </c>
      <c r="O8154" t="s">
        <v>19</v>
      </c>
    </row>
    <row r="8155" spans="1:15" x14ac:dyDescent="0.25">
      <c r="A8155" t="s">
        <v>5580</v>
      </c>
      <c r="B8155" t="s">
        <v>15</v>
      </c>
      <c r="C8155" t="s">
        <v>25</v>
      </c>
      <c r="D8155" t="s">
        <v>17</v>
      </c>
      <c r="E8155" t="s">
        <v>18</v>
      </c>
      <c r="F8155" t="s">
        <v>19</v>
      </c>
      <c r="G8155" t="s">
        <v>20</v>
      </c>
      <c r="J8155" t="s">
        <v>17</v>
      </c>
      <c r="K8155" t="str">
        <f>"683314266"</f>
        <v>683314266</v>
      </c>
      <c r="L8155" t="str">
        <f>"683314266"</f>
        <v>683314266</v>
      </c>
      <c r="M8155" t="s">
        <v>21</v>
      </c>
      <c r="N8155" s="1">
        <v>43819.711111111108</v>
      </c>
      <c r="O8155" t="s">
        <v>19</v>
      </c>
    </row>
    <row r="8156" spans="1:15" x14ac:dyDescent="0.25">
      <c r="A8156" t="s">
        <v>5581</v>
      </c>
      <c r="B8156" t="s">
        <v>15</v>
      </c>
      <c r="C8156" t="s">
        <v>25</v>
      </c>
      <c r="D8156" t="s">
        <v>17</v>
      </c>
      <c r="E8156" t="s">
        <v>18</v>
      </c>
      <c r="F8156" t="s">
        <v>19</v>
      </c>
      <c r="G8156" t="s">
        <v>20</v>
      </c>
      <c r="J8156" t="s">
        <v>17</v>
      </c>
      <c r="K8156" t="str">
        <f>"763314267"</f>
        <v>763314267</v>
      </c>
      <c r="L8156" t="str">
        <f>"763314267"</f>
        <v>763314267</v>
      </c>
      <c r="M8156" t="s">
        <v>75</v>
      </c>
      <c r="N8156" s="1">
        <v>43231.652777777781</v>
      </c>
      <c r="O8156" t="s">
        <v>19</v>
      </c>
    </row>
    <row r="8157" spans="1:15" x14ac:dyDescent="0.25">
      <c r="A8157" t="s">
        <v>5582</v>
      </c>
      <c r="B8157" t="s">
        <v>15</v>
      </c>
      <c r="C8157" t="s">
        <v>25</v>
      </c>
      <c r="D8157" t="s">
        <v>17</v>
      </c>
      <c r="E8157" t="s">
        <v>18</v>
      </c>
      <c r="F8157" t="s">
        <v>19</v>
      </c>
      <c r="G8157" t="s">
        <v>20</v>
      </c>
      <c r="J8157" t="s">
        <v>17</v>
      </c>
      <c r="K8157" t="str">
        <f>"173314127"</f>
        <v>173314127</v>
      </c>
      <c r="L8157" t="str">
        <f>"173314127"</f>
        <v>173314127</v>
      </c>
      <c r="M8157" t="s">
        <v>75</v>
      </c>
      <c r="N8157" s="1">
        <v>43131.922222222223</v>
      </c>
      <c r="O8157" t="s">
        <v>19</v>
      </c>
    </row>
    <row r="8158" spans="1:15" x14ac:dyDescent="0.25">
      <c r="A8158" t="s">
        <v>5583</v>
      </c>
      <c r="B8158" t="s">
        <v>15</v>
      </c>
      <c r="C8158" t="s">
        <v>25</v>
      </c>
      <c r="D8158" t="s">
        <v>17</v>
      </c>
      <c r="E8158" t="s">
        <v>18</v>
      </c>
      <c r="F8158" t="s">
        <v>19</v>
      </c>
      <c r="G8158" t="s">
        <v>20</v>
      </c>
      <c r="J8158" t="s">
        <v>17</v>
      </c>
      <c r="K8158" t="str">
        <f>"1000001001807"</f>
        <v>1000001001807</v>
      </c>
      <c r="L8158" t="str">
        <f>"763314129"</f>
        <v>763314129</v>
      </c>
      <c r="M8158" t="s">
        <v>84</v>
      </c>
      <c r="N8158" s="1">
        <v>42985.952777777777</v>
      </c>
      <c r="O8158" t="s">
        <v>19</v>
      </c>
    </row>
    <row r="8159" spans="1:15" x14ac:dyDescent="0.25">
      <c r="A8159" t="s">
        <v>5583</v>
      </c>
      <c r="B8159" t="s">
        <v>15</v>
      </c>
      <c r="C8159" t="s">
        <v>25</v>
      </c>
      <c r="D8159" t="s">
        <v>17</v>
      </c>
      <c r="E8159" t="s">
        <v>18</v>
      </c>
      <c r="F8159" t="s">
        <v>19</v>
      </c>
      <c r="G8159" t="s">
        <v>20</v>
      </c>
      <c r="J8159" t="s">
        <v>17</v>
      </c>
      <c r="K8159" t="str">
        <f>"766814129"</f>
        <v>766814129</v>
      </c>
      <c r="L8159" t="str">
        <f>"766814129"</f>
        <v>766814129</v>
      </c>
      <c r="M8159" t="s">
        <v>75</v>
      </c>
      <c r="N8159" s="1">
        <v>42986.584027777775</v>
      </c>
      <c r="O8159" t="s">
        <v>19</v>
      </c>
    </row>
    <row r="8160" spans="1:15" x14ac:dyDescent="0.25">
      <c r="A8160" t="s">
        <v>5583</v>
      </c>
      <c r="B8160" t="s">
        <v>15</v>
      </c>
      <c r="C8160" t="s">
        <v>25</v>
      </c>
      <c r="D8160" t="s">
        <v>17</v>
      </c>
      <c r="E8160" t="s">
        <v>18</v>
      </c>
      <c r="F8160" t="s">
        <v>19</v>
      </c>
      <c r="G8160" t="s">
        <v>20</v>
      </c>
      <c r="J8160" t="s">
        <v>17</v>
      </c>
      <c r="K8160" t="str">
        <f>"413314218"</f>
        <v>413314218</v>
      </c>
      <c r="L8160" t="str">
        <f>"413314218"</f>
        <v>413314218</v>
      </c>
      <c r="M8160" t="s">
        <v>75</v>
      </c>
      <c r="N8160" s="1">
        <v>43083.872916666667</v>
      </c>
      <c r="O8160" t="s">
        <v>19</v>
      </c>
    </row>
    <row r="8161" spans="1:15" x14ac:dyDescent="0.25">
      <c r="A8161" t="s">
        <v>5583</v>
      </c>
      <c r="B8161" t="s">
        <v>15</v>
      </c>
      <c r="C8161" t="s">
        <v>25</v>
      </c>
      <c r="D8161" t="s">
        <v>17</v>
      </c>
      <c r="E8161" t="s">
        <v>18</v>
      </c>
      <c r="F8161" t="s">
        <v>19</v>
      </c>
      <c r="G8161" t="s">
        <v>20</v>
      </c>
      <c r="J8161" t="s">
        <v>17</v>
      </c>
      <c r="K8161" t="str">
        <f>"765314129"</f>
        <v>765314129</v>
      </c>
      <c r="L8161" t="str">
        <f>"765314129"</f>
        <v>765314129</v>
      </c>
      <c r="M8161" t="s">
        <v>75</v>
      </c>
      <c r="N8161" s="1">
        <v>43231.662499999999</v>
      </c>
      <c r="O8161" t="s">
        <v>19</v>
      </c>
    </row>
    <row r="8162" spans="1:15" x14ac:dyDescent="0.25">
      <c r="A8162" t="s">
        <v>5584</v>
      </c>
      <c r="B8162" t="s">
        <v>15</v>
      </c>
      <c r="C8162" t="s">
        <v>25</v>
      </c>
      <c r="D8162" t="s">
        <v>17</v>
      </c>
      <c r="E8162" t="s">
        <v>18</v>
      </c>
      <c r="F8162" t="s">
        <v>19</v>
      </c>
      <c r="G8162" t="s">
        <v>20</v>
      </c>
      <c r="J8162" t="s">
        <v>17</v>
      </c>
      <c r="K8162" t="str">
        <f>"343314127"</f>
        <v>343314127</v>
      </c>
      <c r="L8162" t="str">
        <f>"343314127"</f>
        <v>343314127</v>
      </c>
      <c r="M8162" t="s">
        <v>75</v>
      </c>
      <c r="N8162" s="1">
        <v>42872.849305555559</v>
      </c>
      <c r="O8162" t="s">
        <v>19</v>
      </c>
    </row>
    <row r="8163" spans="1:15" x14ac:dyDescent="0.25">
      <c r="A8163" t="s">
        <v>5584</v>
      </c>
      <c r="B8163" t="s">
        <v>15</v>
      </c>
      <c r="C8163" t="s">
        <v>25</v>
      </c>
      <c r="D8163" t="s">
        <v>17</v>
      </c>
      <c r="E8163" t="s">
        <v>18</v>
      </c>
      <c r="F8163" t="s">
        <v>19</v>
      </c>
      <c r="G8163" t="s">
        <v>20</v>
      </c>
      <c r="J8163" t="s">
        <v>17</v>
      </c>
      <c r="K8163" t="str">
        <f>"765314127"</f>
        <v>765314127</v>
      </c>
      <c r="L8163" t="str">
        <f>"765314127"</f>
        <v>765314127</v>
      </c>
      <c r="M8163" t="s">
        <v>75</v>
      </c>
      <c r="N8163" s="1">
        <v>42872.849305555559</v>
      </c>
      <c r="O8163" t="s">
        <v>19</v>
      </c>
    </row>
    <row r="8164" spans="1:15" x14ac:dyDescent="0.25">
      <c r="A8164" t="s">
        <v>5584</v>
      </c>
      <c r="B8164" t="s">
        <v>15</v>
      </c>
      <c r="C8164" t="s">
        <v>25</v>
      </c>
      <c r="D8164" t="s">
        <v>17</v>
      </c>
      <c r="E8164" t="s">
        <v>18</v>
      </c>
      <c r="F8164" t="s">
        <v>19</v>
      </c>
      <c r="G8164" t="s">
        <v>20</v>
      </c>
      <c r="J8164" t="s">
        <v>17</v>
      </c>
      <c r="K8164" t="str">
        <f>"1000001002385"</f>
        <v>1000001002385</v>
      </c>
      <c r="L8164" t="str">
        <f>"763314127"</f>
        <v>763314127</v>
      </c>
      <c r="M8164" t="s">
        <v>21</v>
      </c>
      <c r="N8164" s="1">
        <v>42907.814583333333</v>
      </c>
      <c r="O8164" t="s">
        <v>19</v>
      </c>
    </row>
    <row r="8165" spans="1:15" x14ac:dyDescent="0.25">
      <c r="A8165" t="s">
        <v>5584</v>
      </c>
      <c r="B8165" t="s">
        <v>15</v>
      </c>
      <c r="C8165" t="s">
        <v>25</v>
      </c>
      <c r="D8165" t="s">
        <v>17</v>
      </c>
      <c r="E8165" t="s">
        <v>18</v>
      </c>
      <c r="F8165" t="s">
        <v>19</v>
      </c>
      <c r="G8165" t="s">
        <v>20</v>
      </c>
      <c r="J8165" t="s">
        <v>17</v>
      </c>
      <c r="K8165" t="str">
        <f>"173314126"</f>
        <v>173314126</v>
      </c>
      <c r="L8165" t="str">
        <f>"173314126"</f>
        <v>173314126</v>
      </c>
      <c r="M8165" t="s">
        <v>75</v>
      </c>
      <c r="N8165" s="1">
        <v>43096.720138888886</v>
      </c>
      <c r="O8165" t="s">
        <v>19</v>
      </c>
    </row>
    <row r="8166" spans="1:15" x14ac:dyDescent="0.25">
      <c r="A8166" t="s">
        <v>5584</v>
      </c>
      <c r="B8166" t="s">
        <v>15</v>
      </c>
      <c r="C8166" t="s">
        <v>25</v>
      </c>
      <c r="D8166" t="s">
        <v>17</v>
      </c>
      <c r="E8166" t="s">
        <v>18</v>
      </c>
      <c r="F8166" t="s">
        <v>19</v>
      </c>
      <c r="G8166" t="s">
        <v>20</v>
      </c>
      <c r="J8166" t="s">
        <v>17</v>
      </c>
      <c r="K8166" t="str">
        <f>"2018410300359"</f>
        <v>2018410300359</v>
      </c>
      <c r="L8166" t="str">
        <f>"183314127"</f>
        <v>183314127</v>
      </c>
      <c r="M8166" t="s">
        <v>84</v>
      </c>
      <c r="N8166" s="1">
        <v>43397.624305555553</v>
      </c>
      <c r="O8166" t="s">
        <v>19</v>
      </c>
    </row>
    <row r="8167" spans="1:15" x14ac:dyDescent="0.25">
      <c r="A8167" t="s">
        <v>5585</v>
      </c>
      <c r="B8167" t="s">
        <v>15</v>
      </c>
      <c r="C8167" t="s">
        <v>25</v>
      </c>
      <c r="D8167" t="s">
        <v>17</v>
      </c>
      <c r="E8167" t="s">
        <v>18</v>
      </c>
      <c r="F8167" t="s">
        <v>19</v>
      </c>
      <c r="G8167" t="s">
        <v>20</v>
      </c>
      <c r="J8167" t="s">
        <v>17</v>
      </c>
      <c r="K8167" t="str">
        <f>"34531495"</f>
        <v>34531495</v>
      </c>
      <c r="L8167" t="str">
        <f>"34531495"</f>
        <v>34531495</v>
      </c>
      <c r="M8167" t="s">
        <v>75</v>
      </c>
      <c r="N8167" s="1">
        <v>42872.839583333334</v>
      </c>
      <c r="O8167" t="s">
        <v>19</v>
      </c>
    </row>
    <row r="8168" spans="1:15" x14ac:dyDescent="0.25">
      <c r="A8168" t="s">
        <v>5585</v>
      </c>
      <c r="B8168" t="s">
        <v>15</v>
      </c>
      <c r="C8168" t="s">
        <v>25</v>
      </c>
      <c r="D8168" t="s">
        <v>17</v>
      </c>
      <c r="E8168" t="s">
        <v>18</v>
      </c>
      <c r="F8168" t="s">
        <v>19</v>
      </c>
      <c r="G8168" t="s">
        <v>20</v>
      </c>
      <c r="J8168" t="s">
        <v>17</v>
      </c>
      <c r="K8168" t="str">
        <f>"34531497"</f>
        <v>34531497</v>
      </c>
      <c r="L8168" t="str">
        <f>"34531497"</f>
        <v>34531497</v>
      </c>
      <c r="M8168" t="s">
        <v>75</v>
      </c>
      <c r="N8168" s="1">
        <v>42872.839583333334</v>
      </c>
      <c r="O8168" t="s">
        <v>19</v>
      </c>
    </row>
    <row r="8169" spans="1:15" x14ac:dyDescent="0.25">
      <c r="A8169" t="s">
        <v>5585</v>
      </c>
      <c r="B8169" t="s">
        <v>15</v>
      </c>
      <c r="C8169" t="s">
        <v>25</v>
      </c>
      <c r="D8169" t="s">
        <v>17</v>
      </c>
      <c r="E8169" t="s">
        <v>18</v>
      </c>
      <c r="F8169" t="s">
        <v>19</v>
      </c>
      <c r="G8169" t="s">
        <v>20</v>
      </c>
      <c r="J8169" t="s">
        <v>17</v>
      </c>
      <c r="K8169" t="str">
        <f>"345314109"</f>
        <v>345314109</v>
      </c>
      <c r="L8169" t="str">
        <f>"345314109"</f>
        <v>345314109</v>
      </c>
      <c r="M8169" t="s">
        <v>75</v>
      </c>
      <c r="N8169" s="1">
        <v>42872.849305555559</v>
      </c>
      <c r="O8169" t="s">
        <v>19</v>
      </c>
    </row>
    <row r="8170" spans="1:15" x14ac:dyDescent="0.25">
      <c r="A8170" t="s">
        <v>5586</v>
      </c>
      <c r="B8170" t="s">
        <v>15</v>
      </c>
      <c r="C8170" t="s">
        <v>25</v>
      </c>
      <c r="D8170" t="s">
        <v>17</v>
      </c>
      <c r="E8170" t="s">
        <v>18</v>
      </c>
      <c r="F8170" t="s">
        <v>19</v>
      </c>
      <c r="G8170" t="s">
        <v>20</v>
      </c>
      <c r="J8170" t="s">
        <v>17</v>
      </c>
      <c r="K8170" t="str">
        <f>"76531497"</f>
        <v>76531497</v>
      </c>
      <c r="L8170" t="str">
        <f>"76531497"</f>
        <v>76531497</v>
      </c>
      <c r="M8170" t="s">
        <v>75</v>
      </c>
      <c r="N8170" s="1">
        <v>42872.847222222219</v>
      </c>
      <c r="O8170" t="s">
        <v>19</v>
      </c>
    </row>
    <row r="8171" spans="1:15" x14ac:dyDescent="0.25">
      <c r="A8171" t="s">
        <v>5587</v>
      </c>
      <c r="B8171" t="s">
        <v>15</v>
      </c>
      <c r="C8171" t="s">
        <v>25</v>
      </c>
      <c r="D8171" t="s">
        <v>17</v>
      </c>
      <c r="E8171" t="s">
        <v>18</v>
      </c>
      <c r="F8171" t="s">
        <v>19</v>
      </c>
      <c r="G8171" t="s">
        <v>20</v>
      </c>
      <c r="J8171" t="s">
        <v>17</v>
      </c>
      <c r="K8171" t="str">
        <f>"345314224"</f>
        <v>345314224</v>
      </c>
      <c r="L8171" t="str">
        <f>"345314224"</f>
        <v>345314224</v>
      </c>
      <c r="M8171" t="s">
        <v>75</v>
      </c>
      <c r="N8171" s="1">
        <v>42872.849305555559</v>
      </c>
      <c r="O8171" t="s">
        <v>19</v>
      </c>
    </row>
    <row r="8172" spans="1:15" x14ac:dyDescent="0.25">
      <c r="A8172" t="s">
        <v>5588</v>
      </c>
      <c r="B8172" t="s">
        <v>15</v>
      </c>
      <c r="C8172" t="s">
        <v>25</v>
      </c>
      <c r="D8172" t="s">
        <v>17</v>
      </c>
      <c r="E8172" t="s">
        <v>18</v>
      </c>
      <c r="F8172" t="s">
        <v>19</v>
      </c>
      <c r="G8172" t="s">
        <v>20</v>
      </c>
      <c r="J8172" t="s">
        <v>17</v>
      </c>
      <c r="K8172" t="str">
        <f>"345314163"</f>
        <v>345314163</v>
      </c>
      <c r="L8172" t="str">
        <f>"345314163"</f>
        <v>345314163</v>
      </c>
      <c r="M8172" t="s">
        <v>75</v>
      </c>
      <c r="N8172" s="1">
        <v>42872.849305555559</v>
      </c>
      <c r="O8172" t="s">
        <v>19</v>
      </c>
    </row>
    <row r="8173" spans="1:15" x14ac:dyDescent="0.25">
      <c r="A8173" t="s">
        <v>5589</v>
      </c>
      <c r="B8173" t="s">
        <v>15</v>
      </c>
      <c r="C8173" t="s">
        <v>25</v>
      </c>
      <c r="D8173" t="s">
        <v>17</v>
      </c>
      <c r="E8173" t="s">
        <v>18</v>
      </c>
      <c r="F8173" t="s">
        <v>19</v>
      </c>
      <c r="G8173" t="s">
        <v>20</v>
      </c>
      <c r="J8173" t="s">
        <v>17</v>
      </c>
      <c r="K8173" t="str">
        <f>"345314110"</f>
        <v>345314110</v>
      </c>
      <c r="L8173" t="str">
        <f>"345314110"</f>
        <v>345314110</v>
      </c>
      <c r="M8173" t="s">
        <v>75</v>
      </c>
      <c r="N8173" s="1">
        <v>42872.849305555559</v>
      </c>
      <c r="O8173" t="s">
        <v>19</v>
      </c>
    </row>
    <row r="8174" spans="1:15" x14ac:dyDescent="0.25">
      <c r="A8174" t="s">
        <v>5589</v>
      </c>
      <c r="B8174" t="s">
        <v>15</v>
      </c>
      <c r="C8174" t="s">
        <v>25</v>
      </c>
      <c r="D8174" t="s">
        <v>17</v>
      </c>
      <c r="E8174" t="s">
        <v>18</v>
      </c>
      <c r="F8174" t="s">
        <v>19</v>
      </c>
      <c r="G8174" t="s">
        <v>20</v>
      </c>
      <c r="J8174" t="s">
        <v>17</v>
      </c>
      <c r="K8174" t="str">
        <f>"765314110"</f>
        <v>765314110</v>
      </c>
      <c r="L8174" t="str">
        <f>"765314110"</f>
        <v>765314110</v>
      </c>
      <c r="M8174" t="s">
        <v>75</v>
      </c>
      <c r="N8174" s="1">
        <v>42872.849305555559</v>
      </c>
      <c r="O8174" t="s">
        <v>19</v>
      </c>
    </row>
    <row r="8175" spans="1:15" x14ac:dyDescent="0.25">
      <c r="A8175" t="s">
        <v>5590</v>
      </c>
      <c r="B8175" t="s">
        <v>15</v>
      </c>
      <c r="C8175" t="s">
        <v>25</v>
      </c>
      <c r="D8175" t="s">
        <v>17</v>
      </c>
      <c r="E8175" t="s">
        <v>18</v>
      </c>
      <c r="F8175" t="s">
        <v>19</v>
      </c>
      <c r="G8175" t="s">
        <v>20</v>
      </c>
      <c r="J8175" t="s">
        <v>17</v>
      </c>
      <c r="K8175" t="str">
        <f>"17331487"</f>
        <v>17331487</v>
      </c>
      <c r="L8175" t="str">
        <f>"17331487"</f>
        <v>17331487</v>
      </c>
      <c r="M8175" t="s">
        <v>75</v>
      </c>
      <c r="N8175" s="1">
        <v>42872.839583333334</v>
      </c>
      <c r="O8175" t="s">
        <v>19</v>
      </c>
    </row>
    <row r="8176" spans="1:15" x14ac:dyDescent="0.25">
      <c r="A8176" t="s">
        <v>5590</v>
      </c>
      <c r="B8176" t="s">
        <v>15</v>
      </c>
      <c r="C8176" t="s">
        <v>25</v>
      </c>
      <c r="D8176" t="s">
        <v>17</v>
      </c>
      <c r="E8176" t="s">
        <v>18</v>
      </c>
      <c r="F8176" t="s">
        <v>19</v>
      </c>
      <c r="G8176" t="s">
        <v>20</v>
      </c>
      <c r="J8176" t="s">
        <v>17</v>
      </c>
      <c r="K8176" t="str">
        <f>"17531487"</f>
        <v>17531487</v>
      </c>
      <c r="L8176" t="str">
        <f>"17531487"</f>
        <v>17531487</v>
      </c>
      <c r="M8176" t="s">
        <v>75</v>
      </c>
      <c r="N8176" s="1">
        <v>42872.839583333334</v>
      </c>
      <c r="O8176" t="s">
        <v>19</v>
      </c>
    </row>
    <row r="8177" spans="1:15" x14ac:dyDescent="0.25">
      <c r="A8177" t="s">
        <v>5590</v>
      </c>
      <c r="B8177" t="s">
        <v>15</v>
      </c>
      <c r="C8177" t="s">
        <v>25</v>
      </c>
      <c r="D8177" t="s">
        <v>17</v>
      </c>
      <c r="E8177" t="s">
        <v>18</v>
      </c>
      <c r="F8177" t="s">
        <v>19</v>
      </c>
      <c r="G8177" t="s">
        <v>20</v>
      </c>
      <c r="J8177" t="s">
        <v>17</v>
      </c>
      <c r="K8177" t="str">
        <f>"34531487"</f>
        <v>34531487</v>
      </c>
      <c r="L8177" t="str">
        <f>"34531487"</f>
        <v>34531487</v>
      </c>
      <c r="M8177" t="s">
        <v>75</v>
      </c>
      <c r="N8177" s="1">
        <v>42872.839583333334</v>
      </c>
      <c r="O8177" t="s">
        <v>19</v>
      </c>
    </row>
    <row r="8178" spans="1:15" x14ac:dyDescent="0.25">
      <c r="A8178" t="s">
        <v>5590</v>
      </c>
      <c r="B8178" t="s">
        <v>15</v>
      </c>
      <c r="C8178" t="s">
        <v>25</v>
      </c>
      <c r="D8178" t="s">
        <v>17</v>
      </c>
      <c r="E8178" t="s">
        <v>18</v>
      </c>
      <c r="F8178" t="s">
        <v>19</v>
      </c>
      <c r="G8178" t="s">
        <v>20</v>
      </c>
      <c r="J8178" t="s">
        <v>17</v>
      </c>
      <c r="K8178" t="str">
        <f>"34531087"</f>
        <v>34531087</v>
      </c>
      <c r="L8178" t="str">
        <f>"34531087"</f>
        <v>34531087</v>
      </c>
      <c r="M8178" t="s">
        <v>75</v>
      </c>
      <c r="N8178" s="1">
        <v>42872.839583333334</v>
      </c>
      <c r="O8178" t="s">
        <v>19</v>
      </c>
    </row>
    <row r="8179" spans="1:15" x14ac:dyDescent="0.25">
      <c r="A8179" t="s">
        <v>5590</v>
      </c>
      <c r="B8179" t="s">
        <v>15</v>
      </c>
      <c r="C8179" t="s">
        <v>25</v>
      </c>
      <c r="D8179" t="s">
        <v>17</v>
      </c>
      <c r="E8179" t="s">
        <v>18</v>
      </c>
      <c r="F8179" t="s">
        <v>19</v>
      </c>
      <c r="G8179" t="s">
        <v>20</v>
      </c>
      <c r="J8179" t="s">
        <v>17</v>
      </c>
      <c r="K8179" t="str">
        <f>"76331487"</f>
        <v>76331487</v>
      </c>
      <c r="L8179" t="str">
        <f>"76331487"</f>
        <v>76331487</v>
      </c>
      <c r="M8179" t="s">
        <v>75</v>
      </c>
      <c r="N8179" s="1">
        <v>42872.847222222219</v>
      </c>
      <c r="O8179" t="s">
        <v>19</v>
      </c>
    </row>
    <row r="8180" spans="1:15" x14ac:dyDescent="0.25">
      <c r="A8180" t="s">
        <v>5590</v>
      </c>
      <c r="B8180" t="s">
        <v>15</v>
      </c>
      <c r="C8180" t="s">
        <v>25</v>
      </c>
      <c r="D8180" t="s">
        <v>17</v>
      </c>
      <c r="E8180" t="s">
        <v>18</v>
      </c>
      <c r="F8180" t="s">
        <v>19</v>
      </c>
      <c r="G8180" t="s">
        <v>20</v>
      </c>
      <c r="J8180" t="s">
        <v>17</v>
      </c>
      <c r="K8180" t="str">
        <f>"76531487"</f>
        <v>76531487</v>
      </c>
      <c r="L8180" t="str">
        <f>"76531487"</f>
        <v>76531487</v>
      </c>
      <c r="M8180" t="s">
        <v>75</v>
      </c>
      <c r="N8180" s="1">
        <v>42872.847222222219</v>
      </c>
      <c r="O8180" t="s">
        <v>19</v>
      </c>
    </row>
    <row r="8181" spans="1:15" x14ac:dyDescent="0.25">
      <c r="A8181" t="s">
        <v>5591</v>
      </c>
      <c r="B8181" t="s">
        <v>15</v>
      </c>
      <c r="C8181" t="s">
        <v>25</v>
      </c>
      <c r="D8181" t="s">
        <v>17</v>
      </c>
      <c r="E8181" t="s">
        <v>18</v>
      </c>
      <c r="F8181" t="s">
        <v>19</v>
      </c>
      <c r="G8181" t="s">
        <v>20</v>
      </c>
      <c r="J8181" t="s">
        <v>17</v>
      </c>
      <c r="K8181" t="str">
        <f>"763314116"</f>
        <v>763314116</v>
      </c>
      <c r="L8181" t="str">
        <f>"763314116"</f>
        <v>763314116</v>
      </c>
      <c r="M8181" t="s">
        <v>75</v>
      </c>
      <c r="N8181" s="1">
        <v>42872.849305555559</v>
      </c>
      <c r="O8181" t="s">
        <v>19</v>
      </c>
    </row>
    <row r="8182" spans="1:15" x14ac:dyDescent="0.25">
      <c r="A8182" t="s">
        <v>5591</v>
      </c>
      <c r="B8182" t="s">
        <v>15</v>
      </c>
      <c r="C8182" t="s">
        <v>25</v>
      </c>
      <c r="D8182" t="s">
        <v>17</v>
      </c>
      <c r="E8182" t="s">
        <v>18</v>
      </c>
      <c r="F8182" t="s">
        <v>19</v>
      </c>
      <c r="G8182" t="s">
        <v>20</v>
      </c>
      <c r="J8182" t="s">
        <v>17</v>
      </c>
      <c r="K8182" t="str">
        <f>"765314116"</f>
        <v>765314116</v>
      </c>
      <c r="L8182" t="str">
        <f>"765314116"</f>
        <v>765314116</v>
      </c>
      <c r="M8182" t="s">
        <v>75</v>
      </c>
      <c r="N8182" s="1">
        <v>42872.849305555559</v>
      </c>
      <c r="O8182" t="s">
        <v>19</v>
      </c>
    </row>
    <row r="8183" spans="1:15" x14ac:dyDescent="0.25">
      <c r="A8183" t="s">
        <v>5592</v>
      </c>
      <c r="B8183" t="s">
        <v>15</v>
      </c>
      <c r="C8183" t="s">
        <v>25</v>
      </c>
      <c r="D8183" t="s">
        <v>17</v>
      </c>
      <c r="E8183" t="s">
        <v>18</v>
      </c>
      <c r="F8183" t="s">
        <v>19</v>
      </c>
      <c r="G8183" t="s">
        <v>20</v>
      </c>
      <c r="J8183" t="s">
        <v>17</v>
      </c>
      <c r="K8183" t="str">
        <f>"175314116"</f>
        <v>175314116</v>
      </c>
      <c r="L8183" t="str">
        <f>"175314116"</f>
        <v>175314116</v>
      </c>
      <c r="M8183" t="s">
        <v>75</v>
      </c>
      <c r="N8183" s="1">
        <v>42872.849305555559</v>
      </c>
      <c r="O8183" t="s">
        <v>19</v>
      </c>
    </row>
    <row r="8184" spans="1:15" x14ac:dyDescent="0.25">
      <c r="A8184" t="s">
        <v>5593</v>
      </c>
      <c r="B8184" t="s">
        <v>15</v>
      </c>
      <c r="C8184" t="s">
        <v>25</v>
      </c>
      <c r="D8184" t="s">
        <v>17</v>
      </c>
      <c r="E8184" t="s">
        <v>18</v>
      </c>
      <c r="F8184" t="s">
        <v>19</v>
      </c>
      <c r="G8184" t="s">
        <v>20</v>
      </c>
      <c r="J8184" t="s">
        <v>17</v>
      </c>
      <c r="K8184" t="str">
        <f>"345314116"</f>
        <v>345314116</v>
      </c>
      <c r="L8184" t="str">
        <f>"345314116"</f>
        <v>345314116</v>
      </c>
      <c r="M8184" t="s">
        <v>75</v>
      </c>
      <c r="N8184" s="1">
        <v>42872.849305555559</v>
      </c>
      <c r="O8184" t="s">
        <v>19</v>
      </c>
    </row>
    <row r="8185" spans="1:15" x14ac:dyDescent="0.25">
      <c r="A8185" t="s">
        <v>5594</v>
      </c>
      <c r="B8185" t="s">
        <v>15</v>
      </c>
      <c r="C8185" t="s">
        <v>25</v>
      </c>
      <c r="D8185" t="s">
        <v>17</v>
      </c>
      <c r="E8185" t="s">
        <v>18</v>
      </c>
      <c r="F8185" t="s">
        <v>19</v>
      </c>
      <c r="G8185" t="s">
        <v>20</v>
      </c>
      <c r="J8185" t="s">
        <v>17</v>
      </c>
      <c r="K8185" t="str">
        <f>"17531484"</f>
        <v>17531484</v>
      </c>
      <c r="L8185" t="str">
        <f>"17531484"</f>
        <v>17531484</v>
      </c>
      <c r="M8185" t="s">
        <v>75</v>
      </c>
      <c r="N8185" s="1">
        <v>42872.839583333334</v>
      </c>
      <c r="O8185" t="s">
        <v>19</v>
      </c>
    </row>
    <row r="8186" spans="1:15" x14ac:dyDescent="0.25">
      <c r="A8186" t="s">
        <v>5594</v>
      </c>
      <c r="B8186" t="s">
        <v>15</v>
      </c>
      <c r="C8186" t="s">
        <v>25</v>
      </c>
      <c r="D8186" t="s">
        <v>17</v>
      </c>
      <c r="E8186" t="s">
        <v>18</v>
      </c>
      <c r="F8186" t="s">
        <v>19</v>
      </c>
      <c r="G8186" t="s">
        <v>20</v>
      </c>
      <c r="J8186" t="s">
        <v>17</v>
      </c>
      <c r="K8186" t="str">
        <f>"34331484"</f>
        <v>34331484</v>
      </c>
      <c r="L8186" t="str">
        <f>"34331484"</f>
        <v>34331484</v>
      </c>
      <c r="M8186" t="s">
        <v>75</v>
      </c>
      <c r="N8186" s="1">
        <v>42872.839583333334</v>
      </c>
      <c r="O8186" t="s">
        <v>19</v>
      </c>
    </row>
    <row r="8187" spans="1:15" x14ac:dyDescent="0.25">
      <c r="A8187" t="s">
        <v>5594</v>
      </c>
      <c r="B8187" t="s">
        <v>15</v>
      </c>
      <c r="C8187" t="s">
        <v>25</v>
      </c>
      <c r="D8187" t="s">
        <v>17</v>
      </c>
      <c r="E8187" t="s">
        <v>18</v>
      </c>
      <c r="F8187" t="s">
        <v>19</v>
      </c>
      <c r="G8187" t="s">
        <v>20</v>
      </c>
      <c r="J8187" t="s">
        <v>17</v>
      </c>
      <c r="K8187" t="str">
        <f>"34531484"</f>
        <v>34531484</v>
      </c>
      <c r="L8187" t="str">
        <f>"34531484"</f>
        <v>34531484</v>
      </c>
      <c r="M8187" t="s">
        <v>75</v>
      </c>
      <c r="N8187" s="1">
        <v>42872.839583333334</v>
      </c>
      <c r="O8187" t="s">
        <v>19</v>
      </c>
    </row>
    <row r="8188" spans="1:15" x14ac:dyDescent="0.25">
      <c r="A8188" t="s">
        <v>5594</v>
      </c>
      <c r="B8188" t="s">
        <v>15</v>
      </c>
      <c r="C8188" t="s">
        <v>25</v>
      </c>
      <c r="D8188" t="s">
        <v>17</v>
      </c>
      <c r="E8188" t="s">
        <v>18</v>
      </c>
      <c r="F8188" t="s">
        <v>19</v>
      </c>
      <c r="G8188" t="s">
        <v>20</v>
      </c>
      <c r="J8188" t="s">
        <v>17</v>
      </c>
      <c r="K8188" t="str">
        <f>"76331484"</f>
        <v>76331484</v>
      </c>
      <c r="L8188" t="str">
        <f>"76331484"</f>
        <v>76331484</v>
      </c>
      <c r="M8188" t="s">
        <v>75</v>
      </c>
      <c r="N8188" s="1">
        <v>42872.847222222219</v>
      </c>
      <c r="O8188" t="s">
        <v>19</v>
      </c>
    </row>
    <row r="8189" spans="1:15" x14ac:dyDescent="0.25">
      <c r="A8189" t="s">
        <v>5594</v>
      </c>
      <c r="B8189" t="s">
        <v>15</v>
      </c>
      <c r="C8189" t="s">
        <v>25</v>
      </c>
      <c r="D8189" t="s">
        <v>17</v>
      </c>
      <c r="E8189" t="s">
        <v>18</v>
      </c>
      <c r="F8189" t="s">
        <v>19</v>
      </c>
      <c r="G8189" t="s">
        <v>20</v>
      </c>
      <c r="J8189" t="s">
        <v>17</v>
      </c>
      <c r="K8189" t="str">
        <f>"76531484"</f>
        <v>76531484</v>
      </c>
      <c r="L8189" t="str">
        <f>"76531484"</f>
        <v>76531484</v>
      </c>
      <c r="M8189" t="s">
        <v>75</v>
      </c>
      <c r="N8189" s="1">
        <v>42872.847222222219</v>
      </c>
      <c r="O8189" t="s">
        <v>19</v>
      </c>
    </row>
    <row r="8190" spans="1:15" x14ac:dyDescent="0.25">
      <c r="A8190" t="s">
        <v>5595</v>
      </c>
      <c r="B8190" t="s">
        <v>15</v>
      </c>
      <c r="C8190" t="s">
        <v>25</v>
      </c>
      <c r="D8190" t="s">
        <v>17</v>
      </c>
      <c r="E8190" t="s">
        <v>18</v>
      </c>
      <c r="F8190" t="s">
        <v>19</v>
      </c>
      <c r="G8190" t="s">
        <v>20</v>
      </c>
      <c r="J8190" t="s">
        <v>17</v>
      </c>
      <c r="K8190" t="str">
        <f>"345314120"</f>
        <v>345314120</v>
      </c>
      <c r="L8190" t="str">
        <f>"345314120"</f>
        <v>345314120</v>
      </c>
      <c r="M8190" t="s">
        <v>75</v>
      </c>
      <c r="N8190" s="1">
        <v>42872.849305555559</v>
      </c>
      <c r="O8190" t="s">
        <v>19</v>
      </c>
    </row>
    <row r="8191" spans="1:15" x14ac:dyDescent="0.25">
      <c r="A8191" t="s">
        <v>5595</v>
      </c>
      <c r="B8191" t="s">
        <v>15</v>
      </c>
      <c r="C8191" t="s">
        <v>25</v>
      </c>
      <c r="D8191" t="s">
        <v>17</v>
      </c>
      <c r="E8191" t="s">
        <v>18</v>
      </c>
      <c r="F8191" t="s">
        <v>19</v>
      </c>
      <c r="G8191" t="s">
        <v>20</v>
      </c>
      <c r="J8191" t="s">
        <v>17</v>
      </c>
      <c r="K8191" t="str">
        <f>"765314120"</f>
        <v>765314120</v>
      </c>
      <c r="L8191" t="str">
        <f>"765314120"</f>
        <v>765314120</v>
      </c>
      <c r="M8191" t="s">
        <v>75</v>
      </c>
      <c r="N8191" s="1">
        <v>42872.849305555559</v>
      </c>
      <c r="O8191" t="s">
        <v>19</v>
      </c>
    </row>
    <row r="8192" spans="1:15" x14ac:dyDescent="0.25">
      <c r="A8192" t="s">
        <v>5596</v>
      </c>
      <c r="B8192" t="s">
        <v>15</v>
      </c>
      <c r="C8192" t="s">
        <v>25</v>
      </c>
      <c r="D8192" t="s">
        <v>17</v>
      </c>
      <c r="E8192" t="s">
        <v>18</v>
      </c>
      <c r="F8192" t="s">
        <v>19</v>
      </c>
      <c r="G8192" t="s">
        <v>20</v>
      </c>
      <c r="J8192" t="s">
        <v>17</v>
      </c>
      <c r="K8192" t="str">
        <f>"17531485"</f>
        <v>17531485</v>
      </c>
      <c r="L8192" t="str">
        <f>"17531485"</f>
        <v>17531485</v>
      </c>
      <c r="M8192" t="s">
        <v>75</v>
      </c>
      <c r="N8192" s="1">
        <v>42872.839583333334</v>
      </c>
      <c r="O8192" t="s">
        <v>19</v>
      </c>
    </row>
    <row r="8193" spans="1:15" x14ac:dyDescent="0.25">
      <c r="A8193" t="s">
        <v>5596</v>
      </c>
      <c r="B8193" t="s">
        <v>15</v>
      </c>
      <c r="C8193" t="s">
        <v>25</v>
      </c>
      <c r="D8193" t="s">
        <v>17</v>
      </c>
      <c r="E8193" t="s">
        <v>18</v>
      </c>
      <c r="F8193" t="s">
        <v>19</v>
      </c>
      <c r="G8193" t="s">
        <v>20</v>
      </c>
      <c r="J8193" t="s">
        <v>17</v>
      </c>
      <c r="K8193" t="str">
        <f>"32531485"</f>
        <v>32531485</v>
      </c>
      <c r="L8193" t="str">
        <f>"32531485"</f>
        <v>32531485</v>
      </c>
      <c r="M8193" t="s">
        <v>75</v>
      </c>
      <c r="N8193" s="1">
        <v>42872.839583333334</v>
      </c>
      <c r="O8193" t="s">
        <v>19</v>
      </c>
    </row>
    <row r="8194" spans="1:15" x14ac:dyDescent="0.25">
      <c r="A8194" t="s">
        <v>5596</v>
      </c>
      <c r="B8194" t="s">
        <v>15</v>
      </c>
      <c r="C8194" t="s">
        <v>25</v>
      </c>
      <c r="D8194" t="s">
        <v>17</v>
      </c>
      <c r="E8194" t="s">
        <v>18</v>
      </c>
      <c r="F8194" t="s">
        <v>19</v>
      </c>
      <c r="G8194" t="s">
        <v>20</v>
      </c>
      <c r="J8194" t="s">
        <v>17</v>
      </c>
      <c r="K8194" t="str">
        <f>"34331485"</f>
        <v>34331485</v>
      </c>
      <c r="L8194" t="str">
        <f>"34331485"</f>
        <v>34331485</v>
      </c>
      <c r="M8194" t="s">
        <v>75</v>
      </c>
      <c r="N8194" s="1">
        <v>42872.839583333334</v>
      </c>
      <c r="O8194" t="s">
        <v>19</v>
      </c>
    </row>
    <row r="8195" spans="1:15" x14ac:dyDescent="0.25">
      <c r="A8195" t="s">
        <v>5596</v>
      </c>
      <c r="B8195" t="s">
        <v>15</v>
      </c>
      <c r="C8195" t="s">
        <v>25</v>
      </c>
      <c r="D8195" t="s">
        <v>17</v>
      </c>
      <c r="E8195" t="s">
        <v>18</v>
      </c>
      <c r="F8195" t="s">
        <v>19</v>
      </c>
      <c r="G8195" t="s">
        <v>20</v>
      </c>
      <c r="J8195" t="s">
        <v>17</v>
      </c>
      <c r="K8195" t="str">
        <f>"34531485"</f>
        <v>34531485</v>
      </c>
      <c r="L8195" t="str">
        <f>"34531485"</f>
        <v>34531485</v>
      </c>
      <c r="M8195" t="s">
        <v>75</v>
      </c>
      <c r="N8195" s="1">
        <v>42872.839583333334</v>
      </c>
      <c r="O8195" t="s">
        <v>19</v>
      </c>
    </row>
    <row r="8196" spans="1:15" x14ac:dyDescent="0.25">
      <c r="A8196" t="s">
        <v>5596</v>
      </c>
      <c r="B8196" t="s">
        <v>15</v>
      </c>
      <c r="C8196" t="s">
        <v>25</v>
      </c>
      <c r="D8196" t="s">
        <v>17</v>
      </c>
      <c r="E8196" t="s">
        <v>18</v>
      </c>
      <c r="F8196" t="s">
        <v>19</v>
      </c>
      <c r="G8196" t="s">
        <v>20</v>
      </c>
      <c r="J8196" t="s">
        <v>17</v>
      </c>
      <c r="K8196" t="str">
        <f>"76331457"</f>
        <v>76331457</v>
      </c>
      <c r="L8196" t="str">
        <f>"76331457"</f>
        <v>76331457</v>
      </c>
      <c r="M8196" t="s">
        <v>75</v>
      </c>
      <c r="N8196" s="1">
        <v>42872.847222222219</v>
      </c>
      <c r="O8196" t="s">
        <v>19</v>
      </c>
    </row>
    <row r="8197" spans="1:15" x14ac:dyDescent="0.25">
      <c r="A8197" t="s">
        <v>5596</v>
      </c>
      <c r="B8197" t="s">
        <v>15</v>
      </c>
      <c r="C8197" t="s">
        <v>25</v>
      </c>
      <c r="D8197" t="s">
        <v>17</v>
      </c>
      <c r="E8197" t="s">
        <v>18</v>
      </c>
      <c r="F8197" t="s">
        <v>19</v>
      </c>
      <c r="G8197" t="s">
        <v>20</v>
      </c>
      <c r="J8197" t="s">
        <v>17</v>
      </c>
      <c r="K8197" t="str">
        <f>"76331485"</f>
        <v>76331485</v>
      </c>
      <c r="L8197" t="str">
        <f>"76331485"</f>
        <v>76331485</v>
      </c>
      <c r="M8197" t="s">
        <v>75</v>
      </c>
      <c r="N8197" s="1">
        <v>42872.847222222219</v>
      </c>
      <c r="O8197" t="s">
        <v>19</v>
      </c>
    </row>
    <row r="8198" spans="1:15" x14ac:dyDescent="0.25">
      <c r="A8198" t="s">
        <v>5596</v>
      </c>
      <c r="B8198" t="s">
        <v>15</v>
      </c>
      <c r="C8198" t="s">
        <v>25</v>
      </c>
      <c r="D8198" t="s">
        <v>17</v>
      </c>
      <c r="E8198" t="s">
        <v>18</v>
      </c>
      <c r="F8198" t="s">
        <v>19</v>
      </c>
      <c r="G8198" t="s">
        <v>20</v>
      </c>
      <c r="J8198" t="s">
        <v>17</v>
      </c>
      <c r="K8198" t="str">
        <f>"76531485"</f>
        <v>76531485</v>
      </c>
      <c r="L8198" t="str">
        <f>"76531485"</f>
        <v>76531485</v>
      </c>
      <c r="M8198" t="s">
        <v>75</v>
      </c>
      <c r="N8198" s="1">
        <v>42872.847222222219</v>
      </c>
      <c r="O8198" t="s">
        <v>19</v>
      </c>
    </row>
    <row r="8199" spans="1:15" x14ac:dyDescent="0.25">
      <c r="A8199" t="s">
        <v>5597</v>
      </c>
      <c r="B8199" t="s">
        <v>15</v>
      </c>
      <c r="C8199" t="s">
        <v>25</v>
      </c>
      <c r="D8199" t="s">
        <v>17</v>
      </c>
      <c r="E8199" t="s">
        <v>18</v>
      </c>
      <c r="F8199" t="s">
        <v>19</v>
      </c>
      <c r="G8199" t="s">
        <v>20</v>
      </c>
      <c r="J8199" t="s">
        <v>17</v>
      </c>
      <c r="K8199" t="str">
        <f>"34531488"</f>
        <v>34531488</v>
      </c>
      <c r="L8199" t="str">
        <f>"34531488"</f>
        <v>34531488</v>
      </c>
      <c r="M8199" t="s">
        <v>75</v>
      </c>
      <c r="N8199" s="1">
        <v>42872.839583333334</v>
      </c>
      <c r="O8199" t="s">
        <v>19</v>
      </c>
    </row>
    <row r="8200" spans="1:15" x14ac:dyDescent="0.25">
      <c r="A8200" t="s">
        <v>5597</v>
      </c>
      <c r="B8200" t="s">
        <v>15</v>
      </c>
      <c r="C8200" t="s">
        <v>25</v>
      </c>
      <c r="D8200" t="s">
        <v>17</v>
      </c>
      <c r="E8200" t="s">
        <v>18</v>
      </c>
      <c r="F8200" t="s">
        <v>19</v>
      </c>
      <c r="G8200" t="s">
        <v>20</v>
      </c>
      <c r="J8200" t="s">
        <v>17</v>
      </c>
      <c r="K8200" t="str">
        <f>"76531488"</f>
        <v>76531488</v>
      </c>
      <c r="L8200" t="str">
        <f>"76531488"</f>
        <v>76531488</v>
      </c>
      <c r="M8200" t="s">
        <v>75</v>
      </c>
      <c r="N8200" s="1">
        <v>42872.847222222219</v>
      </c>
      <c r="O8200" t="s">
        <v>19</v>
      </c>
    </row>
    <row r="8201" spans="1:15" x14ac:dyDescent="0.25">
      <c r="A8201" t="s">
        <v>5598</v>
      </c>
      <c r="B8201" t="s">
        <v>15</v>
      </c>
      <c r="C8201" t="s">
        <v>25</v>
      </c>
      <c r="D8201" t="s">
        <v>17</v>
      </c>
      <c r="E8201" t="s">
        <v>18</v>
      </c>
      <c r="F8201" t="s">
        <v>19</v>
      </c>
      <c r="G8201" t="s">
        <v>20</v>
      </c>
      <c r="J8201" t="s">
        <v>17</v>
      </c>
      <c r="K8201" t="str">
        <f>"17531486"</f>
        <v>17531486</v>
      </c>
      <c r="L8201" t="str">
        <f>"17531486"</f>
        <v>17531486</v>
      </c>
      <c r="M8201" t="s">
        <v>75</v>
      </c>
      <c r="N8201" s="1">
        <v>42872.839583333334</v>
      </c>
      <c r="O8201" t="s">
        <v>19</v>
      </c>
    </row>
    <row r="8202" spans="1:15" x14ac:dyDescent="0.25">
      <c r="A8202" t="s">
        <v>5598</v>
      </c>
      <c r="B8202" t="s">
        <v>15</v>
      </c>
      <c r="C8202" t="s">
        <v>25</v>
      </c>
      <c r="D8202" t="s">
        <v>17</v>
      </c>
      <c r="E8202" t="s">
        <v>18</v>
      </c>
      <c r="F8202" t="s">
        <v>19</v>
      </c>
      <c r="G8202" t="s">
        <v>20</v>
      </c>
      <c r="J8202" t="s">
        <v>17</v>
      </c>
      <c r="K8202" t="str">
        <f>"34531486"</f>
        <v>34531486</v>
      </c>
      <c r="L8202" t="str">
        <f>"34531486"</f>
        <v>34531486</v>
      </c>
      <c r="M8202" t="s">
        <v>75</v>
      </c>
      <c r="N8202" s="1">
        <v>42872.839583333334</v>
      </c>
      <c r="O8202" t="s">
        <v>19</v>
      </c>
    </row>
    <row r="8203" spans="1:15" x14ac:dyDescent="0.25">
      <c r="A8203" t="s">
        <v>5598</v>
      </c>
      <c r="B8203" t="s">
        <v>15</v>
      </c>
      <c r="C8203" t="s">
        <v>25</v>
      </c>
      <c r="D8203" t="s">
        <v>17</v>
      </c>
      <c r="E8203" t="s">
        <v>18</v>
      </c>
      <c r="F8203" t="s">
        <v>19</v>
      </c>
      <c r="G8203" t="s">
        <v>20</v>
      </c>
      <c r="J8203" t="s">
        <v>17</v>
      </c>
      <c r="K8203" t="str">
        <f>"76531486"</f>
        <v>76531486</v>
      </c>
      <c r="L8203" t="str">
        <f>"76531486"</f>
        <v>76531486</v>
      </c>
      <c r="M8203" t="s">
        <v>75</v>
      </c>
      <c r="N8203" s="1">
        <v>42872.847222222219</v>
      </c>
      <c r="O8203" t="s">
        <v>19</v>
      </c>
    </row>
    <row r="8204" spans="1:15" x14ac:dyDescent="0.25">
      <c r="A8204" t="s">
        <v>5598</v>
      </c>
      <c r="B8204" t="s">
        <v>15</v>
      </c>
      <c r="C8204" t="s">
        <v>25</v>
      </c>
      <c r="D8204" t="s">
        <v>17</v>
      </c>
      <c r="E8204" t="s">
        <v>18</v>
      </c>
      <c r="F8204" t="s">
        <v>19</v>
      </c>
      <c r="G8204" t="s">
        <v>20</v>
      </c>
      <c r="J8204" t="s">
        <v>17</v>
      </c>
      <c r="K8204" t="str">
        <f>"76331486"</f>
        <v>76331486</v>
      </c>
      <c r="L8204" t="str">
        <f>"76331486"</f>
        <v>76331486</v>
      </c>
      <c r="M8204" t="s">
        <v>75</v>
      </c>
      <c r="N8204" s="1">
        <v>43006.59097222222</v>
      </c>
      <c r="O8204" t="s">
        <v>19</v>
      </c>
    </row>
    <row r="8205" spans="1:15" x14ac:dyDescent="0.25">
      <c r="A8205" t="s">
        <v>5599</v>
      </c>
      <c r="B8205" t="s">
        <v>15</v>
      </c>
      <c r="C8205" t="s">
        <v>25</v>
      </c>
      <c r="D8205" t="s">
        <v>17</v>
      </c>
      <c r="E8205" t="s">
        <v>18</v>
      </c>
      <c r="F8205" t="s">
        <v>19</v>
      </c>
      <c r="G8205" t="s">
        <v>20</v>
      </c>
      <c r="J8205" t="s">
        <v>17</v>
      </c>
      <c r="K8205" t="str">
        <f>"76531454"</f>
        <v>76531454</v>
      </c>
      <c r="L8205" t="str">
        <f>"76531454"</f>
        <v>76531454</v>
      </c>
      <c r="M8205" t="s">
        <v>75</v>
      </c>
      <c r="N8205" s="1">
        <v>42872.847222222219</v>
      </c>
      <c r="O8205" t="s">
        <v>19</v>
      </c>
    </row>
    <row r="8206" spans="1:15" x14ac:dyDescent="0.25">
      <c r="A8206" t="s">
        <v>5600</v>
      </c>
      <c r="B8206" t="s">
        <v>15</v>
      </c>
      <c r="C8206" t="s">
        <v>25</v>
      </c>
      <c r="D8206" t="s">
        <v>17</v>
      </c>
      <c r="E8206" t="s">
        <v>18</v>
      </c>
      <c r="F8206" t="s">
        <v>19</v>
      </c>
      <c r="G8206" t="s">
        <v>20</v>
      </c>
      <c r="J8206" t="s">
        <v>17</v>
      </c>
      <c r="K8206" t="str">
        <f>"345314178"</f>
        <v>345314178</v>
      </c>
      <c r="L8206" t="str">
        <f>"345314178"</f>
        <v>345314178</v>
      </c>
      <c r="M8206" t="s">
        <v>75</v>
      </c>
      <c r="N8206" s="1">
        <v>42872.849305555559</v>
      </c>
      <c r="O8206" t="s">
        <v>19</v>
      </c>
    </row>
    <row r="8207" spans="1:15" x14ac:dyDescent="0.25">
      <c r="A8207" t="s">
        <v>5600</v>
      </c>
      <c r="B8207" t="s">
        <v>15</v>
      </c>
      <c r="C8207" t="s">
        <v>25</v>
      </c>
      <c r="D8207" t="s">
        <v>17</v>
      </c>
      <c r="E8207" t="s">
        <v>18</v>
      </c>
      <c r="F8207" t="s">
        <v>19</v>
      </c>
      <c r="G8207" t="s">
        <v>20</v>
      </c>
      <c r="J8207" t="s">
        <v>17</v>
      </c>
      <c r="K8207" t="str">
        <f>"345314184"</f>
        <v>345314184</v>
      </c>
      <c r="L8207" t="str">
        <f>"345314184"</f>
        <v>345314184</v>
      </c>
      <c r="M8207" t="s">
        <v>75</v>
      </c>
      <c r="N8207" s="1">
        <v>42872.849305555559</v>
      </c>
      <c r="O8207" t="s">
        <v>19</v>
      </c>
    </row>
    <row r="8208" spans="1:15" x14ac:dyDescent="0.25">
      <c r="A8208" t="s">
        <v>5600</v>
      </c>
      <c r="B8208" t="s">
        <v>15</v>
      </c>
      <c r="C8208" t="s">
        <v>25</v>
      </c>
      <c r="D8208" t="s">
        <v>17</v>
      </c>
      <c r="E8208" t="s">
        <v>18</v>
      </c>
      <c r="F8208" t="s">
        <v>19</v>
      </c>
      <c r="G8208" t="s">
        <v>20</v>
      </c>
      <c r="J8208" t="s">
        <v>17</v>
      </c>
      <c r="K8208" t="str">
        <f>"765314178"</f>
        <v>765314178</v>
      </c>
      <c r="L8208" t="str">
        <f>"765314178"</f>
        <v>765314178</v>
      </c>
      <c r="M8208" t="s">
        <v>75</v>
      </c>
      <c r="N8208" s="1">
        <v>42872.849305555559</v>
      </c>
      <c r="O8208" t="s">
        <v>19</v>
      </c>
    </row>
    <row r="8209" spans="1:15" x14ac:dyDescent="0.25">
      <c r="A8209" t="s">
        <v>5600</v>
      </c>
      <c r="B8209" t="s">
        <v>15</v>
      </c>
      <c r="C8209" t="s">
        <v>25</v>
      </c>
      <c r="D8209" t="s">
        <v>17</v>
      </c>
      <c r="E8209" t="s">
        <v>18</v>
      </c>
      <c r="F8209" t="s">
        <v>19</v>
      </c>
      <c r="G8209" t="s">
        <v>20</v>
      </c>
      <c r="J8209" t="s">
        <v>17</v>
      </c>
      <c r="K8209" t="str">
        <f>"765314199"</f>
        <v>765314199</v>
      </c>
      <c r="L8209" t="str">
        <f>"765314199"</f>
        <v>765314199</v>
      </c>
      <c r="M8209" t="s">
        <v>75</v>
      </c>
      <c r="N8209" s="1">
        <v>42872.849305555559</v>
      </c>
      <c r="O8209" t="s">
        <v>19</v>
      </c>
    </row>
    <row r="8210" spans="1:15" x14ac:dyDescent="0.25">
      <c r="A8210" t="s">
        <v>5600</v>
      </c>
      <c r="B8210" t="s">
        <v>15</v>
      </c>
      <c r="C8210" t="s">
        <v>25</v>
      </c>
      <c r="D8210" t="s">
        <v>17</v>
      </c>
      <c r="E8210" t="s">
        <v>18</v>
      </c>
      <c r="F8210" t="s">
        <v>19</v>
      </c>
      <c r="G8210" t="s">
        <v>20</v>
      </c>
      <c r="J8210" t="s">
        <v>17</v>
      </c>
      <c r="K8210" t="str">
        <f>"763314178"</f>
        <v>763314178</v>
      </c>
      <c r="L8210" t="str">
        <f>"763314178"</f>
        <v>763314178</v>
      </c>
      <c r="M8210" t="s">
        <v>75</v>
      </c>
      <c r="N8210" s="1">
        <v>42879.949305555558</v>
      </c>
      <c r="O8210" t="s">
        <v>19</v>
      </c>
    </row>
    <row r="8211" spans="1:15" x14ac:dyDescent="0.25">
      <c r="A8211" t="s">
        <v>5600</v>
      </c>
      <c r="B8211" t="s">
        <v>15</v>
      </c>
      <c r="C8211" t="s">
        <v>25</v>
      </c>
      <c r="D8211" t="s">
        <v>17</v>
      </c>
      <c r="E8211" t="s">
        <v>18</v>
      </c>
      <c r="F8211" t="s">
        <v>19</v>
      </c>
      <c r="G8211" t="s">
        <v>20</v>
      </c>
      <c r="J8211" t="s">
        <v>17</v>
      </c>
      <c r="K8211" t="str">
        <f>"173314178"</f>
        <v>173314178</v>
      </c>
      <c r="L8211" t="str">
        <f>"173314178"</f>
        <v>173314178</v>
      </c>
      <c r="M8211" t="s">
        <v>75</v>
      </c>
      <c r="N8211" s="1">
        <v>43175.773611111108</v>
      </c>
      <c r="O8211" t="s">
        <v>19</v>
      </c>
    </row>
    <row r="8212" spans="1:15" x14ac:dyDescent="0.25">
      <c r="A8212" t="s">
        <v>5601</v>
      </c>
      <c r="B8212" t="s">
        <v>15</v>
      </c>
      <c r="C8212" t="s">
        <v>25</v>
      </c>
      <c r="D8212" t="s">
        <v>17</v>
      </c>
      <c r="E8212" t="s">
        <v>18</v>
      </c>
      <c r="F8212" t="s">
        <v>19</v>
      </c>
      <c r="G8212" t="s">
        <v>20</v>
      </c>
      <c r="J8212" t="s">
        <v>17</v>
      </c>
      <c r="K8212" t="str">
        <f>"763314191"</f>
        <v>763314191</v>
      </c>
      <c r="L8212" t="str">
        <f>"763314191"</f>
        <v>763314191</v>
      </c>
      <c r="M8212" t="s">
        <v>75</v>
      </c>
      <c r="N8212" s="1">
        <v>42893.938194444447</v>
      </c>
      <c r="O8212" t="s">
        <v>19</v>
      </c>
    </row>
    <row r="8213" spans="1:15" x14ac:dyDescent="0.25">
      <c r="A8213" t="s">
        <v>5602</v>
      </c>
      <c r="B8213" t="s">
        <v>15</v>
      </c>
      <c r="C8213" t="s">
        <v>25</v>
      </c>
      <c r="D8213" t="s">
        <v>17</v>
      </c>
      <c r="E8213" t="s">
        <v>18</v>
      </c>
      <c r="F8213" t="s">
        <v>19</v>
      </c>
      <c r="G8213" t="s">
        <v>20</v>
      </c>
      <c r="J8213" t="s">
        <v>17</v>
      </c>
      <c r="K8213" t="str">
        <f>"1000001001029"</f>
        <v>1000001001029</v>
      </c>
      <c r="L8213" t="str">
        <f>"763314200"</f>
        <v>763314200</v>
      </c>
      <c r="M8213" t="s">
        <v>84</v>
      </c>
      <c r="N8213" s="1">
        <v>42985.947222222225</v>
      </c>
      <c r="O8213" t="s">
        <v>19</v>
      </c>
    </row>
    <row r="8214" spans="1:15" x14ac:dyDescent="0.25">
      <c r="A8214" t="s">
        <v>5602</v>
      </c>
      <c r="B8214" t="s">
        <v>15</v>
      </c>
      <c r="C8214" t="s">
        <v>25</v>
      </c>
      <c r="D8214" t="s">
        <v>17</v>
      </c>
      <c r="E8214" t="s">
        <v>18</v>
      </c>
      <c r="F8214" t="s">
        <v>19</v>
      </c>
      <c r="G8214" t="s">
        <v>20</v>
      </c>
      <c r="J8214" t="s">
        <v>17</v>
      </c>
      <c r="K8214" t="str">
        <f>"343314200"</f>
        <v>343314200</v>
      </c>
      <c r="L8214" t="str">
        <f>"343314200"</f>
        <v>343314200</v>
      </c>
      <c r="M8214" t="s">
        <v>75</v>
      </c>
      <c r="N8214" s="1">
        <v>43131.64166666667</v>
      </c>
      <c r="O8214" t="s">
        <v>19</v>
      </c>
    </row>
    <row r="8215" spans="1:15" x14ac:dyDescent="0.25">
      <c r="A8215" t="s">
        <v>5603</v>
      </c>
      <c r="B8215" t="s">
        <v>15</v>
      </c>
      <c r="C8215" t="s">
        <v>25</v>
      </c>
      <c r="D8215" t="s">
        <v>17</v>
      </c>
      <c r="E8215" t="s">
        <v>18</v>
      </c>
      <c r="F8215" t="s">
        <v>19</v>
      </c>
      <c r="G8215" t="s">
        <v>20</v>
      </c>
      <c r="J8215" t="s">
        <v>17</v>
      </c>
      <c r="K8215" t="str">
        <f>"763314201"</f>
        <v>763314201</v>
      </c>
      <c r="L8215" t="str">
        <f>"763314201"</f>
        <v>763314201</v>
      </c>
      <c r="M8215" t="s">
        <v>75</v>
      </c>
      <c r="N8215" s="1">
        <v>42893.939583333333</v>
      </c>
      <c r="O8215" t="s">
        <v>19</v>
      </c>
    </row>
    <row r="8216" spans="1:15" x14ac:dyDescent="0.25">
      <c r="A8216" t="s">
        <v>5604</v>
      </c>
      <c r="B8216" t="s">
        <v>15</v>
      </c>
      <c r="C8216" t="s">
        <v>25</v>
      </c>
      <c r="D8216" t="s">
        <v>17</v>
      </c>
      <c r="E8216" t="s">
        <v>18</v>
      </c>
      <c r="F8216" t="s">
        <v>19</v>
      </c>
      <c r="G8216" t="s">
        <v>20</v>
      </c>
      <c r="J8216" t="s">
        <v>17</v>
      </c>
      <c r="K8216" t="str">
        <f>"1000001003559"</f>
        <v>1000001003559</v>
      </c>
      <c r="L8216" t="str">
        <f>"763314203"</f>
        <v>763314203</v>
      </c>
      <c r="M8216" t="s">
        <v>84</v>
      </c>
      <c r="N8216" s="1">
        <v>43218.65902777778</v>
      </c>
      <c r="O8216" t="s">
        <v>19</v>
      </c>
    </row>
    <row r="8217" spans="1:15" x14ac:dyDescent="0.25">
      <c r="A8217" t="s">
        <v>5605</v>
      </c>
      <c r="B8217" t="s">
        <v>15</v>
      </c>
      <c r="C8217" t="s">
        <v>25</v>
      </c>
      <c r="D8217" t="s">
        <v>17</v>
      </c>
      <c r="E8217" t="s">
        <v>18</v>
      </c>
      <c r="F8217" t="s">
        <v>19</v>
      </c>
      <c r="G8217" t="s">
        <v>20</v>
      </c>
      <c r="J8217" t="s">
        <v>17</v>
      </c>
      <c r="K8217" t="str">
        <f>"1000001003542"</f>
        <v>1000001003542</v>
      </c>
      <c r="L8217" t="str">
        <f>"763314204"</f>
        <v>763314204</v>
      </c>
      <c r="M8217" t="s">
        <v>84</v>
      </c>
      <c r="N8217" s="1">
        <v>43218.660416666666</v>
      </c>
      <c r="O8217" t="s">
        <v>19</v>
      </c>
    </row>
    <row r="8218" spans="1:15" x14ac:dyDescent="0.25">
      <c r="A8218" t="s">
        <v>5606</v>
      </c>
      <c r="B8218" t="s">
        <v>15</v>
      </c>
      <c r="C8218" t="s">
        <v>25</v>
      </c>
      <c r="D8218" t="s">
        <v>17</v>
      </c>
      <c r="E8218" t="s">
        <v>18</v>
      </c>
      <c r="F8218" t="s">
        <v>19</v>
      </c>
      <c r="G8218" t="s">
        <v>20</v>
      </c>
      <c r="J8218" t="s">
        <v>17</v>
      </c>
      <c r="K8218" t="str">
        <f>"175308142"</f>
        <v>175308142</v>
      </c>
      <c r="L8218" t="str">
        <f>"175308142"</f>
        <v>175308142</v>
      </c>
      <c r="M8218" t="s">
        <v>75</v>
      </c>
      <c r="N8218" s="1">
        <v>42872.849305555559</v>
      </c>
      <c r="O8218" t="s">
        <v>19</v>
      </c>
    </row>
    <row r="8219" spans="1:15" x14ac:dyDescent="0.25">
      <c r="A8219" t="s">
        <v>5607</v>
      </c>
      <c r="B8219" t="s">
        <v>15</v>
      </c>
      <c r="C8219" t="s">
        <v>25</v>
      </c>
      <c r="D8219" t="s">
        <v>17</v>
      </c>
      <c r="E8219" t="s">
        <v>18</v>
      </c>
      <c r="F8219" t="s">
        <v>19</v>
      </c>
      <c r="G8219" t="s">
        <v>20</v>
      </c>
      <c r="J8219" t="s">
        <v>17</v>
      </c>
      <c r="K8219" t="str">
        <f>"345314142"</f>
        <v>345314142</v>
      </c>
      <c r="L8219" t="str">
        <f>"345314142"</f>
        <v>345314142</v>
      </c>
      <c r="M8219" t="s">
        <v>75</v>
      </c>
      <c r="N8219" s="1">
        <v>42872.849305555559</v>
      </c>
      <c r="O8219" t="s">
        <v>19</v>
      </c>
    </row>
    <row r="8220" spans="1:15" x14ac:dyDescent="0.25">
      <c r="A8220" t="s">
        <v>5608</v>
      </c>
      <c r="B8220" t="s">
        <v>15</v>
      </c>
      <c r="C8220" t="s">
        <v>25</v>
      </c>
      <c r="D8220" t="s">
        <v>17</v>
      </c>
      <c r="E8220" t="s">
        <v>18</v>
      </c>
      <c r="F8220" t="s">
        <v>19</v>
      </c>
      <c r="G8220" t="s">
        <v>20</v>
      </c>
      <c r="J8220" t="s">
        <v>17</v>
      </c>
      <c r="K8220" t="str">
        <f>"175308143"</f>
        <v>175308143</v>
      </c>
      <c r="L8220" t="str">
        <f>"175308143"</f>
        <v>175308143</v>
      </c>
      <c r="M8220" t="s">
        <v>75</v>
      </c>
      <c r="N8220" s="1">
        <v>42872.849305555559</v>
      </c>
      <c r="O8220" t="s">
        <v>19</v>
      </c>
    </row>
    <row r="8221" spans="1:15" x14ac:dyDescent="0.25">
      <c r="A8221" t="s">
        <v>5609</v>
      </c>
      <c r="B8221" t="s">
        <v>15</v>
      </c>
      <c r="C8221" t="s">
        <v>25</v>
      </c>
      <c r="D8221" t="s">
        <v>17</v>
      </c>
      <c r="E8221" t="s">
        <v>18</v>
      </c>
      <c r="F8221" t="s">
        <v>19</v>
      </c>
      <c r="G8221" t="s">
        <v>20</v>
      </c>
      <c r="J8221" t="s">
        <v>17</v>
      </c>
      <c r="K8221" t="str">
        <f>"1908070129609"</f>
        <v>1908070129609</v>
      </c>
      <c r="L8221" t="str">
        <f>"34331408"</f>
        <v>34331408</v>
      </c>
      <c r="M8221" t="s">
        <v>21</v>
      </c>
      <c r="N8221" s="1">
        <v>44285.90902777778</v>
      </c>
      <c r="O8221" t="s">
        <v>19</v>
      </c>
    </row>
    <row r="8222" spans="1:15" x14ac:dyDescent="0.25">
      <c r="A8222" t="s">
        <v>5610</v>
      </c>
      <c r="B8222" t="s">
        <v>15</v>
      </c>
      <c r="C8222" t="s">
        <v>25</v>
      </c>
      <c r="D8222" t="s">
        <v>17</v>
      </c>
      <c r="E8222" t="s">
        <v>18</v>
      </c>
      <c r="F8222" t="s">
        <v>19</v>
      </c>
      <c r="G8222" t="s">
        <v>20</v>
      </c>
      <c r="J8222" t="s">
        <v>17</v>
      </c>
      <c r="K8222" t="str">
        <f>"1908070126776"</f>
        <v>1908070126776</v>
      </c>
      <c r="L8222" t="str">
        <f>"34331405"</f>
        <v>34331405</v>
      </c>
      <c r="M8222" t="s">
        <v>21</v>
      </c>
      <c r="N8222" s="1">
        <v>43754.928472222222</v>
      </c>
      <c r="O8222" t="s">
        <v>19</v>
      </c>
    </row>
    <row r="8223" spans="1:15" x14ac:dyDescent="0.25">
      <c r="A8223" t="s">
        <v>5611</v>
      </c>
      <c r="B8223" t="s">
        <v>15</v>
      </c>
      <c r="C8223" t="s">
        <v>25</v>
      </c>
      <c r="D8223" t="s">
        <v>17</v>
      </c>
      <c r="E8223" t="s">
        <v>18</v>
      </c>
      <c r="F8223" t="s">
        <v>19</v>
      </c>
      <c r="G8223" t="s">
        <v>20</v>
      </c>
      <c r="J8223" t="s">
        <v>17</v>
      </c>
      <c r="K8223" t="str">
        <f>"34536214"</f>
        <v>34536214</v>
      </c>
      <c r="L8223" t="str">
        <f>"34536214"</f>
        <v>34536214</v>
      </c>
      <c r="M8223" t="s">
        <v>75</v>
      </c>
      <c r="N8223" s="1">
        <v>42872.839583333334</v>
      </c>
      <c r="O8223" t="s">
        <v>19</v>
      </c>
    </row>
    <row r="8224" spans="1:15" x14ac:dyDescent="0.25">
      <c r="A8224" t="s">
        <v>5612</v>
      </c>
      <c r="B8224" t="s">
        <v>15</v>
      </c>
      <c r="C8224" t="s">
        <v>25</v>
      </c>
      <c r="D8224" t="s">
        <v>17</v>
      </c>
      <c r="E8224" t="s">
        <v>18</v>
      </c>
      <c r="F8224" t="s">
        <v>19</v>
      </c>
      <c r="G8224" t="s">
        <v>20</v>
      </c>
      <c r="J8224" t="s">
        <v>17</v>
      </c>
      <c r="K8224" t="str">
        <f>"34330113"</f>
        <v>34330113</v>
      </c>
      <c r="L8224" t="str">
        <f>"34330113"</f>
        <v>34330113</v>
      </c>
      <c r="M8224" t="s">
        <v>84</v>
      </c>
      <c r="N8224" s="1">
        <v>43409.917361111111</v>
      </c>
      <c r="O8224" t="s">
        <v>19</v>
      </c>
    </row>
    <row r="8225" spans="1:15" x14ac:dyDescent="0.25">
      <c r="A8225" t="s">
        <v>5613</v>
      </c>
      <c r="B8225" t="s">
        <v>15</v>
      </c>
      <c r="C8225" t="s">
        <v>25</v>
      </c>
      <c r="D8225" t="s">
        <v>17</v>
      </c>
      <c r="E8225" t="s">
        <v>18</v>
      </c>
      <c r="F8225" t="s">
        <v>19</v>
      </c>
      <c r="G8225" t="s">
        <v>20</v>
      </c>
      <c r="J8225" t="s">
        <v>17</v>
      </c>
      <c r="K8225" t="str">
        <f>"86531460"</f>
        <v>86531460</v>
      </c>
      <c r="L8225" t="str">
        <f>"86531460"</f>
        <v>86531460</v>
      </c>
      <c r="M8225" t="s">
        <v>75</v>
      </c>
      <c r="N8225" s="1">
        <v>42872.847222222219</v>
      </c>
      <c r="O8225" t="s">
        <v>19</v>
      </c>
    </row>
    <row r="8226" spans="1:15" x14ac:dyDescent="0.25">
      <c r="A8226" t="s">
        <v>5614</v>
      </c>
      <c r="B8226" t="s">
        <v>15</v>
      </c>
      <c r="C8226" t="s">
        <v>25</v>
      </c>
      <c r="D8226" t="s">
        <v>17</v>
      </c>
      <c r="E8226" t="s">
        <v>18</v>
      </c>
      <c r="F8226" t="s">
        <v>19</v>
      </c>
      <c r="G8226" t="s">
        <v>20</v>
      </c>
      <c r="J8226" t="s">
        <v>17</v>
      </c>
      <c r="K8226" t="str">
        <f>"863300715"</f>
        <v>863300715</v>
      </c>
      <c r="L8226" t="str">
        <f>"863300715"</f>
        <v>863300715</v>
      </c>
      <c r="M8226" t="s">
        <v>84</v>
      </c>
      <c r="N8226" s="1">
        <v>43367.685416666667</v>
      </c>
      <c r="O8226" t="s">
        <v>19</v>
      </c>
    </row>
    <row r="8227" spans="1:15" x14ac:dyDescent="0.25">
      <c r="A8227" t="s">
        <v>5615</v>
      </c>
      <c r="B8227" t="s">
        <v>15</v>
      </c>
      <c r="C8227" t="s">
        <v>25</v>
      </c>
      <c r="D8227" t="s">
        <v>17</v>
      </c>
      <c r="E8227" t="s">
        <v>18</v>
      </c>
      <c r="F8227" t="s">
        <v>19</v>
      </c>
      <c r="G8227" t="s">
        <v>20</v>
      </c>
      <c r="J8227" t="s">
        <v>17</v>
      </c>
      <c r="K8227" t="str">
        <f>"933314142"</f>
        <v>933314142</v>
      </c>
      <c r="L8227" t="str">
        <f>"933314142"</f>
        <v>933314142</v>
      </c>
      <c r="M8227" t="s">
        <v>75</v>
      </c>
      <c r="N8227" s="1">
        <v>42872.849305555559</v>
      </c>
      <c r="O8227" t="s">
        <v>19</v>
      </c>
    </row>
    <row r="8228" spans="1:15" x14ac:dyDescent="0.25">
      <c r="A8228" t="s">
        <v>5615</v>
      </c>
      <c r="B8228" t="s">
        <v>15</v>
      </c>
      <c r="C8228" t="s">
        <v>25</v>
      </c>
      <c r="D8228" t="s">
        <v>17</v>
      </c>
      <c r="E8228" t="s">
        <v>18</v>
      </c>
      <c r="F8228" t="s">
        <v>19</v>
      </c>
      <c r="G8228" t="s">
        <v>20</v>
      </c>
      <c r="J8228" t="s">
        <v>17</v>
      </c>
      <c r="K8228" t="str">
        <f>"935314142"</f>
        <v>935314142</v>
      </c>
      <c r="L8228" t="str">
        <f>"935314142"</f>
        <v>935314142</v>
      </c>
      <c r="M8228" t="s">
        <v>75</v>
      </c>
      <c r="N8228" s="1">
        <v>42872.849305555559</v>
      </c>
      <c r="O8228" t="s">
        <v>19</v>
      </c>
    </row>
    <row r="8229" spans="1:15" x14ac:dyDescent="0.25">
      <c r="A8229" t="s">
        <v>5616</v>
      </c>
      <c r="B8229" t="s">
        <v>15</v>
      </c>
      <c r="C8229" t="s">
        <v>25</v>
      </c>
      <c r="D8229" t="s">
        <v>17</v>
      </c>
      <c r="E8229" t="s">
        <v>18</v>
      </c>
      <c r="F8229" t="s">
        <v>19</v>
      </c>
      <c r="G8229" t="s">
        <v>20</v>
      </c>
      <c r="J8229" t="s">
        <v>17</v>
      </c>
      <c r="K8229" t="str">
        <f>"17540530"</f>
        <v>17540530</v>
      </c>
      <c r="L8229" t="str">
        <f>"17540530"</f>
        <v>17540530</v>
      </c>
      <c r="M8229" t="s">
        <v>75</v>
      </c>
      <c r="N8229" s="1">
        <v>42899.839583333334</v>
      </c>
      <c r="O8229" t="s">
        <v>19</v>
      </c>
    </row>
    <row r="8230" spans="1:15" x14ac:dyDescent="0.25">
      <c r="A8230" t="s">
        <v>5617</v>
      </c>
      <c r="B8230" t="s">
        <v>15</v>
      </c>
      <c r="C8230" t="s">
        <v>25</v>
      </c>
      <c r="D8230" t="s">
        <v>17</v>
      </c>
      <c r="E8230" t="s">
        <v>18</v>
      </c>
      <c r="F8230" t="s">
        <v>19</v>
      </c>
      <c r="G8230" t="s">
        <v>20</v>
      </c>
      <c r="J8230" t="s">
        <v>17</v>
      </c>
      <c r="K8230" t="str">
        <f>"345314158"</f>
        <v>345314158</v>
      </c>
      <c r="L8230" t="str">
        <f>"345314158"</f>
        <v>345314158</v>
      </c>
      <c r="M8230" t="s">
        <v>75</v>
      </c>
      <c r="N8230" s="1">
        <v>42872.849305555559</v>
      </c>
      <c r="O8230" t="s">
        <v>19</v>
      </c>
    </row>
    <row r="8231" spans="1:15" x14ac:dyDescent="0.25">
      <c r="A8231" t="s">
        <v>5618</v>
      </c>
      <c r="B8231" t="s">
        <v>15</v>
      </c>
      <c r="C8231" t="s">
        <v>25</v>
      </c>
      <c r="D8231" t="s">
        <v>17</v>
      </c>
      <c r="E8231" t="s">
        <v>18</v>
      </c>
      <c r="F8231" t="s">
        <v>19</v>
      </c>
      <c r="G8231" t="s">
        <v>20</v>
      </c>
      <c r="J8231" t="s">
        <v>17</v>
      </c>
      <c r="K8231" t="str">
        <f>"17331496"</f>
        <v>17331496</v>
      </c>
      <c r="L8231" t="str">
        <f>"17331496"</f>
        <v>17331496</v>
      </c>
      <c r="M8231" t="s">
        <v>75</v>
      </c>
      <c r="N8231" s="1">
        <v>42872.839583333334</v>
      </c>
      <c r="O8231" t="s">
        <v>19</v>
      </c>
    </row>
    <row r="8232" spans="1:15" x14ac:dyDescent="0.25">
      <c r="A8232" t="s">
        <v>5618</v>
      </c>
      <c r="B8232" t="s">
        <v>15</v>
      </c>
      <c r="C8232" t="s">
        <v>25</v>
      </c>
      <c r="D8232" t="s">
        <v>17</v>
      </c>
      <c r="E8232" t="s">
        <v>18</v>
      </c>
      <c r="F8232" t="s">
        <v>19</v>
      </c>
      <c r="G8232" t="s">
        <v>20</v>
      </c>
      <c r="J8232" t="s">
        <v>17</v>
      </c>
      <c r="K8232" t="str">
        <f>"34531496"</f>
        <v>34531496</v>
      </c>
      <c r="L8232" t="str">
        <f>"34531496"</f>
        <v>34531496</v>
      </c>
      <c r="M8232" t="s">
        <v>75</v>
      </c>
      <c r="N8232" s="1">
        <v>42872.839583333334</v>
      </c>
      <c r="O8232" t="s">
        <v>19</v>
      </c>
    </row>
    <row r="8233" spans="1:15" x14ac:dyDescent="0.25">
      <c r="A8233" t="s">
        <v>5618</v>
      </c>
      <c r="B8233" t="s">
        <v>15</v>
      </c>
      <c r="C8233" t="s">
        <v>25</v>
      </c>
      <c r="D8233" t="s">
        <v>17</v>
      </c>
      <c r="E8233" t="s">
        <v>18</v>
      </c>
      <c r="F8233" t="s">
        <v>19</v>
      </c>
      <c r="G8233" t="s">
        <v>20</v>
      </c>
      <c r="J8233" t="s">
        <v>17</v>
      </c>
      <c r="K8233" t="str">
        <f>"76531496"</f>
        <v>76531496</v>
      </c>
      <c r="L8233" t="str">
        <f>"76531496"</f>
        <v>76531496</v>
      </c>
      <c r="M8233" t="s">
        <v>75</v>
      </c>
      <c r="N8233" s="1">
        <v>42872.847222222219</v>
      </c>
      <c r="O8233" t="s">
        <v>19</v>
      </c>
    </row>
    <row r="8234" spans="1:15" x14ac:dyDescent="0.25">
      <c r="A8234" t="s">
        <v>5619</v>
      </c>
      <c r="B8234" t="s">
        <v>15</v>
      </c>
      <c r="C8234" t="s">
        <v>25</v>
      </c>
      <c r="D8234" t="s">
        <v>17</v>
      </c>
      <c r="E8234" t="s">
        <v>18</v>
      </c>
      <c r="F8234" t="s">
        <v>19</v>
      </c>
      <c r="G8234" t="s">
        <v>20</v>
      </c>
      <c r="J8234" t="s">
        <v>17</v>
      </c>
      <c r="K8234" t="str">
        <f>"765305152"</f>
        <v>765305152</v>
      </c>
      <c r="L8234" t="str">
        <f>"765305152"</f>
        <v>765305152</v>
      </c>
      <c r="M8234" t="s">
        <v>75</v>
      </c>
      <c r="N8234" s="1">
        <v>42872.849305555559</v>
      </c>
      <c r="O8234" t="s">
        <v>19</v>
      </c>
    </row>
    <row r="8235" spans="1:15" x14ac:dyDescent="0.25">
      <c r="A8235" t="s">
        <v>5620</v>
      </c>
      <c r="B8235" t="s">
        <v>15</v>
      </c>
      <c r="C8235" t="s">
        <v>25</v>
      </c>
      <c r="D8235" t="s">
        <v>17</v>
      </c>
      <c r="E8235" t="s">
        <v>18</v>
      </c>
      <c r="F8235" t="s">
        <v>19</v>
      </c>
      <c r="G8235" t="s">
        <v>20</v>
      </c>
      <c r="J8235" t="s">
        <v>17</v>
      </c>
      <c r="K8235" t="str">
        <f>"76330001"</f>
        <v>76330001</v>
      </c>
      <c r="L8235" t="str">
        <f>"76330001"</f>
        <v>76330001</v>
      </c>
      <c r="M8235" t="s">
        <v>21</v>
      </c>
      <c r="N8235" s="1">
        <v>42872.847222222219</v>
      </c>
      <c r="O8235" t="s">
        <v>19</v>
      </c>
    </row>
    <row r="8236" spans="1:15" x14ac:dyDescent="0.25">
      <c r="A8236" t="s">
        <v>5621</v>
      </c>
      <c r="B8236" t="s">
        <v>15</v>
      </c>
      <c r="C8236" t="s">
        <v>25</v>
      </c>
      <c r="D8236" t="s">
        <v>17</v>
      </c>
      <c r="E8236" t="s">
        <v>18</v>
      </c>
      <c r="F8236" t="s">
        <v>19</v>
      </c>
      <c r="G8236" t="s">
        <v>20</v>
      </c>
      <c r="J8236" t="s">
        <v>17</v>
      </c>
      <c r="K8236" t="str">
        <f>"76531518"</f>
        <v>76531518</v>
      </c>
      <c r="L8236" t="str">
        <f>"76531518"</f>
        <v>76531518</v>
      </c>
      <c r="M8236" t="s">
        <v>75</v>
      </c>
      <c r="N8236" s="1">
        <v>42872.847222222219</v>
      </c>
      <c r="O8236" t="s">
        <v>19</v>
      </c>
    </row>
    <row r="8237" spans="1:15" x14ac:dyDescent="0.25">
      <c r="A8237" t="s">
        <v>5622</v>
      </c>
      <c r="B8237" t="s">
        <v>15</v>
      </c>
      <c r="C8237" t="s">
        <v>25</v>
      </c>
      <c r="D8237" t="s">
        <v>17</v>
      </c>
      <c r="E8237" t="s">
        <v>18</v>
      </c>
      <c r="F8237" t="s">
        <v>19</v>
      </c>
      <c r="G8237" t="s">
        <v>20</v>
      </c>
      <c r="J8237" t="s">
        <v>17</v>
      </c>
      <c r="K8237" t="str">
        <f>"76531505"</f>
        <v>76531505</v>
      </c>
      <c r="L8237" t="str">
        <f>"76531505"</f>
        <v>76531505</v>
      </c>
      <c r="M8237" t="s">
        <v>75</v>
      </c>
      <c r="N8237" s="1">
        <v>42872.847222222219</v>
      </c>
      <c r="O8237" t="s">
        <v>19</v>
      </c>
    </row>
    <row r="8238" spans="1:15" x14ac:dyDescent="0.25">
      <c r="A8238" t="s">
        <v>5623</v>
      </c>
      <c r="B8238" t="s">
        <v>15</v>
      </c>
      <c r="C8238" t="s">
        <v>25</v>
      </c>
      <c r="D8238" t="s">
        <v>17</v>
      </c>
      <c r="E8238" t="s">
        <v>18</v>
      </c>
      <c r="F8238" t="s">
        <v>19</v>
      </c>
      <c r="G8238" t="s">
        <v>20</v>
      </c>
      <c r="J8238" t="s">
        <v>17</v>
      </c>
      <c r="K8238" t="str">
        <f>"34331503"</f>
        <v>34331503</v>
      </c>
      <c r="L8238" t="str">
        <f>"34331503"</f>
        <v>34331503</v>
      </c>
      <c r="M8238" t="s">
        <v>75</v>
      </c>
      <c r="N8238" s="1">
        <v>42872.839583333334</v>
      </c>
      <c r="O8238" t="s">
        <v>19</v>
      </c>
    </row>
    <row r="8239" spans="1:15" x14ac:dyDescent="0.25">
      <c r="A8239" t="s">
        <v>5623</v>
      </c>
      <c r="B8239" t="s">
        <v>15</v>
      </c>
      <c r="C8239" t="s">
        <v>25</v>
      </c>
      <c r="D8239" t="s">
        <v>17</v>
      </c>
      <c r="E8239" t="s">
        <v>18</v>
      </c>
      <c r="F8239" t="s">
        <v>19</v>
      </c>
      <c r="G8239" t="s">
        <v>20</v>
      </c>
      <c r="J8239" t="s">
        <v>17</v>
      </c>
      <c r="K8239" t="str">
        <f>"34531503"</f>
        <v>34531503</v>
      </c>
      <c r="L8239" t="str">
        <f>"34531503"</f>
        <v>34531503</v>
      </c>
      <c r="M8239" t="s">
        <v>75</v>
      </c>
      <c r="N8239" s="1">
        <v>42872.839583333334</v>
      </c>
      <c r="O8239" t="s">
        <v>19</v>
      </c>
    </row>
    <row r="8240" spans="1:15" x14ac:dyDescent="0.25">
      <c r="A8240" t="s">
        <v>5623</v>
      </c>
      <c r="B8240" t="s">
        <v>15</v>
      </c>
      <c r="C8240" t="s">
        <v>25</v>
      </c>
      <c r="D8240" t="s">
        <v>17</v>
      </c>
      <c r="E8240" t="s">
        <v>18</v>
      </c>
      <c r="F8240" t="s">
        <v>19</v>
      </c>
      <c r="G8240" t="s">
        <v>20</v>
      </c>
      <c r="J8240" t="s">
        <v>17</v>
      </c>
      <c r="K8240" t="str">
        <f>"76331503"</f>
        <v>76331503</v>
      </c>
      <c r="L8240" t="str">
        <f>"76331503"</f>
        <v>76331503</v>
      </c>
      <c r="M8240" t="s">
        <v>75</v>
      </c>
      <c r="N8240" s="1">
        <v>42872.847222222219</v>
      </c>
      <c r="O8240" t="s">
        <v>19</v>
      </c>
    </row>
    <row r="8241" spans="1:15" x14ac:dyDescent="0.25">
      <c r="A8241" t="s">
        <v>5623</v>
      </c>
      <c r="B8241" t="s">
        <v>15</v>
      </c>
      <c r="C8241" t="s">
        <v>25</v>
      </c>
      <c r="D8241" t="s">
        <v>17</v>
      </c>
      <c r="E8241" t="s">
        <v>18</v>
      </c>
      <c r="F8241" t="s">
        <v>19</v>
      </c>
      <c r="G8241" t="s">
        <v>20</v>
      </c>
      <c r="J8241" t="s">
        <v>17</v>
      </c>
      <c r="K8241" t="str">
        <f>"76531503"</f>
        <v>76531503</v>
      </c>
      <c r="L8241" t="str">
        <f>"76531503"</f>
        <v>76531503</v>
      </c>
      <c r="M8241" t="s">
        <v>75</v>
      </c>
      <c r="N8241" s="1">
        <v>42872.847222222219</v>
      </c>
      <c r="O8241" t="s">
        <v>19</v>
      </c>
    </row>
    <row r="8242" spans="1:15" x14ac:dyDescent="0.25">
      <c r="A8242" t="s">
        <v>5624</v>
      </c>
      <c r="B8242" t="s">
        <v>15</v>
      </c>
      <c r="C8242" t="s">
        <v>25</v>
      </c>
      <c r="D8242" t="s">
        <v>17</v>
      </c>
      <c r="E8242" t="s">
        <v>18</v>
      </c>
      <c r="F8242" t="s">
        <v>19</v>
      </c>
      <c r="G8242" t="s">
        <v>20</v>
      </c>
      <c r="J8242" t="s">
        <v>17</v>
      </c>
      <c r="K8242" t="str">
        <f>"34531537"</f>
        <v>34531537</v>
      </c>
      <c r="L8242" t="str">
        <f>"34531537"</f>
        <v>34531537</v>
      </c>
      <c r="M8242" t="s">
        <v>75</v>
      </c>
      <c r="N8242" s="1">
        <v>42872.839583333334</v>
      </c>
      <c r="O8242" t="s">
        <v>19</v>
      </c>
    </row>
    <row r="8243" spans="1:15" x14ac:dyDescent="0.25">
      <c r="A8243" t="s">
        <v>5624</v>
      </c>
      <c r="B8243" t="s">
        <v>15</v>
      </c>
      <c r="C8243" t="s">
        <v>25</v>
      </c>
      <c r="D8243" t="s">
        <v>17</v>
      </c>
      <c r="E8243" t="s">
        <v>18</v>
      </c>
      <c r="F8243" t="s">
        <v>19</v>
      </c>
      <c r="G8243" t="s">
        <v>20</v>
      </c>
      <c r="J8243" t="s">
        <v>17</v>
      </c>
      <c r="K8243" t="str">
        <f>"76531537"</f>
        <v>76531537</v>
      </c>
      <c r="L8243" t="str">
        <f>"76531537"</f>
        <v>76531537</v>
      </c>
      <c r="M8243" t="s">
        <v>75</v>
      </c>
      <c r="N8243" s="1">
        <v>42872.847222222219</v>
      </c>
      <c r="O8243" t="s">
        <v>19</v>
      </c>
    </row>
    <row r="8244" spans="1:15" x14ac:dyDescent="0.25">
      <c r="A8244" t="s">
        <v>5625</v>
      </c>
      <c r="B8244" t="s">
        <v>15</v>
      </c>
      <c r="C8244" t="s">
        <v>25</v>
      </c>
      <c r="D8244" t="s">
        <v>17</v>
      </c>
      <c r="E8244" t="s">
        <v>18</v>
      </c>
      <c r="F8244" t="s">
        <v>19</v>
      </c>
      <c r="G8244" t="s">
        <v>20</v>
      </c>
      <c r="J8244" t="s">
        <v>17</v>
      </c>
      <c r="K8244" t="str">
        <f>"34531505"</f>
        <v>34531505</v>
      </c>
      <c r="L8244" t="str">
        <f>"34531505"</f>
        <v>34531505</v>
      </c>
      <c r="M8244" t="s">
        <v>75</v>
      </c>
      <c r="N8244" s="1">
        <v>42872.839583333334</v>
      </c>
      <c r="O8244" t="s">
        <v>19</v>
      </c>
    </row>
    <row r="8245" spans="1:15" x14ac:dyDescent="0.25">
      <c r="A8245" t="s">
        <v>5626</v>
      </c>
      <c r="B8245" t="s">
        <v>15</v>
      </c>
      <c r="C8245" t="s">
        <v>25</v>
      </c>
      <c r="D8245" t="s">
        <v>17</v>
      </c>
      <c r="E8245" t="s">
        <v>18</v>
      </c>
      <c r="F8245" t="s">
        <v>19</v>
      </c>
      <c r="G8245" t="s">
        <v>20</v>
      </c>
      <c r="J8245" t="s">
        <v>17</v>
      </c>
      <c r="K8245" t="str">
        <f>"175315220"</f>
        <v>175315220</v>
      </c>
      <c r="L8245" t="str">
        <f>"175315220"</f>
        <v>175315220</v>
      </c>
      <c r="M8245" t="s">
        <v>75</v>
      </c>
      <c r="N8245" s="1">
        <v>42872.849305555559</v>
      </c>
      <c r="O8245" t="s">
        <v>19</v>
      </c>
    </row>
    <row r="8246" spans="1:15" x14ac:dyDescent="0.25">
      <c r="A8246" t="s">
        <v>5627</v>
      </c>
      <c r="B8246" t="s">
        <v>15</v>
      </c>
      <c r="C8246" t="s">
        <v>25</v>
      </c>
      <c r="D8246" t="s">
        <v>17</v>
      </c>
      <c r="E8246" t="s">
        <v>18</v>
      </c>
      <c r="F8246" t="s">
        <v>19</v>
      </c>
      <c r="G8246" t="s">
        <v>20</v>
      </c>
      <c r="J8246" t="s">
        <v>17</v>
      </c>
      <c r="K8246" t="str">
        <f>"34531504"</f>
        <v>34531504</v>
      </c>
      <c r="L8246" t="str">
        <f>"34531504"</f>
        <v>34531504</v>
      </c>
      <c r="M8246" t="s">
        <v>75</v>
      </c>
      <c r="N8246" s="1">
        <v>42872.839583333334</v>
      </c>
      <c r="O8246" t="s">
        <v>19</v>
      </c>
    </row>
    <row r="8247" spans="1:15" x14ac:dyDescent="0.25">
      <c r="A8247" t="s">
        <v>5627</v>
      </c>
      <c r="B8247" t="s">
        <v>15</v>
      </c>
      <c r="C8247" t="s">
        <v>25</v>
      </c>
      <c r="D8247" t="s">
        <v>17</v>
      </c>
      <c r="E8247" t="s">
        <v>18</v>
      </c>
      <c r="F8247" t="s">
        <v>19</v>
      </c>
      <c r="G8247" t="s">
        <v>20</v>
      </c>
      <c r="J8247" t="s">
        <v>17</v>
      </c>
      <c r="K8247" t="str">
        <f>"76531004"</f>
        <v>76531004</v>
      </c>
      <c r="L8247" t="str">
        <f>"76531004"</f>
        <v>76531004</v>
      </c>
      <c r="M8247" t="s">
        <v>75</v>
      </c>
      <c r="N8247" s="1">
        <v>42872.847222222219</v>
      </c>
      <c r="O8247" t="s">
        <v>19</v>
      </c>
    </row>
    <row r="8248" spans="1:15" x14ac:dyDescent="0.25">
      <c r="A8248" t="s">
        <v>5627</v>
      </c>
      <c r="B8248" t="s">
        <v>15</v>
      </c>
      <c r="C8248" t="s">
        <v>25</v>
      </c>
      <c r="D8248" t="s">
        <v>17</v>
      </c>
      <c r="E8248" t="s">
        <v>18</v>
      </c>
      <c r="F8248" t="s">
        <v>19</v>
      </c>
      <c r="G8248" t="s">
        <v>20</v>
      </c>
      <c r="J8248" t="s">
        <v>17</v>
      </c>
      <c r="K8248" t="str">
        <f>"76531504"</f>
        <v>76531504</v>
      </c>
      <c r="L8248" t="str">
        <f>"76531504"</f>
        <v>76531504</v>
      </c>
      <c r="M8248" t="s">
        <v>75</v>
      </c>
      <c r="N8248" s="1">
        <v>42872.847222222219</v>
      </c>
      <c r="O8248" t="s">
        <v>19</v>
      </c>
    </row>
    <row r="8249" spans="1:15" x14ac:dyDescent="0.25">
      <c r="A8249" t="s">
        <v>5628</v>
      </c>
      <c r="B8249" t="s">
        <v>15</v>
      </c>
      <c r="C8249" t="s">
        <v>25</v>
      </c>
      <c r="D8249" t="s">
        <v>17</v>
      </c>
      <c r="E8249" t="s">
        <v>18</v>
      </c>
      <c r="F8249" t="s">
        <v>19</v>
      </c>
      <c r="G8249" t="s">
        <v>20</v>
      </c>
      <c r="J8249" t="s">
        <v>17</v>
      </c>
      <c r="K8249" t="str">
        <f>"34531533"</f>
        <v>34531533</v>
      </c>
      <c r="L8249" t="str">
        <f>"34531533"</f>
        <v>34531533</v>
      </c>
      <c r="M8249" t="s">
        <v>75</v>
      </c>
      <c r="N8249" s="1">
        <v>42872.839583333334</v>
      </c>
      <c r="O8249" t="s">
        <v>19</v>
      </c>
    </row>
    <row r="8250" spans="1:15" x14ac:dyDescent="0.25">
      <c r="A8250" t="s">
        <v>5628</v>
      </c>
      <c r="B8250" t="s">
        <v>15</v>
      </c>
      <c r="C8250" t="s">
        <v>25</v>
      </c>
      <c r="D8250" t="s">
        <v>17</v>
      </c>
      <c r="E8250" t="s">
        <v>18</v>
      </c>
      <c r="F8250" t="s">
        <v>19</v>
      </c>
      <c r="G8250" t="s">
        <v>20</v>
      </c>
      <c r="J8250" t="s">
        <v>17</v>
      </c>
      <c r="K8250" t="str">
        <f>"76531533"</f>
        <v>76531533</v>
      </c>
      <c r="L8250" t="str">
        <f>"76531533"</f>
        <v>76531533</v>
      </c>
      <c r="M8250" t="s">
        <v>75</v>
      </c>
      <c r="N8250" s="1">
        <v>42872.847222222219</v>
      </c>
      <c r="O8250" t="s">
        <v>19</v>
      </c>
    </row>
    <row r="8251" spans="1:15" x14ac:dyDescent="0.25">
      <c r="A8251" t="s">
        <v>5629</v>
      </c>
      <c r="B8251" t="s">
        <v>15</v>
      </c>
      <c r="C8251" t="s">
        <v>25</v>
      </c>
      <c r="D8251" t="s">
        <v>17</v>
      </c>
      <c r="E8251" t="s">
        <v>18</v>
      </c>
      <c r="F8251" t="s">
        <v>19</v>
      </c>
      <c r="G8251" t="s">
        <v>20</v>
      </c>
      <c r="J8251" t="s">
        <v>17</v>
      </c>
      <c r="K8251" t="str">
        <f>"76331504"</f>
        <v>76331504</v>
      </c>
      <c r="L8251" t="str">
        <f>"76331504"</f>
        <v>76331504</v>
      </c>
      <c r="M8251" t="s">
        <v>75</v>
      </c>
      <c r="N8251" s="1">
        <v>42872.847222222219</v>
      </c>
      <c r="O8251" t="s">
        <v>19</v>
      </c>
    </row>
    <row r="8252" spans="1:15" x14ac:dyDescent="0.25">
      <c r="A8252" t="s">
        <v>5630</v>
      </c>
      <c r="B8252" t="s">
        <v>15</v>
      </c>
      <c r="C8252" t="s">
        <v>25</v>
      </c>
      <c r="D8252" t="s">
        <v>17</v>
      </c>
      <c r="E8252" t="s">
        <v>18</v>
      </c>
      <c r="F8252" t="s">
        <v>19</v>
      </c>
      <c r="G8252" t="s">
        <v>20</v>
      </c>
      <c r="J8252" t="s">
        <v>17</v>
      </c>
      <c r="K8252" t="str">
        <f>"345315131"</f>
        <v>345315131</v>
      </c>
      <c r="L8252" t="str">
        <f>"345315131"</f>
        <v>345315131</v>
      </c>
      <c r="M8252" t="s">
        <v>75</v>
      </c>
      <c r="N8252" s="1">
        <v>42872.849305555559</v>
      </c>
      <c r="O8252" t="s">
        <v>19</v>
      </c>
    </row>
    <row r="8253" spans="1:15" x14ac:dyDescent="0.25">
      <c r="A8253" t="s">
        <v>5630</v>
      </c>
      <c r="B8253" t="s">
        <v>15</v>
      </c>
      <c r="C8253" t="s">
        <v>25</v>
      </c>
      <c r="D8253" t="s">
        <v>17</v>
      </c>
      <c r="E8253" t="s">
        <v>18</v>
      </c>
      <c r="F8253" t="s">
        <v>19</v>
      </c>
      <c r="G8253" t="s">
        <v>20</v>
      </c>
      <c r="J8253" t="s">
        <v>17</v>
      </c>
      <c r="K8253" t="str">
        <f>"763315131"</f>
        <v>763315131</v>
      </c>
      <c r="L8253" t="str">
        <f>"763315131"</f>
        <v>763315131</v>
      </c>
      <c r="M8253" t="s">
        <v>75</v>
      </c>
      <c r="N8253" s="1">
        <v>42872.849305555559</v>
      </c>
      <c r="O8253" t="s">
        <v>19</v>
      </c>
    </row>
    <row r="8254" spans="1:15" x14ac:dyDescent="0.25">
      <c r="A8254" t="s">
        <v>5630</v>
      </c>
      <c r="B8254" t="s">
        <v>15</v>
      </c>
      <c r="C8254" t="s">
        <v>25</v>
      </c>
      <c r="D8254" t="s">
        <v>17</v>
      </c>
      <c r="E8254" t="s">
        <v>18</v>
      </c>
      <c r="F8254" t="s">
        <v>19</v>
      </c>
      <c r="G8254" t="s">
        <v>20</v>
      </c>
      <c r="J8254" t="s">
        <v>17</v>
      </c>
      <c r="K8254" t="str">
        <f>"765315131"</f>
        <v>765315131</v>
      </c>
      <c r="L8254" t="str">
        <f>"765315131"</f>
        <v>765315131</v>
      </c>
      <c r="M8254" t="s">
        <v>75</v>
      </c>
      <c r="N8254" s="1">
        <v>42872.849305555559</v>
      </c>
      <c r="O8254" t="s">
        <v>19</v>
      </c>
    </row>
    <row r="8255" spans="1:15" x14ac:dyDescent="0.25">
      <c r="A8255" t="s">
        <v>5630</v>
      </c>
      <c r="B8255" t="s">
        <v>15</v>
      </c>
      <c r="C8255" t="s">
        <v>25</v>
      </c>
      <c r="D8255" t="s">
        <v>17</v>
      </c>
      <c r="E8255" t="s">
        <v>18</v>
      </c>
      <c r="F8255" t="s">
        <v>19</v>
      </c>
      <c r="G8255" t="s">
        <v>20</v>
      </c>
      <c r="J8255" t="s">
        <v>17</v>
      </c>
      <c r="K8255" t="str">
        <f>"173315131"</f>
        <v>173315131</v>
      </c>
      <c r="L8255" t="str">
        <f>"173315131"</f>
        <v>173315131</v>
      </c>
      <c r="M8255" t="s">
        <v>75</v>
      </c>
      <c r="N8255" s="1">
        <v>43133.675694444442</v>
      </c>
      <c r="O8255" t="s">
        <v>19</v>
      </c>
    </row>
    <row r="8256" spans="1:15" x14ac:dyDescent="0.25">
      <c r="A8256" t="s">
        <v>5631</v>
      </c>
      <c r="B8256" t="s">
        <v>15</v>
      </c>
      <c r="C8256" t="s">
        <v>25</v>
      </c>
      <c r="D8256" t="s">
        <v>17</v>
      </c>
      <c r="E8256" t="s">
        <v>18</v>
      </c>
      <c r="F8256" t="s">
        <v>19</v>
      </c>
      <c r="G8256" t="s">
        <v>20</v>
      </c>
      <c r="J8256" t="s">
        <v>17</v>
      </c>
      <c r="K8256" t="str">
        <f>"32531527"</f>
        <v>32531527</v>
      </c>
      <c r="L8256" t="str">
        <f>"32531527"</f>
        <v>32531527</v>
      </c>
      <c r="M8256" t="s">
        <v>75</v>
      </c>
      <c r="N8256" s="1">
        <v>42872.839583333334</v>
      </c>
      <c r="O8256" t="s">
        <v>19</v>
      </c>
    </row>
    <row r="8257" spans="1:15" x14ac:dyDescent="0.25">
      <c r="A8257" t="s">
        <v>5631</v>
      </c>
      <c r="B8257" t="s">
        <v>15</v>
      </c>
      <c r="C8257" t="s">
        <v>25</v>
      </c>
      <c r="D8257" t="s">
        <v>17</v>
      </c>
      <c r="E8257" t="s">
        <v>18</v>
      </c>
      <c r="F8257" t="s">
        <v>19</v>
      </c>
      <c r="G8257" t="s">
        <v>20</v>
      </c>
      <c r="J8257" t="s">
        <v>17</v>
      </c>
      <c r="K8257" t="str">
        <f>"76331527"</f>
        <v>76331527</v>
      </c>
      <c r="L8257" t="str">
        <f>"76331527"</f>
        <v>76331527</v>
      </c>
      <c r="M8257" t="s">
        <v>75</v>
      </c>
      <c r="N8257" s="1">
        <v>42872.847222222219</v>
      </c>
      <c r="O8257" t="s">
        <v>19</v>
      </c>
    </row>
    <row r="8258" spans="1:15" x14ac:dyDescent="0.25">
      <c r="A8258" t="s">
        <v>5632</v>
      </c>
      <c r="B8258" t="s">
        <v>15</v>
      </c>
      <c r="C8258" t="s">
        <v>25</v>
      </c>
      <c r="D8258" t="s">
        <v>17</v>
      </c>
      <c r="E8258" t="s">
        <v>18</v>
      </c>
      <c r="F8258" t="s">
        <v>19</v>
      </c>
      <c r="G8258" t="s">
        <v>20</v>
      </c>
      <c r="J8258" t="s">
        <v>17</v>
      </c>
      <c r="K8258" t="str">
        <f>"763315301"</f>
        <v>763315301</v>
      </c>
      <c r="L8258" t="str">
        <f>"763315301"</f>
        <v>763315301</v>
      </c>
      <c r="M8258" t="s">
        <v>75</v>
      </c>
      <c r="N8258" s="1">
        <v>43045.713888888888</v>
      </c>
      <c r="O8258" t="s">
        <v>19</v>
      </c>
    </row>
    <row r="8259" spans="1:15" x14ac:dyDescent="0.25">
      <c r="A8259" t="s">
        <v>5632</v>
      </c>
      <c r="B8259" t="s">
        <v>15</v>
      </c>
      <c r="C8259" t="s">
        <v>25</v>
      </c>
      <c r="D8259" t="s">
        <v>17</v>
      </c>
      <c r="E8259" t="s">
        <v>18</v>
      </c>
      <c r="F8259" t="s">
        <v>19</v>
      </c>
      <c r="G8259" t="s">
        <v>20</v>
      </c>
      <c r="J8259" t="s">
        <v>17</v>
      </c>
      <c r="K8259" t="str">
        <f>"763315310"</f>
        <v>763315310</v>
      </c>
      <c r="L8259" t="str">
        <f>"763315310"</f>
        <v>763315310</v>
      </c>
      <c r="M8259" t="s">
        <v>75</v>
      </c>
      <c r="N8259" s="1">
        <v>43097.611805555556</v>
      </c>
      <c r="O8259" t="s">
        <v>19</v>
      </c>
    </row>
    <row r="8260" spans="1:15" x14ac:dyDescent="0.25">
      <c r="A8260" t="s">
        <v>5632</v>
      </c>
      <c r="B8260" t="s">
        <v>15</v>
      </c>
      <c r="C8260" t="s">
        <v>25</v>
      </c>
      <c r="D8260" t="s">
        <v>17</v>
      </c>
      <c r="E8260" t="s">
        <v>18</v>
      </c>
      <c r="F8260" t="s">
        <v>19</v>
      </c>
      <c r="G8260" t="s">
        <v>20</v>
      </c>
      <c r="J8260" t="s">
        <v>17</v>
      </c>
      <c r="K8260" t="str">
        <f>"693315301"</f>
        <v>693315301</v>
      </c>
      <c r="L8260" t="str">
        <f>"693315301"</f>
        <v>693315301</v>
      </c>
      <c r="M8260" t="s">
        <v>84</v>
      </c>
      <c r="N8260" s="1">
        <v>43328.836805555555</v>
      </c>
      <c r="O8260" t="s">
        <v>19</v>
      </c>
    </row>
    <row r="8261" spans="1:15" x14ac:dyDescent="0.25">
      <c r="A8261" t="s">
        <v>5633</v>
      </c>
      <c r="B8261" t="s">
        <v>15</v>
      </c>
      <c r="C8261" t="s">
        <v>25</v>
      </c>
      <c r="D8261" t="s">
        <v>17</v>
      </c>
      <c r="E8261" t="s">
        <v>18</v>
      </c>
      <c r="F8261" t="s">
        <v>19</v>
      </c>
      <c r="G8261" t="s">
        <v>20</v>
      </c>
      <c r="J8261" t="s">
        <v>17</v>
      </c>
      <c r="K8261" t="str">
        <f>"765315269"</f>
        <v>765315269</v>
      </c>
      <c r="L8261" t="str">
        <f>"765315269"</f>
        <v>765315269</v>
      </c>
      <c r="M8261" t="s">
        <v>75</v>
      </c>
      <c r="N8261" s="1">
        <v>42872.849305555559</v>
      </c>
      <c r="O8261" t="s">
        <v>19</v>
      </c>
    </row>
    <row r="8262" spans="1:15" x14ac:dyDescent="0.25">
      <c r="A8262" t="s">
        <v>5633</v>
      </c>
      <c r="B8262" t="s">
        <v>15</v>
      </c>
      <c r="C8262" t="s">
        <v>25</v>
      </c>
      <c r="D8262" t="s">
        <v>17</v>
      </c>
      <c r="E8262" t="s">
        <v>18</v>
      </c>
      <c r="F8262" t="s">
        <v>19</v>
      </c>
      <c r="G8262" t="s">
        <v>20</v>
      </c>
      <c r="J8262" t="s">
        <v>17</v>
      </c>
      <c r="K8262" t="str">
        <f>"763315269"</f>
        <v>763315269</v>
      </c>
      <c r="L8262" t="str">
        <f>"763315269"</f>
        <v>763315269</v>
      </c>
      <c r="M8262" t="s">
        <v>84</v>
      </c>
      <c r="N8262" s="1">
        <v>43286.729861111111</v>
      </c>
      <c r="O8262" t="s">
        <v>19</v>
      </c>
    </row>
    <row r="8263" spans="1:15" x14ac:dyDescent="0.25">
      <c r="A8263" t="s">
        <v>5634</v>
      </c>
      <c r="B8263" t="s">
        <v>15</v>
      </c>
      <c r="C8263" t="s">
        <v>25</v>
      </c>
      <c r="D8263" t="s">
        <v>17</v>
      </c>
      <c r="E8263" t="s">
        <v>18</v>
      </c>
      <c r="F8263" t="s">
        <v>19</v>
      </c>
      <c r="G8263" t="s">
        <v>20</v>
      </c>
      <c r="J8263" t="s">
        <v>17</v>
      </c>
      <c r="K8263" t="str">
        <f>"76530518"</f>
        <v>76530518</v>
      </c>
      <c r="L8263" t="str">
        <f>"76530518"</f>
        <v>76530518</v>
      </c>
      <c r="M8263" t="s">
        <v>75</v>
      </c>
      <c r="N8263" s="1">
        <v>42872.847222222219</v>
      </c>
      <c r="O8263" t="s">
        <v>19</v>
      </c>
    </row>
    <row r="8264" spans="1:15" x14ac:dyDescent="0.25">
      <c r="A8264" t="s">
        <v>5634</v>
      </c>
      <c r="B8264" t="s">
        <v>15</v>
      </c>
      <c r="C8264" t="s">
        <v>25</v>
      </c>
      <c r="D8264" t="s">
        <v>17</v>
      </c>
      <c r="E8264" t="s">
        <v>18</v>
      </c>
      <c r="F8264" t="s">
        <v>19</v>
      </c>
      <c r="G8264" t="s">
        <v>20</v>
      </c>
      <c r="J8264" t="s">
        <v>17</v>
      </c>
      <c r="K8264" t="str">
        <f>"110771014"</f>
        <v>110771014</v>
      </c>
      <c r="L8264" t="str">
        <f>"110771014"</f>
        <v>110771014</v>
      </c>
      <c r="M8264" t="s">
        <v>75</v>
      </c>
      <c r="N8264" s="1">
        <v>42872.847222222219</v>
      </c>
      <c r="O8264" t="s">
        <v>19</v>
      </c>
    </row>
    <row r="8265" spans="1:15" x14ac:dyDescent="0.25">
      <c r="A8265" t="s">
        <v>5634</v>
      </c>
      <c r="B8265" t="s">
        <v>15</v>
      </c>
      <c r="C8265" t="s">
        <v>25</v>
      </c>
      <c r="D8265" t="s">
        <v>17</v>
      </c>
      <c r="E8265" t="s">
        <v>18</v>
      </c>
      <c r="F8265" t="s">
        <v>19</v>
      </c>
      <c r="G8265" t="s">
        <v>20</v>
      </c>
      <c r="J8265" t="s">
        <v>17</v>
      </c>
      <c r="K8265" t="str">
        <f>"76331518"</f>
        <v>76331518</v>
      </c>
      <c r="L8265" t="str">
        <f>"76331518"</f>
        <v>76331518</v>
      </c>
      <c r="M8265" t="s">
        <v>75</v>
      </c>
      <c r="N8265" s="1">
        <v>42872.849305555559</v>
      </c>
      <c r="O8265" t="s">
        <v>19</v>
      </c>
    </row>
    <row r="8266" spans="1:15" x14ac:dyDescent="0.25">
      <c r="A8266" t="s">
        <v>5635</v>
      </c>
      <c r="B8266" t="s">
        <v>15</v>
      </c>
      <c r="C8266" t="s">
        <v>25</v>
      </c>
      <c r="D8266" t="s">
        <v>17</v>
      </c>
      <c r="E8266" t="s">
        <v>18</v>
      </c>
      <c r="F8266" t="s">
        <v>19</v>
      </c>
      <c r="G8266" t="s">
        <v>20</v>
      </c>
      <c r="J8266" t="s">
        <v>17</v>
      </c>
      <c r="K8266" t="str">
        <f>"17531518"</f>
        <v>17531518</v>
      </c>
      <c r="L8266" t="str">
        <f>"17531518"</f>
        <v>17531518</v>
      </c>
      <c r="M8266" t="s">
        <v>75</v>
      </c>
      <c r="N8266" s="1">
        <v>42872.839583333334</v>
      </c>
      <c r="O8266" t="s">
        <v>19</v>
      </c>
    </row>
    <row r="8267" spans="1:15" x14ac:dyDescent="0.25">
      <c r="A8267" t="s">
        <v>5635</v>
      </c>
      <c r="B8267" t="s">
        <v>15</v>
      </c>
      <c r="C8267" t="s">
        <v>25</v>
      </c>
      <c r="D8267" t="s">
        <v>17</v>
      </c>
      <c r="E8267" t="s">
        <v>18</v>
      </c>
      <c r="F8267" t="s">
        <v>19</v>
      </c>
      <c r="G8267" t="s">
        <v>20</v>
      </c>
      <c r="J8267" t="s">
        <v>17</v>
      </c>
      <c r="K8267" t="str">
        <f>"34531518"</f>
        <v>34531518</v>
      </c>
      <c r="L8267" t="str">
        <f>"34531518"</f>
        <v>34531518</v>
      </c>
      <c r="M8267" t="s">
        <v>75</v>
      </c>
      <c r="N8267" s="1">
        <v>42872.839583333334</v>
      </c>
      <c r="O8267" t="s">
        <v>19</v>
      </c>
    </row>
    <row r="8268" spans="1:15" x14ac:dyDescent="0.25">
      <c r="A8268" t="s">
        <v>5636</v>
      </c>
      <c r="B8268" t="s">
        <v>15</v>
      </c>
      <c r="C8268" t="s">
        <v>25</v>
      </c>
      <c r="D8268" t="s">
        <v>17</v>
      </c>
      <c r="E8268" t="s">
        <v>18</v>
      </c>
      <c r="F8268" t="s">
        <v>19</v>
      </c>
      <c r="G8268" t="s">
        <v>20</v>
      </c>
      <c r="J8268" t="s">
        <v>17</v>
      </c>
      <c r="K8268" t="str">
        <f>"17531509"</f>
        <v>17531509</v>
      </c>
      <c r="L8268" t="str">
        <f>"17531509"</f>
        <v>17531509</v>
      </c>
      <c r="M8268" t="s">
        <v>75</v>
      </c>
      <c r="N8268" s="1">
        <v>42872.839583333334</v>
      </c>
      <c r="O8268" t="s">
        <v>19</v>
      </c>
    </row>
    <row r="8269" spans="1:15" x14ac:dyDescent="0.25">
      <c r="A8269" t="s">
        <v>5636</v>
      </c>
      <c r="B8269" t="s">
        <v>15</v>
      </c>
      <c r="C8269" t="s">
        <v>25</v>
      </c>
      <c r="D8269" t="s">
        <v>17</v>
      </c>
      <c r="E8269" t="s">
        <v>18</v>
      </c>
      <c r="F8269" t="s">
        <v>19</v>
      </c>
      <c r="G8269" t="s">
        <v>20</v>
      </c>
      <c r="J8269" t="s">
        <v>17</v>
      </c>
      <c r="K8269" t="str">
        <f>"34531509"</f>
        <v>34531509</v>
      </c>
      <c r="L8269" t="str">
        <f>"34531509"</f>
        <v>34531509</v>
      </c>
      <c r="M8269" t="s">
        <v>75</v>
      </c>
      <c r="N8269" s="1">
        <v>42872.839583333334</v>
      </c>
      <c r="O8269" t="s">
        <v>19</v>
      </c>
    </row>
    <row r="8270" spans="1:15" x14ac:dyDescent="0.25">
      <c r="A8270" t="s">
        <v>5636</v>
      </c>
      <c r="B8270" t="s">
        <v>15</v>
      </c>
      <c r="C8270" t="s">
        <v>25</v>
      </c>
      <c r="D8270" t="s">
        <v>17</v>
      </c>
      <c r="E8270" t="s">
        <v>18</v>
      </c>
      <c r="F8270" t="s">
        <v>19</v>
      </c>
      <c r="G8270" t="s">
        <v>20</v>
      </c>
      <c r="J8270" t="s">
        <v>17</v>
      </c>
      <c r="K8270" t="str">
        <f>"76531509"</f>
        <v>76531509</v>
      </c>
      <c r="L8270" t="str">
        <f>"76531509"</f>
        <v>76531509</v>
      </c>
      <c r="M8270" t="s">
        <v>75</v>
      </c>
      <c r="N8270" s="1">
        <v>42872.847222222219</v>
      </c>
      <c r="O8270" t="s">
        <v>19</v>
      </c>
    </row>
    <row r="8271" spans="1:15" x14ac:dyDescent="0.25">
      <c r="A8271" t="s">
        <v>5636</v>
      </c>
      <c r="B8271" t="s">
        <v>15</v>
      </c>
      <c r="C8271" t="s">
        <v>25</v>
      </c>
      <c r="D8271" t="s">
        <v>17</v>
      </c>
      <c r="E8271" t="s">
        <v>18</v>
      </c>
      <c r="F8271" t="s">
        <v>19</v>
      </c>
      <c r="G8271" t="s">
        <v>20</v>
      </c>
      <c r="J8271" t="s">
        <v>17</v>
      </c>
      <c r="K8271" t="str">
        <f>"17331509"</f>
        <v>17331509</v>
      </c>
      <c r="L8271" t="str">
        <f>"17331509"</f>
        <v>17331509</v>
      </c>
      <c r="M8271" t="s">
        <v>75</v>
      </c>
      <c r="N8271" s="1">
        <v>42895.963888888888</v>
      </c>
      <c r="O8271" t="s">
        <v>19</v>
      </c>
    </row>
    <row r="8272" spans="1:15" x14ac:dyDescent="0.25">
      <c r="A8272" t="s">
        <v>5637</v>
      </c>
      <c r="B8272" t="s">
        <v>15</v>
      </c>
      <c r="C8272" t="s">
        <v>25</v>
      </c>
      <c r="D8272" t="s">
        <v>17</v>
      </c>
      <c r="E8272" t="s">
        <v>18</v>
      </c>
      <c r="F8272" t="s">
        <v>19</v>
      </c>
      <c r="G8272" t="s">
        <v>20</v>
      </c>
      <c r="J8272" t="s">
        <v>17</v>
      </c>
      <c r="K8272" t="str">
        <f>"345315111"</f>
        <v>345315111</v>
      </c>
      <c r="L8272" t="str">
        <f>"345315111"</f>
        <v>345315111</v>
      </c>
      <c r="M8272" t="s">
        <v>75</v>
      </c>
      <c r="N8272" s="1">
        <v>42872.849305555559</v>
      </c>
      <c r="O8272" t="s">
        <v>19</v>
      </c>
    </row>
    <row r="8273" spans="1:15" x14ac:dyDescent="0.25">
      <c r="A8273" t="s">
        <v>5637</v>
      </c>
      <c r="B8273" t="s">
        <v>15</v>
      </c>
      <c r="C8273" t="s">
        <v>25</v>
      </c>
      <c r="D8273" t="s">
        <v>17</v>
      </c>
      <c r="E8273" t="s">
        <v>18</v>
      </c>
      <c r="F8273" t="s">
        <v>19</v>
      </c>
      <c r="G8273" t="s">
        <v>20</v>
      </c>
      <c r="J8273" t="s">
        <v>17</v>
      </c>
      <c r="K8273" t="str">
        <f>"765309111"</f>
        <v>765309111</v>
      </c>
      <c r="L8273" t="str">
        <f>"765309111"</f>
        <v>765309111</v>
      </c>
      <c r="M8273" t="s">
        <v>75</v>
      </c>
      <c r="N8273" s="1">
        <v>42872.849305555559</v>
      </c>
      <c r="O8273" t="s">
        <v>19</v>
      </c>
    </row>
    <row r="8274" spans="1:15" x14ac:dyDescent="0.25">
      <c r="A8274" t="s">
        <v>5637</v>
      </c>
      <c r="B8274" t="s">
        <v>15</v>
      </c>
      <c r="C8274" t="s">
        <v>25</v>
      </c>
      <c r="D8274" t="s">
        <v>17</v>
      </c>
      <c r="E8274" t="s">
        <v>18</v>
      </c>
      <c r="F8274" t="s">
        <v>19</v>
      </c>
      <c r="G8274" t="s">
        <v>20</v>
      </c>
      <c r="J8274" t="s">
        <v>17</v>
      </c>
      <c r="K8274" t="str">
        <f>"765315111"</f>
        <v>765315111</v>
      </c>
      <c r="L8274" t="str">
        <f>"765315111"</f>
        <v>765315111</v>
      </c>
      <c r="M8274" t="s">
        <v>75</v>
      </c>
      <c r="N8274" s="1">
        <v>42872.849305555559</v>
      </c>
      <c r="O8274" t="s">
        <v>19</v>
      </c>
    </row>
    <row r="8275" spans="1:15" x14ac:dyDescent="0.25">
      <c r="A8275" t="s">
        <v>5638</v>
      </c>
      <c r="B8275" t="s">
        <v>15</v>
      </c>
      <c r="C8275" t="s">
        <v>25</v>
      </c>
      <c r="D8275" t="s">
        <v>17</v>
      </c>
      <c r="E8275" t="s">
        <v>18</v>
      </c>
      <c r="F8275" t="s">
        <v>19</v>
      </c>
      <c r="G8275" t="s">
        <v>20</v>
      </c>
      <c r="J8275" t="s">
        <v>17</v>
      </c>
      <c r="K8275" t="str">
        <f>"76331509"</f>
        <v>76331509</v>
      </c>
      <c r="L8275" t="str">
        <f>"76331509"</f>
        <v>76331509</v>
      </c>
      <c r="M8275" t="s">
        <v>75</v>
      </c>
      <c r="N8275" s="1">
        <v>42872.847222222219</v>
      </c>
      <c r="O8275" t="s">
        <v>19</v>
      </c>
    </row>
    <row r="8276" spans="1:15" x14ac:dyDescent="0.25">
      <c r="A8276" t="s">
        <v>5639</v>
      </c>
      <c r="B8276" t="s">
        <v>15</v>
      </c>
      <c r="C8276" t="s">
        <v>25</v>
      </c>
      <c r="D8276" t="s">
        <v>17</v>
      </c>
      <c r="E8276" t="s">
        <v>18</v>
      </c>
      <c r="F8276" t="s">
        <v>19</v>
      </c>
      <c r="G8276" t="s">
        <v>20</v>
      </c>
      <c r="J8276" t="s">
        <v>17</v>
      </c>
      <c r="K8276" t="str">
        <f>"345315195"</f>
        <v>345315195</v>
      </c>
      <c r="L8276" t="str">
        <f>"345315195"</f>
        <v>345315195</v>
      </c>
      <c r="M8276" t="s">
        <v>75</v>
      </c>
      <c r="N8276" s="1">
        <v>42872.849305555559</v>
      </c>
      <c r="O8276" t="s">
        <v>19</v>
      </c>
    </row>
    <row r="8277" spans="1:15" x14ac:dyDescent="0.25">
      <c r="A8277" t="s">
        <v>5639</v>
      </c>
      <c r="B8277" t="s">
        <v>15</v>
      </c>
      <c r="C8277" t="s">
        <v>25</v>
      </c>
      <c r="D8277" t="s">
        <v>17</v>
      </c>
      <c r="E8277" t="s">
        <v>18</v>
      </c>
      <c r="F8277" t="s">
        <v>19</v>
      </c>
      <c r="G8277" t="s">
        <v>20</v>
      </c>
      <c r="J8277" t="s">
        <v>17</v>
      </c>
      <c r="K8277" t="str">
        <f>"763315195"</f>
        <v>763315195</v>
      </c>
      <c r="L8277" t="str">
        <f>"763315195"</f>
        <v>763315195</v>
      </c>
      <c r="M8277" t="s">
        <v>75</v>
      </c>
      <c r="N8277" s="1">
        <v>42872.849305555559</v>
      </c>
      <c r="O8277" t="s">
        <v>19</v>
      </c>
    </row>
    <row r="8278" spans="1:15" x14ac:dyDescent="0.25">
      <c r="A8278" t="s">
        <v>5639</v>
      </c>
      <c r="B8278" t="s">
        <v>15</v>
      </c>
      <c r="C8278" t="s">
        <v>25</v>
      </c>
      <c r="D8278" t="s">
        <v>17</v>
      </c>
      <c r="E8278" t="s">
        <v>18</v>
      </c>
      <c r="F8278" t="s">
        <v>19</v>
      </c>
      <c r="G8278" t="s">
        <v>20</v>
      </c>
      <c r="J8278" t="s">
        <v>17</v>
      </c>
      <c r="K8278" t="str">
        <f>"765315195"</f>
        <v>765315195</v>
      </c>
      <c r="L8278" t="str">
        <f>"765315195"</f>
        <v>765315195</v>
      </c>
      <c r="M8278" t="s">
        <v>75</v>
      </c>
      <c r="N8278" s="1">
        <v>42872.849305555559</v>
      </c>
      <c r="O8278" t="s">
        <v>19</v>
      </c>
    </row>
    <row r="8279" spans="1:15" x14ac:dyDescent="0.25">
      <c r="A8279" t="s">
        <v>5640</v>
      </c>
      <c r="B8279" t="s">
        <v>15</v>
      </c>
      <c r="C8279" t="s">
        <v>25</v>
      </c>
      <c r="D8279" t="s">
        <v>17</v>
      </c>
      <c r="E8279" t="s">
        <v>18</v>
      </c>
      <c r="F8279" t="s">
        <v>19</v>
      </c>
      <c r="G8279" t="s">
        <v>20</v>
      </c>
      <c r="J8279" t="s">
        <v>17</v>
      </c>
      <c r="K8279" t="str">
        <f>"76331572"</f>
        <v>76331572</v>
      </c>
      <c r="L8279" t="str">
        <f>"76331572"</f>
        <v>76331572</v>
      </c>
      <c r="M8279" t="s">
        <v>75</v>
      </c>
      <c r="N8279" s="1">
        <v>42872.847222222219</v>
      </c>
      <c r="O8279" t="s">
        <v>19</v>
      </c>
    </row>
    <row r="8280" spans="1:15" x14ac:dyDescent="0.25">
      <c r="A8280" t="s">
        <v>5640</v>
      </c>
      <c r="B8280" t="s">
        <v>15</v>
      </c>
      <c r="C8280" t="s">
        <v>25</v>
      </c>
      <c r="D8280" t="s">
        <v>17</v>
      </c>
      <c r="E8280" t="s">
        <v>18</v>
      </c>
      <c r="F8280" t="s">
        <v>19</v>
      </c>
      <c r="G8280" t="s">
        <v>20</v>
      </c>
      <c r="J8280" t="s">
        <v>17</v>
      </c>
      <c r="K8280" t="str">
        <f>"76531572"</f>
        <v>76531572</v>
      </c>
      <c r="L8280" t="str">
        <f>"76531572"</f>
        <v>76531572</v>
      </c>
      <c r="M8280" t="s">
        <v>75</v>
      </c>
      <c r="N8280" s="1">
        <v>42872.847222222219</v>
      </c>
      <c r="O8280" t="s">
        <v>19</v>
      </c>
    </row>
    <row r="8281" spans="1:15" x14ac:dyDescent="0.25">
      <c r="A8281" t="s">
        <v>5641</v>
      </c>
      <c r="B8281" t="s">
        <v>15</v>
      </c>
      <c r="C8281" t="s">
        <v>25</v>
      </c>
      <c r="D8281" t="s">
        <v>17</v>
      </c>
      <c r="E8281" t="s">
        <v>18</v>
      </c>
      <c r="F8281" t="s">
        <v>19</v>
      </c>
      <c r="G8281" t="s">
        <v>20</v>
      </c>
      <c r="J8281" t="s">
        <v>17</v>
      </c>
      <c r="K8281" t="str">
        <f>"76531573"</f>
        <v>76531573</v>
      </c>
      <c r="L8281" t="str">
        <f>"76531573"</f>
        <v>76531573</v>
      </c>
      <c r="M8281" t="s">
        <v>75</v>
      </c>
      <c r="N8281" s="1">
        <v>42872.847222222219</v>
      </c>
      <c r="O8281" t="s">
        <v>19</v>
      </c>
    </row>
    <row r="8282" spans="1:15" x14ac:dyDescent="0.25">
      <c r="A8282" t="s">
        <v>5642</v>
      </c>
      <c r="B8282" t="s">
        <v>15</v>
      </c>
      <c r="C8282" t="s">
        <v>25</v>
      </c>
      <c r="D8282" t="s">
        <v>17</v>
      </c>
      <c r="E8282" t="s">
        <v>18</v>
      </c>
      <c r="F8282" t="s">
        <v>19</v>
      </c>
      <c r="G8282" t="s">
        <v>20</v>
      </c>
      <c r="J8282" t="s">
        <v>17</v>
      </c>
      <c r="K8282" t="str">
        <f>"110771016"</f>
        <v>110771016</v>
      </c>
      <c r="L8282" t="str">
        <f>"110771016"</f>
        <v>110771016</v>
      </c>
      <c r="M8282" t="s">
        <v>75</v>
      </c>
      <c r="N8282" s="1">
        <v>42872.847222222219</v>
      </c>
      <c r="O8282" t="s">
        <v>19</v>
      </c>
    </row>
    <row r="8283" spans="1:15" x14ac:dyDescent="0.25">
      <c r="A8283" t="s">
        <v>5642</v>
      </c>
      <c r="B8283" t="s">
        <v>15</v>
      </c>
      <c r="C8283" t="s">
        <v>25</v>
      </c>
      <c r="D8283" t="s">
        <v>17</v>
      </c>
      <c r="E8283" t="s">
        <v>18</v>
      </c>
      <c r="F8283" t="s">
        <v>19</v>
      </c>
      <c r="G8283" t="s">
        <v>20</v>
      </c>
      <c r="J8283" t="s">
        <v>17</v>
      </c>
      <c r="K8283" t="str">
        <f>"175315130"</f>
        <v>175315130</v>
      </c>
      <c r="L8283" t="str">
        <f>"175315130"</f>
        <v>175315130</v>
      </c>
      <c r="M8283" t="s">
        <v>75</v>
      </c>
      <c r="N8283" s="1">
        <v>42872.849305555559</v>
      </c>
      <c r="O8283" t="s">
        <v>19</v>
      </c>
    </row>
    <row r="8284" spans="1:15" x14ac:dyDescent="0.25">
      <c r="A8284" t="s">
        <v>5642</v>
      </c>
      <c r="B8284" t="s">
        <v>15</v>
      </c>
      <c r="C8284" t="s">
        <v>25</v>
      </c>
      <c r="D8284" t="s">
        <v>17</v>
      </c>
      <c r="E8284" t="s">
        <v>18</v>
      </c>
      <c r="F8284" t="s">
        <v>19</v>
      </c>
      <c r="G8284" t="s">
        <v>20</v>
      </c>
      <c r="J8284" t="s">
        <v>17</v>
      </c>
      <c r="K8284" t="str">
        <f>"345315130"</f>
        <v>345315130</v>
      </c>
      <c r="L8284" t="str">
        <f>"345315130"</f>
        <v>345315130</v>
      </c>
      <c r="M8284" t="s">
        <v>75</v>
      </c>
      <c r="N8284" s="1">
        <v>42872.849305555559</v>
      </c>
      <c r="O8284" t="s">
        <v>19</v>
      </c>
    </row>
    <row r="8285" spans="1:15" x14ac:dyDescent="0.25">
      <c r="A8285" t="s">
        <v>5643</v>
      </c>
      <c r="B8285" t="s">
        <v>15</v>
      </c>
      <c r="C8285" t="s">
        <v>25</v>
      </c>
      <c r="D8285" t="s">
        <v>17</v>
      </c>
      <c r="E8285" t="s">
        <v>18</v>
      </c>
      <c r="F8285" t="s">
        <v>19</v>
      </c>
      <c r="G8285" t="s">
        <v>20</v>
      </c>
      <c r="J8285" t="s">
        <v>17</v>
      </c>
      <c r="K8285" t="str">
        <f>"325315266"</f>
        <v>325315266</v>
      </c>
      <c r="L8285" t="str">
        <f>"325315266"</f>
        <v>325315266</v>
      </c>
      <c r="M8285" t="s">
        <v>75</v>
      </c>
      <c r="N8285" s="1">
        <v>42872.849305555559</v>
      </c>
      <c r="O8285" t="s">
        <v>19</v>
      </c>
    </row>
    <row r="8286" spans="1:15" x14ac:dyDescent="0.25">
      <c r="A8286" t="s">
        <v>5643</v>
      </c>
      <c r="B8286" t="s">
        <v>15</v>
      </c>
      <c r="C8286" t="s">
        <v>25</v>
      </c>
      <c r="D8286" t="s">
        <v>17</v>
      </c>
      <c r="E8286" t="s">
        <v>18</v>
      </c>
      <c r="F8286" t="s">
        <v>19</v>
      </c>
      <c r="G8286" t="s">
        <v>20</v>
      </c>
      <c r="J8286" t="s">
        <v>17</v>
      </c>
      <c r="K8286" t="str">
        <f>"763315266"</f>
        <v>763315266</v>
      </c>
      <c r="L8286" t="str">
        <f>"763315266"</f>
        <v>763315266</v>
      </c>
      <c r="M8286" t="s">
        <v>75</v>
      </c>
      <c r="N8286" s="1">
        <v>42872.849305555559</v>
      </c>
      <c r="O8286" t="s">
        <v>19</v>
      </c>
    </row>
    <row r="8287" spans="1:15" x14ac:dyDescent="0.25">
      <c r="A8287" t="s">
        <v>5643</v>
      </c>
      <c r="B8287" t="s">
        <v>15</v>
      </c>
      <c r="C8287" t="s">
        <v>25</v>
      </c>
      <c r="D8287" t="s">
        <v>17</v>
      </c>
      <c r="E8287" t="s">
        <v>18</v>
      </c>
      <c r="F8287" t="s">
        <v>19</v>
      </c>
      <c r="G8287" t="s">
        <v>20</v>
      </c>
      <c r="J8287" t="s">
        <v>17</v>
      </c>
      <c r="K8287" t="str">
        <f>"765315266"</f>
        <v>765315266</v>
      </c>
      <c r="L8287" t="str">
        <f>"765315266"</f>
        <v>765315266</v>
      </c>
      <c r="M8287" t="s">
        <v>75</v>
      </c>
      <c r="N8287" s="1">
        <v>42872.849305555559</v>
      </c>
      <c r="O8287" t="s">
        <v>19</v>
      </c>
    </row>
    <row r="8288" spans="1:15" x14ac:dyDescent="0.25">
      <c r="A8288" t="s">
        <v>5643</v>
      </c>
      <c r="B8288" t="s">
        <v>15</v>
      </c>
      <c r="C8288" t="s">
        <v>25</v>
      </c>
      <c r="D8288" t="s">
        <v>17</v>
      </c>
      <c r="E8288" t="s">
        <v>18</v>
      </c>
      <c r="F8288" t="s">
        <v>19</v>
      </c>
      <c r="G8288" t="s">
        <v>20</v>
      </c>
      <c r="J8288" t="s">
        <v>17</v>
      </c>
      <c r="K8288" t="str">
        <f>"933314266"</f>
        <v>933314266</v>
      </c>
      <c r="L8288" t="str">
        <f>"933314266"</f>
        <v>933314266</v>
      </c>
      <c r="M8288" t="s">
        <v>75</v>
      </c>
      <c r="N8288" s="1">
        <v>42872.849305555559</v>
      </c>
      <c r="O8288" t="s">
        <v>19</v>
      </c>
    </row>
    <row r="8289" spans="1:15" x14ac:dyDescent="0.25">
      <c r="A8289" t="s">
        <v>5643</v>
      </c>
      <c r="B8289" t="s">
        <v>15</v>
      </c>
      <c r="C8289" t="s">
        <v>25</v>
      </c>
      <c r="D8289" t="s">
        <v>17</v>
      </c>
      <c r="E8289" t="s">
        <v>18</v>
      </c>
      <c r="F8289" t="s">
        <v>19</v>
      </c>
      <c r="G8289" t="s">
        <v>20</v>
      </c>
      <c r="J8289" t="s">
        <v>17</v>
      </c>
      <c r="K8289" t="str">
        <f>"933315266"</f>
        <v>933315266</v>
      </c>
      <c r="L8289" t="str">
        <f>"933315266"</f>
        <v>933315266</v>
      </c>
      <c r="M8289" t="s">
        <v>75</v>
      </c>
      <c r="N8289" s="1">
        <v>42872.849305555559</v>
      </c>
      <c r="O8289" t="s">
        <v>19</v>
      </c>
    </row>
    <row r="8290" spans="1:15" x14ac:dyDescent="0.25">
      <c r="A8290" t="s">
        <v>5643</v>
      </c>
      <c r="B8290" t="s">
        <v>15</v>
      </c>
      <c r="C8290" t="s">
        <v>25</v>
      </c>
      <c r="D8290" t="s">
        <v>17</v>
      </c>
      <c r="E8290" t="s">
        <v>18</v>
      </c>
      <c r="F8290" t="s">
        <v>19</v>
      </c>
      <c r="G8290" t="s">
        <v>20</v>
      </c>
      <c r="J8290" t="s">
        <v>17</v>
      </c>
      <c r="K8290" t="str">
        <f>"183315266"</f>
        <v>183315266</v>
      </c>
      <c r="L8290" t="str">
        <f>"183315266"</f>
        <v>183315266</v>
      </c>
      <c r="M8290" t="s">
        <v>75</v>
      </c>
      <c r="N8290" s="1">
        <v>42882.734722222223</v>
      </c>
      <c r="O8290" t="s">
        <v>19</v>
      </c>
    </row>
    <row r="8291" spans="1:15" x14ac:dyDescent="0.25">
      <c r="A8291" t="s">
        <v>5644</v>
      </c>
      <c r="B8291" t="s">
        <v>15</v>
      </c>
      <c r="C8291" t="s">
        <v>25</v>
      </c>
      <c r="D8291" t="s">
        <v>17</v>
      </c>
      <c r="E8291" t="s">
        <v>18</v>
      </c>
      <c r="F8291" t="s">
        <v>19</v>
      </c>
      <c r="G8291" t="s">
        <v>20</v>
      </c>
      <c r="J8291" t="s">
        <v>17</v>
      </c>
      <c r="K8291" t="str">
        <f>"413315287"</f>
        <v>413315287</v>
      </c>
      <c r="L8291" t="str">
        <f>"413315287"</f>
        <v>413315287</v>
      </c>
      <c r="M8291" t="s">
        <v>75</v>
      </c>
      <c r="N8291" s="1">
        <v>43083.780555555553</v>
      </c>
      <c r="O8291" t="s">
        <v>19</v>
      </c>
    </row>
    <row r="8292" spans="1:15" x14ac:dyDescent="0.25">
      <c r="A8292" t="s">
        <v>5645</v>
      </c>
      <c r="B8292" t="s">
        <v>15</v>
      </c>
      <c r="C8292" t="s">
        <v>25</v>
      </c>
      <c r="D8292" t="s">
        <v>17</v>
      </c>
      <c r="E8292" t="s">
        <v>18</v>
      </c>
      <c r="F8292" t="s">
        <v>19</v>
      </c>
      <c r="G8292" t="s">
        <v>20</v>
      </c>
      <c r="J8292" t="s">
        <v>17</v>
      </c>
      <c r="K8292" t="str">
        <f>"343310286"</f>
        <v>343310286</v>
      </c>
      <c r="L8292" t="str">
        <f>"343310286"</f>
        <v>343310286</v>
      </c>
      <c r="M8292" t="s">
        <v>75</v>
      </c>
      <c r="N8292" s="1">
        <v>42872.849305555559</v>
      </c>
      <c r="O8292" t="s">
        <v>19</v>
      </c>
    </row>
    <row r="8293" spans="1:15" x14ac:dyDescent="0.25">
      <c r="A8293" t="s">
        <v>5645</v>
      </c>
      <c r="B8293" t="s">
        <v>15</v>
      </c>
      <c r="C8293" t="s">
        <v>25</v>
      </c>
      <c r="D8293" t="s">
        <v>17</v>
      </c>
      <c r="E8293" t="s">
        <v>18</v>
      </c>
      <c r="F8293" t="s">
        <v>19</v>
      </c>
      <c r="G8293" t="s">
        <v>20</v>
      </c>
      <c r="J8293" t="s">
        <v>17</v>
      </c>
      <c r="K8293" t="str">
        <f>"345315278"</f>
        <v>345315278</v>
      </c>
      <c r="L8293" t="str">
        <f>"345315278"</f>
        <v>345315278</v>
      </c>
      <c r="M8293" t="s">
        <v>75</v>
      </c>
      <c r="N8293" s="1">
        <v>42872.849305555559</v>
      </c>
      <c r="O8293" t="s">
        <v>19</v>
      </c>
    </row>
    <row r="8294" spans="1:15" x14ac:dyDescent="0.25">
      <c r="A8294" t="s">
        <v>5645</v>
      </c>
      <c r="B8294" t="s">
        <v>15</v>
      </c>
      <c r="C8294" t="s">
        <v>25</v>
      </c>
      <c r="D8294" t="s">
        <v>17</v>
      </c>
      <c r="E8294" t="s">
        <v>18</v>
      </c>
      <c r="F8294" t="s">
        <v>19</v>
      </c>
      <c r="G8294" t="s">
        <v>20</v>
      </c>
      <c r="J8294" t="s">
        <v>17</v>
      </c>
      <c r="K8294" t="str">
        <f>"343315286"</f>
        <v>343315286</v>
      </c>
      <c r="L8294" t="str">
        <f>"343315286"</f>
        <v>343315286</v>
      </c>
      <c r="M8294" t="s">
        <v>75</v>
      </c>
      <c r="N8294" s="1">
        <v>42872.849305555559</v>
      </c>
      <c r="O8294" t="s">
        <v>19</v>
      </c>
    </row>
    <row r="8295" spans="1:15" x14ac:dyDescent="0.25">
      <c r="A8295" t="s">
        <v>5645</v>
      </c>
      <c r="B8295" t="s">
        <v>15</v>
      </c>
      <c r="C8295" t="s">
        <v>25</v>
      </c>
      <c r="D8295" t="s">
        <v>17</v>
      </c>
      <c r="E8295" t="s">
        <v>18</v>
      </c>
      <c r="F8295" t="s">
        <v>19</v>
      </c>
      <c r="G8295" t="s">
        <v>20</v>
      </c>
      <c r="J8295" t="s">
        <v>17</v>
      </c>
      <c r="K8295" t="str">
        <f>"183315286"</f>
        <v>183315286</v>
      </c>
      <c r="L8295" t="str">
        <f>"183315286"</f>
        <v>183315286</v>
      </c>
      <c r="M8295" t="s">
        <v>75</v>
      </c>
      <c r="N8295" s="1">
        <v>42882.709027777775</v>
      </c>
      <c r="O8295" t="s">
        <v>19</v>
      </c>
    </row>
    <row r="8296" spans="1:15" x14ac:dyDescent="0.25">
      <c r="A8296" t="s">
        <v>5645</v>
      </c>
      <c r="B8296" t="s">
        <v>15</v>
      </c>
      <c r="C8296" t="s">
        <v>25</v>
      </c>
      <c r="D8296" t="s">
        <v>17</v>
      </c>
      <c r="E8296" t="s">
        <v>18</v>
      </c>
      <c r="F8296" t="s">
        <v>19</v>
      </c>
      <c r="G8296" t="s">
        <v>20</v>
      </c>
      <c r="J8296" t="s">
        <v>17</v>
      </c>
      <c r="K8296" t="str">
        <f>"763315286"</f>
        <v>763315286</v>
      </c>
      <c r="L8296" t="str">
        <f>"763315286"</f>
        <v>763315286</v>
      </c>
      <c r="M8296" t="s">
        <v>75</v>
      </c>
      <c r="N8296" s="1">
        <v>42884.902777777781</v>
      </c>
      <c r="O8296" t="s">
        <v>19</v>
      </c>
    </row>
    <row r="8297" spans="1:15" x14ac:dyDescent="0.25">
      <c r="A8297" t="s">
        <v>5645</v>
      </c>
      <c r="B8297" t="s">
        <v>15</v>
      </c>
      <c r="C8297" t="s">
        <v>25</v>
      </c>
      <c r="D8297" t="s">
        <v>17</v>
      </c>
      <c r="E8297" t="s">
        <v>18</v>
      </c>
      <c r="F8297" t="s">
        <v>19</v>
      </c>
      <c r="G8297" t="s">
        <v>20</v>
      </c>
      <c r="J8297" t="s">
        <v>17</v>
      </c>
      <c r="K8297" t="str">
        <f>"686815286"</f>
        <v>686815286</v>
      </c>
      <c r="L8297" t="str">
        <f>"686815286"</f>
        <v>686815286</v>
      </c>
      <c r="M8297" t="s">
        <v>75</v>
      </c>
      <c r="N8297" s="1">
        <v>43007.656944444447</v>
      </c>
      <c r="O8297" t="s">
        <v>19</v>
      </c>
    </row>
    <row r="8298" spans="1:15" x14ac:dyDescent="0.25">
      <c r="A8298" t="s">
        <v>5645</v>
      </c>
      <c r="B8298" t="s">
        <v>15</v>
      </c>
      <c r="C8298" t="s">
        <v>25</v>
      </c>
      <c r="D8298" t="s">
        <v>17</v>
      </c>
      <c r="E8298" t="s">
        <v>18</v>
      </c>
      <c r="F8298" t="s">
        <v>19</v>
      </c>
      <c r="G8298" t="s">
        <v>20</v>
      </c>
      <c r="J8298" t="s">
        <v>17</v>
      </c>
      <c r="K8298" t="str">
        <f>"683315286"</f>
        <v>683315286</v>
      </c>
      <c r="L8298" t="str">
        <f>"683315286"</f>
        <v>683315286</v>
      </c>
      <c r="M8298" t="s">
        <v>75</v>
      </c>
      <c r="N8298" s="1">
        <v>43007.690972222219</v>
      </c>
      <c r="O8298" t="s">
        <v>19</v>
      </c>
    </row>
    <row r="8299" spans="1:15" x14ac:dyDescent="0.25">
      <c r="A8299" t="s">
        <v>5646</v>
      </c>
      <c r="B8299" t="s">
        <v>15</v>
      </c>
      <c r="C8299" t="s">
        <v>25</v>
      </c>
      <c r="D8299" t="s">
        <v>17</v>
      </c>
      <c r="E8299" t="s">
        <v>18</v>
      </c>
      <c r="F8299" t="s">
        <v>19</v>
      </c>
      <c r="G8299" t="s">
        <v>20</v>
      </c>
      <c r="J8299" t="s">
        <v>17</v>
      </c>
      <c r="K8299" t="str">
        <f>"763315267"</f>
        <v>763315267</v>
      </c>
      <c r="L8299" t="str">
        <f>"763315267"</f>
        <v>763315267</v>
      </c>
      <c r="M8299" t="s">
        <v>75</v>
      </c>
      <c r="N8299" s="1">
        <v>43112.987500000003</v>
      </c>
      <c r="O8299" t="s">
        <v>19</v>
      </c>
    </row>
    <row r="8300" spans="1:15" x14ac:dyDescent="0.25">
      <c r="A8300" t="s">
        <v>5647</v>
      </c>
      <c r="B8300" t="s">
        <v>15</v>
      </c>
      <c r="C8300" t="s">
        <v>25</v>
      </c>
      <c r="D8300" t="s">
        <v>17</v>
      </c>
      <c r="E8300" t="s">
        <v>18</v>
      </c>
      <c r="F8300" t="s">
        <v>19</v>
      </c>
      <c r="G8300" t="s">
        <v>20</v>
      </c>
      <c r="J8300" t="s">
        <v>17</v>
      </c>
      <c r="K8300" t="str">
        <f>"683315287"</f>
        <v>683315287</v>
      </c>
      <c r="L8300" t="str">
        <f>"683315287"</f>
        <v>683315287</v>
      </c>
      <c r="M8300" t="s">
        <v>75</v>
      </c>
      <c r="N8300" s="1">
        <v>43008.919444444444</v>
      </c>
      <c r="O8300" t="s">
        <v>19</v>
      </c>
    </row>
    <row r="8301" spans="1:15" x14ac:dyDescent="0.25">
      <c r="A8301" t="s">
        <v>5647</v>
      </c>
      <c r="B8301" t="s">
        <v>15</v>
      </c>
      <c r="C8301" t="s">
        <v>25</v>
      </c>
      <c r="D8301" t="s">
        <v>17</v>
      </c>
      <c r="E8301" t="s">
        <v>18</v>
      </c>
      <c r="F8301" t="s">
        <v>19</v>
      </c>
      <c r="G8301" t="s">
        <v>20</v>
      </c>
      <c r="J8301" t="s">
        <v>17</v>
      </c>
      <c r="K8301" t="str">
        <f>"343315287"</f>
        <v>343315287</v>
      </c>
      <c r="L8301" t="str">
        <f>"343315287"</f>
        <v>343315287</v>
      </c>
      <c r="M8301" t="s">
        <v>75</v>
      </c>
      <c r="N8301" s="1">
        <v>43010.635416666664</v>
      </c>
      <c r="O8301" t="s">
        <v>19</v>
      </c>
    </row>
    <row r="8302" spans="1:15" x14ac:dyDescent="0.25">
      <c r="A8302" t="s">
        <v>5647</v>
      </c>
      <c r="B8302" t="s">
        <v>15</v>
      </c>
      <c r="C8302" t="s">
        <v>25</v>
      </c>
      <c r="D8302" t="s">
        <v>17</v>
      </c>
      <c r="E8302" t="s">
        <v>18</v>
      </c>
      <c r="F8302" t="s">
        <v>19</v>
      </c>
      <c r="G8302" t="s">
        <v>20</v>
      </c>
      <c r="J8302" t="s">
        <v>17</v>
      </c>
      <c r="K8302" t="str">
        <f>"173315287"</f>
        <v>173315287</v>
      </c>
      <c r="L8302" t="str">
        <f>"173315287"</f>
        <v>173315287</v>
      </c>
      <c r="M8302" t="s">
        <v>75</v>
      </c>
      <c r="N8302" s="1">
        <v>43096.727083333331</v>
      </c>
      <c r="O8302" t="s">
        <v>19</v>
      </c>
    </row>
    <row r="8303" spans="1:15" x14ac:dyDescent="0.25">
      <c r="A8303" t="s">
        <v>5647</v>
      </c>
      <c r="B8303" t="s">
        <v>15</v>
      </c>
      <c r="C8303" t="s">
        <v>25</v>
      </c>
      <c r="D8303" t="s">
        <v>17</v>
      </c>
      <c r="E8303" t="s">
        <v>18</v>
      </c>
      <c r="F8303" t="s">
        <v>19</v>
      </c>
      <c r="G8303" t="s">
        <v>20</v>
      </c>
      <c r="J8303" t="s">
        <v>17</v>
      </c>
      <c r="K8303" t="str">
        <f>"763315287"</f>
        <v>763315287</v>
      </c>
      <c r="L8303" t="str">
        <f>"763315287"</f>
        <v>763315287</v>
      </c>
      <c r="M8303" t="s">
        <v>75</v>
      </c>
      <c r="N8303" s="1">
        <v>43112.988194444442</v>
      </c>
      <c r="O8303" t="s">
        <v>19</v>
      </c>
    </row>
    <row r="8304" spans="1:15" x14ac:dyDescent="0.25">
      <c r="A8304" t="s">
        <v>5647</v>
      </c>
      <c r="B8304" t="s">
        <v>15</v>
      </c>
      <c r="C8304" t="s">
        <v>25</v>
      </c>
      <c r="D8304" t="s">
        <v>17</v>
      </c>
      <c r="E8304" t="s">
        <v>18</v>
      </c>
      <c r="F8304" t="s">
        <v>19</v>
      </c>
      <c r="G8304" t="s">
        <v>20</v>
      </c>
      <c r="J8304" t="s">
        <v>17</v>
      </c>
      <c r="K8304" t="str">
        <f>"765315287"</f>
        <v>765315287</v>
      </c>
      <c r="L8304" t="str">
        <f>"765315287"</f>
        <v>765315287</v>
      </c>
      <c r="M8304" t="s">
        <v>84</v>
      </c>
      <c r="N8304" s="1">
        <v>43286.729166666664</v>
      </c>
      <c r="O8304" t="s">
        <v>19</v>
      </c>
    </row>
    <row r="8305" spans="1:15" x14ac:dyDescent="0.25">
      <c r="A8305" t="s">
        <v>5648</v>
      </c>
      <c r="B8305" t="s">
        <v>15</v>
      </c>
      <c r="C8305" t="s">
        <v>25</v>
      </c>
      <c r="D8305" t="s">
        <v>17</v>
      </c>
      <c r="E8305" t="s">
        <v>18</v>
      </c>
      <c r="F8305" t="s">
        <v>19</v>
      </c>
      <c r="G8305" t="s">
        <v>20</v>
      </c>
      <c r="J8305" t="s">
        <v>17</v>
      </c>
      <c r="K8305" t="str">
        <f>"2018410300410"</f>
        <v>2018410300410</v>
      </c>
      <c r="L8305" t="str">
        <f>"183315270"</f>
        <v>183315270</v>
      </c>
      <c r="M8305" t="s">
        <v>84</v>
      </c>
      <c r="N8305" s="1">
        <v>43397.620138888888</v>
      </c>
      <c r="O8305" t="s">
        <v>19</v>
      </c>
    </row>
    <row r="8306" spans="1:15" x14ac:dyDescent="0.25">
      <c r="A8306" t="s">
        <v>5648</v>
      </c>
      <c r="B8306" t="s">
        <v>15</v>
      </c>
      <c r="C8306" t="s">
        <v>25</v>
      </c>
      <c r="D8306" t="s">
        <v>17</v>
      </c>
      <c r="E8306" t="s">
        <v>18</v>
      </c>
      <c r="F8306" t="s">
        <v>19</v>
      </c>
      <c r="G8306" t="s">
        <v>20</v>
      </c>
      <c r="J8306" t="s">
        <v>17</v>
      </c>
      <c r="K8306" t="str">
        <f>"763315270"</f>
        <v>763315270</v>
      </c>
      <c r="L8306" t="str">
        <f>"763315270"</f>
        <v>763315270</v>
      </c>
      <c r="M8306" t="s">
        <v>84</v>
      </c>
      <c r="N8306" s="1">
        <v>43397.757638888892</v>
      </c>
      <c r="O8306" t="s">
        <v>19</v>
      </c>
    </row>
    <row r="8307" spans="1:15" x14ac:dyDescent="0.25">
      <c r="A8307" t="s">
        <v>5649</v>
      </c>
      <c r="B8307" t="s">
        <v>15</v>
      </c>
      <c r="C8307" t="s">
        <v>25</v>
      </c>
      <c r="D8307" t="s">
        <v>17</v>
      </c>
      <c r="E8307" t="s">
        <v>18</v>
      </c>
      <c r="F8307" t="s">
        <v>19</v>
      </c>
      <c r="G8307" t="s">
        <v>20</v>
      </c>
      <c r="J8307" t="s">
        <v>17</v>
      </c>
      <c r="K8307" t="str">
        <f>"763315268"</f>
        <v>763315268</v>
      </c>
      <c r="L8307" t="str">
        <f>"763315268"</f>
        <v>763315268</v>
      </c>
      <c r="M8307" t="s">
        <v>84</v>
      </c>
      <c r="N8307" s="1">
        <v>43286.729166666664</v>
      </c>
      <c r="O8307" t="s">
        <v>19</v>
      </c>
    </row>
    <row r="8308" spans="1:15" x14ac:dyDescent="0.25">
      <c r="A8308" t="s">
        <v>5649</v>
      </c>
      <c r="B8308" t="s">
        <v>15</v>
      </c>
      <c r="C8308" t="s">
        <v>25</v>
      </c>
      <c r="D8308" t="s">
        <v>17</v>
      </c>
      <c r="E8308" t="s">
        <v>18</v>
      </c>
      <c r="F8308" t="s">
        <v>19</v>
      </c>
      <c r="G8308" t="s">
        <v>20</v>
      </c>
      <c r="J8308" t="s">
        <v>17</v>
      </c>
      <c r="K8308" t="str">
        <f>"343315268"</f>
        <v>343315268</v>
      </c>
      <c r="L8308" t="str">
        <f>"343315268"</f>
        <v>343315268</v>
      </c>
      <c r="M8308" t="s">
        <v>84</v>
      </c>
      <c r="N8308" s="1">
        <v>43396.950694444444</v>
      </c>
      <c r="O8308" t="s">
        <v>19</v>
      </c>
    </row>
    <row r="8309" spans="1:15" x14ac:dyDescent="0.25">
      <c r="A8309" t="s">
        <v>5650</v>
      </c>
      <c r="B8309" t="s">
        <v>15</v>
      </c>
      <c r="C8309" t="s">
        <v>25</v>
      </c>
      <c r="D8309" t="s">
        <v>17</v>
      </c>
      <c r="E8309" t="s">
        <v>18</v>
      </c>
      <c r="F8309" t="s">
        <v>19</v>
      </c>
      <c r="G8309" t="s">
        <v>20</v>
      </c>
      <c r="J8309" t="s">
        <v>17</v>
      </c>
      <c r="K8309" t="str">
        <f>"763315170"</f>
        <v>763315170</v>
      </c>
      <c r="L8309" t="str">
        <f>"763315170"</f>
        <v>763315170</v>
      </c>
      <c r="M8309" t="s">
        <v>84</v>
      </c>
      <c r="N8309" s="1">
        <v>43259.637499999997</v>
      </c>
      <c r="O8309" t="s">
        <v>19</v>
      </c>
    </row>
    <row r="8310" spans="1:15" x14ac:dyDescent="0.25">
      <c r="A8310" t="s">
        <v>5651</v>
      </c>
      <c r="B8310" t="s">
        <v>15</v>
      </c>
      <c r="C8310" t="s">
        <v>25</v>
      </c>
      <c r="D8310" t="s">
        <v>17</v>
      </c>
      <c r="E8310" t="s">
        <v>18</v>
      </c>
      <c r="F8310" t="s">
        <v>19</v>
      </c>
      <c r="G8310" t="s">
        <v>20</v>
      </c>
      <c r="J8310" t="s">
        <v>17</v>
      </c>
      <c r="K8310" t="str">
        <f>"76331521"</f>
        <v>76331521</v>
      </c>
      <c r="L8310" t="str">
        <f>"76331521"</f>
        <v>76331521</v>
      </c>
      <c r="M8310" t="s">
        <v>75</v>
      </c>
      <c r="N8310" s="1">
        <v>42872.847222222219</v>
      </c>
      <c r="O8310" t="s">
        <v>19</v>
      </c>
    </row>
    <row r="8311" spans="1:15" x14ac:dyDescent="0.25">
      <c r="A8311" t="s">
        <v>5651</v>
      </c>
      <c r="B8311" t="s">
        <v>15</v>
      </c>
      <c r="C8311" t="s">
        <v>25</v>
      </c>
      <c r="D8311" t="s">
        <v>17</v>
      </c>
      <c r="E8311" t="s">
        <v>18</v>
      </c>
      <c r="F8311" t="s">
        <v>19</v>
      </c>
      <c r="G8311" t="s">
        <v>20</v>
      </c>
      <c r="J8311" t="s">
        <v>17</v>
      </c>
      <c r="K8311" t="str">
        <f>"76531521"</f>
        <v>76531521</v>
      </c>
      <c r="L8311" t="str">
        <f>"76531521"</f>
        <v>76531521</v>
      </c>
      <c r="M8311" t="s">
        <v>75</v>
      </c>
      <c r="N8311" s="1">
        <v>42872.847222222219</v>
      </c>
      <c r="O8311" t="s">
        <v>19</v>
      </c>
    </row>
    <row r="8312" spans="1:15" x14ac:dyDescent="0.25">
      <c r="A8312" t="s">
        <v>5652</v>
      </c>
      <c r="B8312" t="s">
        <v>15</v>
      </c>
      <c r="C8312" t="s">
        <v>25</v>
      </c>
      <c r="D8312" t="s">
        <v>17</v>
      </c>
      <c r="E8312" t="s">
        <v>18</v>
      </c>
      <c r="F8312" t="s">
        <v>19</v>
      </c>
      <c r="G8312" t="s">
        <v>20</v>
      </c>
      <c r="J8312" t="s">
        <v>17</v>
      </c>
      <c r="K8312" t="str">
        <f>"76331522"</f>
        <v>76331522</v>
      </c>
      <c r="L8312" t="str">
        <f>"76331522"</f>
        <v>76331522</v>
      </c>
      <c r="M8312" t="s">
        <v>75</v>
      </c>
      <c r="N8312" s="1">
        <v>42872.847222222219</v>
      </c>
      <c r="O8312" t="s">
        <v>19</v>
      </c>
    </row>
    <row r="8313" spans="1:15" x14ac:dyDescent="0.25">
      <c r="A8313" t="s">
        <v>5652</v>
      </c>
      <c r="B8313" t="s">
        <v>15</v>
      </c>
      <c r="C8313" t="s">
        <v>25</v>
      </c>
      <c r="D8313" t="s">
        <v>17</v>
      </c>
      <c r="E8313" t="s">
        <v>18</v>
      </c>
      <c r="F8313" t="s">
        <v>19</v>
      </c>
      <c r="G8313" t="s">
        <v>20</v>
      </c>
      <c r="J8313" t="s">
        <v>17</v>
      </c>
      <c r="K8313" t="str">
        <f>"76531422"</f>
        <v>76531422</v>
      </c>
      <c r="L8313" t="str">
        <f>"76531422"</f>
        <v>76531422</v>
      </c>
      <c r="M8313" t="s">
        <v>75</v>
      </c>
      <c r="N8313" s="1">
        <v>42872.847222222219</v>
      </c>
      <c r="O8313" t="s">
        <v>19</v>
      </c>
    </row>
    <row r="8314" spans="1:15" x14ac:dyDescent="0.25">
      <c r="A8314" t="s">
        <v>5652</v>
      </c>
      <c r="B8314" t="s">
        <v>15</v>
      </c>
      <c r="C8314" t="s">
        <v>25</v>
      </c>
      <c r="D8314" t="s">
        <v>17</v>
      </c>
      <c r="E8314" t="s">
        <v>18</v>
      </c>
      <c r="F8314" t="s">
        <v>19</v>
      </c>
      <c r="G8314" t="s">
        <v>20</v>
      </c>
      <c r="J8314" t="s">
        <v>17</v>
      </c>
      <c r="K8314" t="str">
        <f>"76531522"</f>
        <v>76531522</v>
      </c>
      <c r="L8314" t="str">
        <f>"76531522"</f>
        <v>76531522</v>
      </c>
      <c r="M8314" t="s">
        <v>75</v>
      </c>
      <c r="N8314" s="1">
        <v>42872.847222222219</v>
      </c>
      <c r="O8314" t="s">
        <v>19</v>
      </c>
    </row>
    <row r="8315" spans="1:15" x14ac:dyDescent="0.25">
      <c r="A8315" t="s">
        <v>5653</v>
      </c>
      <c r="B8315" t="s">
        <v>15</v>
      </c>
      <c r="C8315" t="s">
        <v>25</v>
      </c>
      <c r="D8315" t="s">
        <v>17</v>
      </c>
      <c r="E8315" t="s">
        <v>18</v>
      </c>
      <c r="F8315" t="s">
        <v>19</v>
      </c>
      <c r="G8315" t="s">
        <v>20</v>
      </c>
      <c r="J8315" t="s">
        <v>17</v>
      </c>
      <c r="K8315" t="str">
        <f>"34531523"</f>
        <v>34531523</v>
      </c>
      <c r="L8315" t="str">
        <f>"34531523"</f>
        <v>34531523</v>
      </c>
      <c r="M8315" t="s">
        <v>75</v>
      </c>
      <c r="N8315" s="1">
        <v>42872.839583333334</v>
      </c>
      <c r="O8315" t="s">
        <v>19</v>
      </c>
    </row>
    <row r="8316" spans="1:15" x14ac:dyDescent="0.25">
      <c r="A8316" t="s">
        <v>5653</v>
      </c>
      <c r="B8316" t="s">
        <v>15</v>
      </c>
      <c r="C8316" t="s">
        <v>25</v>
      </c>
      <c r="D8316" t="s">
        <v>17</v>
      </c>
      <c r="E8316" t="s">
        <v>18</v>
      </c>
      <c r="F8316" t="s">
        <v>19</v>
      </c>
      <c r="G8316" t="s">
        <v>20</v>
      </c>
      <c r="J8316" t="s">
        <v>17</v>
      </c>
      <c r="K8316" t="str">
        <f>"76331523"</f>
        <v>76331523</v>
      </c>
      <c r="L8316" t="str">
        <f>"76331523"</f>
        <v>76331523</v>
      </c>
      <c r="M8316" t="s">
        <v>75</v>
      </c>
      <c r="N8316" s="1">
        <v>42872.847222222219</v>
      </c>
      <c r="O8316" t="s">
        <v>19</v>
      </c>
    </row>
    <row r="8317" spans="1:15" x14ac:dyDescent="0.25">
      <c r="A8317" t="s">
        <v>5653</v>
      </c>
      <c r="B8317" t="s">
        <v>15</v>
      </c>
      <c r="C8317" t="s">
        <v>25</v>
      </c>
      <c r="D8317" t="s">
        <v>17</v>
      </c>
      <c r="E8317" t="s">
        <v>18</v>
      </c>
      <c r="F8317" t="s">
        <v>19</v>
      </c>
      <c r="G8317" t="s">
        <v>20</v>
      </c>
      <c r="J8317" t="s">
        <v>17</v>
      </c>
      <c r="K8317" t="str">
        <f>"76530523"</f>
        <v>76530523</v>
      </c>
      <c r="L8317" t="str">
        <f>"76530523"</f>
        <v>76530523</v>
      </c>
      <c r="M8317" t="s">
        <v>75</v>
      </c>
      <c r="N8317" s="1">
        <v>42872.847222222219</v>
      </c>
      <c r="O8317" t="s">
        <v>19</v>
      </c>
    </row>
    <row r="8318" spans="1:15" x14ac:dyDescent="0.25">
      <c r="A8318" t="s">
        <v>5653</v>
      </c>
      <c r="B8318" t="s">
        <v>15</v>
      </c>
      <c r="C8318" t="s">
        <v>25</v>
      </c>
      <c r="D8318" t="s">
        <v>17</v>
      </c>
      <c r="E8318" t="s">
        <v>18</v>
      </c>
      <c r="F8318" t="s">
        <v>19</v>
      </c>
      <c r="G8318" t="s">
        <v>20</v>
      </c>
      <c r="J8318" t="s">
        <v>17</v>
      </c>
      <c r="K8318" t="str">
        <f>"345315202"</f>
        <v>345315202</v>
      </c>
      <c r="L8318" t="str">
        <f>"345315202"</f>
        <v>345315202</v>
      </c>
      <c r="M8318" t="s">
        <v>75</v>
      </c>
      <c r="N8318" s="1">
        <v>42872.849305555559</v>
      </c>
      <c r="O8318" t="s">
        <v>19</v>
      </c>
    </row>
    <row r="8319" spans="1:15" x14ac:dyDescent="0.25">
      <c r="A8319" t="s">
        <v>5653</v>
      </c>
      <c r="B8319" t="s">
        <v>15</v>
      </c>
      <c r="C8319" t="s">
        <v>25</v>
      </c>
      <c r="D8319" t="s">
        <v>17</v>
      </c>
      <c r="E8319" t="s">
        <v>18</v>
      </c>
      <c r="F8319" t="s">
        <v>19</v>
      </c>
      <c r="G8319" t="s">
        <v>20</v>
      </c>
      <c r="J8319" t="s">
        <v>17</v>
      </c>
      <c r="K8319" t="str">
        <f>"765315202"</f>
        <v>765315202</v>
      </c>
      <c r="L8319" t="str">
        <f>"765315202"</f>
        <v>765315202</v>
      </c>
      <c r="M8319" t="s">
        <v>75</v>
      </c>
      <c r="N8319" s="1">
        <v>42872.849305555559</v>
      </c>
      <c r="O8319" t="s">
        <v>19</v>
      </c>
    </row>
    <row r="8320" spans="1:15" x14ac:dyDescent="0.25">
      <c r="A8320" t="s">
        <v>5654</v>
      </c>
      <c r="B8320" t="s">
        <v>15</v>
      </c>
      <c r="C8320" t="s">
        <v>25</v>
      </c>
      <c r="D8320" t="s">
        <v>17</v>
      </c>
      <c r="E8320" t="s">
        <v>18</v>
      </c>
      <c r="F8320" t="s">
        <v>19</v>
      </c>
      <c r="G8320" t="s">
        <v>20</v>
      </c>
      <c r="J8320" t="s">
        <v>17</v>
      </c>
      <c r="K8320" t="str">
        <f>"76531440"</f>
        <v>76531440</v>
      </c>
      <c r="L8320" t="str">
        <f>"76531440"</f>
        <v>76531440</v>
      </c>
      <c r="M8320" t="s">
        <v>75</v>
      </c>
      <c r="N8320" s="1">
        <v>42872.847222222219</v>
      </c>
      <c r="O8320" t="s">
        <v>19</v>
      </c>
    </row>
    <row r="8321" spans="1:15" x14ac:dyDescent="0.25">
      <c r="A8321" t="s">
        <v>5654</v>
      </c>
      <c r="B8321" t="s">
        <v>15</v>
      </c>
      <c r="C8321" t="s">
        <v>25</v>
      </c>
      <c r="D8321" t="s">
        <v>17</v>
      </c>
      <c r="E8321" t="s">
        <v>18</v>
      </c>
      <c r="F8321" t="s">
        <v>19</v>
      </c>
      <c r="G8321" t="s">
        <v>20</v>
      </c>
      <c r="J8321" t="s">
        <v>17</v>
      </c>
      <c r="K8321" t="str">
        <f>"76531523"</f>
        <v>76531523</v>
      </c>
      <c r="L8321" t="str">
        <f>"76531523"</f>
        <v>76531523</v>
      </c>
      <c r="M8321" t="s">
        <v>75</v>
      </c>
      <c r="N8321" s="1">
        <v>42872.847222222219</v>
      </c>
      <c r="O8321" t="s">
        <v>19</v>
      </c>
    </row>
    <row r="8322" spans="1:15" x14ac:dyDescent="0.25">
      <c r="A8322" t="s">
        <v>5654</v>
      </c>
      <c r="B8322" t="s">
        <v>15</v>
      </c>
      <c r="C8322" t="s">
        <v>25</v>
      </c>
      <c r="D8322" t="s">
        <v>17</v>
      </c>
      <c r="E8322" t="s">
        <v>18</v>
      </c>
      <c r="F8322" t="s">
        <v>19</v>
      </c>
      <c r="G8322" t="s">
        <v>20</v>
      </c>
      <c r="J8322" t="s">
        <v>17</v>
      </c>
      <c r="K8322" t="str">
        <f>"76531540"</f>
        <v>76531540</v>
      </c>
      <c r="L8322" t="str">
        <f>"76531540"</f>
        <v>76531540</v>
      </c>
      <c r="M8322" t="s">
        <v>75</v>
      </c>
      <c r="N8322" s="1">
        <v>42872.847222222219</v>
      </c>
      <c r="O8322" t="s">
        <v>19</v>
      </c>
    </row>
    <row r="8323" spans="1:15" x14ac:dyDescent="0.25">
      <c r="A8323" t="s">
        <v>5655</v>
      </c>
      <c r="B8323" t="s">
        <v>15</v>
      </c>
      <c r="C8323" t="s">
        <v>25</v>
      </c>
      <c r="D8323" t="s">
        <v>17</v>
      </c>
      <c r="E8323" t="s">
        <v>18</v>
      </c>
      <c r="F8323" t="s">
        <v>19</v>
      </c>
      <c r="G8323" t="s">
        <v>20</v>
      </c>
      <c r="J8323" t="s">
        <v>17</v>
      </c>
      <c r="K8323" t="str">
        <f>"17531524"</f>
        <v>17531524</v>
      </c>
      <c r="L8323" t="str">
        <f>"17531524"</f>
        <v>17531524</v>
      </c>
      <c r="M8323" t="s">
        <v>75</v>
      </c>
      <c r="N8323" s="1">
        <v>42872.839583333334</v>
      </c>
      <c r="O8323" t="s">
        <v>19</v>
      </c>
    </row>
    <row r="8324" spans="1:15" x14ac:dyDescent="0.25">
      <c r="A8324" t="s">
        <v>5655</v>
      </c>
      <c r="B8324" t="s">
        <v>15</v>
      </c>
      <c r="C8324" t="s">
        <v>25</v>
      </c>
      <c r="D8324" t="s">
        <v>17</v>
      </c>
      <c r="E8324" t="s">
        <v>18</v>
      </c>
      <c r="F8324" t="s">
        <v>19</v>
      </c>
      <c r="G8324" t="s">
        <v>20</v>
      </c>
      <c r="J8324" t="s">
        <v>17</v>
      </c>
      <c r="K8324" t="str">
        <f>"76331524"</f>
        <v>76331524</v>
      </c>
      <c r="L8324" t="str">
        <f>"76331524"</f>
        <v>76331524</v>
      </c>
      <c r="M8324" t="s">
        <v>75</v>
      </c>
      <c r="N8324" s="1">
        <v>42872.847222222219</v>
      </c>
      <c r="O8324" t="s">
        <v>19</v>
      </c>
    </row>
    <row r="8325" spans="1:15" x14ac:dyDescent="0.25">
      <c r="A8325" t="s">
        <v>5655</v>
      </c>
      <c r="B8325" t="s">
        <v>15</v>
      </c>
      <c r="C8325" t="s">
        <v>25</v>
      </c>
      <c r="D8325" t="s">
        <v>17</v>
      </c>
      <c r="E8325" t="s">
        <v>18</v>
      </c>
      <c r="F8325" t="s">
        <v>19</v>
      </c>
      <c r="G8325" t="s">
        <v>20</v>
      </c>
      <c r="J8325" t="s">
        <v>17</v>
      </c>
      <c r="K8325" t="str">
        <f>"110321114"</f>
        <v>110321114</v>
      </c>
      <c r="L8325" t="str">
        <f>"110321114"</f>
        <v>110321114</v>
      </c>
      <c r="M8325" t="s">
        <v>75</v>
      </c>
      <c r="N8325" s="1">
        <v>42872.847222222219</v>
      </c>
      <c r="O8325" t="s">
        <v>19</v>
      </c>
    </row>
    <row r="8326" spans="1:15" x14ac:dyDescent="0.25">
      <c r="A8326" t="s">
        <v>5655</v>
      </c>
      <c r="B8326" t="s">
        <v>15</v>
      </c>
      <c r="C8326" t="s">
        <v>25</v>
      </c>
      <c r="D8326" t="s">
        <v>17</v>
      </c>
      <c r="E8326" t="s">
        <v>18</v>
      </c>
      <c r="F8326" t="s">
        <v>19</v>
      </c>
      <c r="G8326" t="s">
        <v>20</v>
      </c>
      <c r="J8326" t="s">
        <v>17</v>
      </c>
      <c r="K8326" t="str">
        <f>"76531524"</f>
        <v>76531524</v>
      </c>
      <c r="L8326" t="str">
        <f>"76531524"</f>
        <v>76531524</v>
      </c>
      <c r="M8326" t="s">
        <v>75</v>
      </c>
      <c r="N8326" s="1">
        <v>42872.847222222219</v>
      </c>
      <c r="O8326" t="s">
        <v>19</v>
      </c>
    </row>
    <row r="8327" spans="1:15" x14ac:dyDescent="0.25">
      <c r="A8327" t="s">
        <v>5656</v>
      </c>
      <c r="B8327" t="s">
        <v>15</v>
      </c>
      <c r="C8327" t="s">
        <v>25</v>
      </c>
      <c r="D8327" t="s">
        <v>17</v>
      </c>
      <c r="E8327" t="s">
        <v>18</v>
      </c>
      <c r="F8327" t="s">
        <v>19</v>
      </c>
      <c r="G8327" t="s">
        <v>20</v>
      </c>
      <c r="J8327" t="s">
        <v>17</v>
      </c>
      <c r="K8327" t="str">
        <f>"175315133"</f>
        <v>175315133</v>
      </c>
      <c r="L8327" t="str">
        <f>"175315133"</f>
        <v>175315133</v>
      </c>
      <c r="M8327" t="s">
        <v>75</v>
      </c>
      <c r="N8327" s="1">
        <v>42872.849305555559</v>
      </c>
      <c r="O8327" t="s">
        <v>19</v>
      </c>
    </row>
    <row r="8328" spans="1:15" x14ac:dyDescent="0.25">
      <c r="A8328" t="s">
        <v>5656</v>
      </c>
      <c r="B8328" t="s">
        <v>15</v>
      </c>
      <c r="C8328" t="s">
        <v>25</v>
      </c>
      <c r="D8328" t="s">
        <v>17</v>
      </c>
      <c r="E8328" t="s">
        <v>18</v>
      </c>
      <c r="F8328" t="s">
        <v>19</v>
      </c>
      <c r="G8328" t="s">
        <v>20</v>
      </c>
      <c r="J8328" t="s">
        <v>17</v>
      </c>
      <c r="K8328" t="str">
        <f>"345315133"</f>
        <v>345315133</v>
      </c>
      <c r="L8328" t="str">
        <f>"345315133"</f>
        <v>345315133</v>
      </c>
      <c r="M8328" t="s">
        <v>75</v>
      </c>
      <c r="N8328" s="1">
        <v>42872.849305555559</v>
      </c>
      <c r="O8328" t="s">
        <v>19</v>
      </c>
    </row>
    <row r="8329" spans="1:15" x14ac:dyDescent="0.25">
      <c r="A8329" t="s">
        <v>5656</v>
      </c>
      <c r="B8329" t="s">
        <v>15</v>
      </c>
      <c r="C8329" t="s">
        <v>25</v>
      </c>
      <c r="D8329" t="s">
        <v>17</v>
      </c>
      <c r="E8329" t="s">
        <v>18</v>
      </c>
      <c r="F8329" t="s">
        <v>19</v>
      </c>
      <c r="G8329" t="s">
        <v>20</v>
      </c>
      <c r="J8329" t="s">
        <v>17</v>
      </c>
      <c r="K8329" t="str">
        <f>"765315133"</f>
        <v>765315133</v>
      </c>
      <c r="L8329" t="str">
        <f>"765315133"</f>
        <v>765315133</v>
      </c>
      <c r="M8329" t="s">
        <v>75</v>
      </c>
      <c r="N8329" s="1">
        <v>42872.849305555559</v>
      </c>
      <c r="O8329" t="s">
        <v>19</v>
      </c>
    </row>
    <row r="8330" spans="1:15" x14ac:dyDescent="0.25">
      <c r="A8330" t="s">
        <v>5657</v>
      </c>
      <c r="B8330" t="s">
        <v>15</v>
      </c>
      <c r="C8330" t="s">
        <v>25</v>
      </c>
      <c r="D8330" t="s">
        <v>17</v>
      </c>
      <c r="E8330" t="s">
        <v>18</v>
      </c>
      <c r="F8330" t="s">
        <v>19</v>
      </c>
      <c r="G8330" t="s">
        <v>20</v>
      </c>
      <c r="J8330" t="s">
        <v>17</v>
      </c>
      <c r="K8330" t="str">
        <f>"345315266"</f>
        <v>345315266</v>
      </c>
      <c r="L8330" t="str">
        <f>"345315266"</f>
        <v>345315266</v>
      </c>
      <c r="M8330" t="s">
        <v>75</v>
      </c>
      <c r="N8330" s="1">
        <v>42872.849305555559</v>
      </c>
      <c r="O8330" t="s">
        <v>19</v>
      </c>
    </row>
    <row r="8331" spans="1:15" x14ac:dyDescent="0.25">
      <c r="A8331" t="s">
        <v>5658</v>
      </c>
      <c r="B8331" t="s">
        <v>15</v>
      </c>
      <c r="C8331" t="s">
        <v>25</v>
      </c>
      <c r="D8331" t="s">
        <v>17</v>
      </c>
      <c r="E8331" t="s">
        <v>18</v>
      </c>
      <c r="F8331" t="s">
        <v>19</v>
      </c>
      <c r="G8331" t="s">
        <v>20</v>
      </c>
      <c r="J8331" t="s">
        <v>17</v>
      </c>
      <c r="K8331" t="str">
        <f>"345315176"</f>
        <v>345315176</v>
      </c>
      <c r="L8331" t="str">
        <f>"345315176"</f>
        <v>345315176</v>
      </c>
      <c r="M8331" t="s">
        <v>75</v>
      </c>
      <c r="N8331" s="1">
        <v>42872.849305555559</v>
      </c>
      <c r="O8331" t="s">
        <v>19</v>
      </c>
    </row>
    <row r="8332" spans="1:15" x14ac:dyDescent="0.25">
      <c r="A8332" t="s">
        <v>5658</v>
      </c>
      <c r="B8332" t="s">
        <v>15</v>
      </c>
      <c r="C8332" t="s">
        <v>25</v>
      </c>
      <c r="D8332" t="s">
        <v>17</v>
      </c>
      <c r="E8332" t="s">
        <v>18</v>
      </c>
      <c r="F8332" t="s">
        <v>19</v>
      </c>
      <c r="G8332" t="s">
        <v>20</v>
      </c>
      <c r="J8332" t="s">
        <v>17</v>
      </c>
      <c r="K8332" t="str">
        <f>"345315177"</f>
        <v>345315177</v>
      </c>
      <c r="L8332" t="str">
        <f>"345315177"</f>
        <v>345315177</v>
      </c>
      <c r="M8332" t="s">
        <v>75</v>
      </c>
      <c r="N8332" s="1">
        <v>42872.849305555559</v>
      </c>
      <c r="O8332" t="s">
        <v>19</v>
      </c>
    </row>
    <row r="8333" spans="1:15" x14ac:dyDescent="0.25">
      <c r="A8333" t="s">
        <v>5658</v>
      </c>
      <c r="B8333" t="s">
        <v>15</v>
      </c>
      <c r="C8333" t="s">
        <v>25</v>
      </c>
      <c r="D8333" t="s">
        <v>17</v>
      </c>
      <c r="E8333" t="s">
        <v>18</v>
      </c>
      <c r="F8333" t="s">
        <v>19</v>
      </c>
      <c r="G8333" t="s">
        <v>20</v>
      </c>
      <c r="J8333" t="s">
        <v>17</v>
      </c>
      <c r="K8333" t="str">
        <f>"765315176"</f>
        <v>765315176</v>
      </c>
      <c r="L8333" t="str">
        <f>"765315176"</f>
        <v>765315176</v>
      </c>
      <c r="M8333" t="s">
        <v>75</v>
      </c>
      <c r="N8333" s="1">
        <v>42872.849305555559</v>
      </c>
      <c r="O8333" t="s">
        <v>19</v>
      </c>
    </row>
    <row r="8334" spans="1:15" x14ac:dyDescent="0.25">
      <c r="A8334" t="s">
        <v>5658</v>
      </c>
      <c r="B8334" t="s">
        <v>15</v>
      </c>
      <c r="C8334" t="s">
        <v>25</v>
      </c>
      <c r="D8334" t="s">
        <v>17</v>
      </c>
      <c r="E8334" t="s">
        <v>18</v>
      </c>
      <c r="F8334" t="s">
        <v>19</v>
      </c>
      <c r="G8334" t="s">
        <v>20</v>
      </c>
      <c r="J8334" t="s">
        <v>17</v>
      </c>
      <c r="K8334" t="str">
        <f>"343315176"</f>
        <v>343315176</v>
      </c>
      <c r="L8334" t="str">
        <f>"343315176"</f>
        <v>343315176</v>
      </c>
      <c r="M8334" t="s">
        <v>75</v>
      </c>
      <c r="N8334" s="1">
        <v>43231.69027777778</v>
      </c>
      <c r="O8334" t="s">
        <v>19</v>
      </c>
    </row>
    <row r="8335" spans="1:15" x14ac:dyDescent="0.25">
      <c r="A8335" t="s">
        <v>5659</v>
      </c>
      <c r="B8335" t="s">
        <v>15</v>
      </c>
      <c r="C8335" t="s">
        <v>25</v>
      </c>
      <c r="D8335" t="s">
        <v>17</v>
      </c>
      <c r="E8335" t="s">
        <v>18</v>
      </c>
      <c r="F8335" t="s">
        <v>19</v>
      </c>
      <c r="G8335" t="s">
        <v>20</v>
      </c>
      <c r="J8335" t="s">
        <v>17</v>
      </c>
      <c r="K8335" t="str">
        <f>"17532200"</f>
        <v>17532200</v>
      </c>
      <c r="L8335" t="str">
        <f>"17532200"</f>
        <v>17532200</v>
      </c>
      <c r="M8335" t="s">
        <v>75</v>
      </c>
      <c r="N8335" s="1">
        <v>42872.839583333334</v>
      </c>
      <c r="O8335" t="s">
        <v>19</v>
      </c>
    </row>
    <row r="8336" spans="1:15" x14ac:dyDescent="0.25">
      <c r="A8336" t="s">
        <v>5660</v>
      </c>
      <c r="B8336" t="s">
        <v>15</v>
      </c>
      <c r="C8336" t="s">
        <v>25</v>
      </c>
      <c r="D8336" t="s">
        <v>17</v>
      </c>
      <c r="E8336" t="s">
        <v>18</v>
      </c>
      <c r="F8336" t="s">
        <v>19</v>
      </c>
      <c r="G8336" t="s">
        <v>20</v>
      </c>
      <c r="J8336" t="s">
        <v>17</v>
      </c>
      <c r="K8336" t="str">
        <f>"17532207"</f>
        <v>17532207</v>
      </c>
      <c r="L8336" t="str">
        <f>"17532207"</f>
        <v>17532207</v>
      </c>
      <c r="M8336" t="s">
        <v>75</v>
      </c>
      <c r="N8336" s="1">
        <v>42872.839583333334</v>
      </c>
      <c r="O8336" t="s">
        <v>19</v>
      </c>
    </row>
    <row r="8337" spans="1:15" x14ac:dyDescent="0.25">
      <c r="A8337" t="s">
        <v>5661</v>
      </c>
      <c r="B8337" t="s">
        <v>15</v>
      </c>
      <c r="C8337" t="s">
        <v>25</v>
      </c>
      <c r="D8337" t="s">
        <v>17</v>
      </c>
      <c r="E8337" t="s">
        <v>18</v>
      </c>
      <c r="F8337" t="s">
        <v>19</v>
      </c>
      <c r="G8337" t="s">
        <v>20</v>
      </c>
      <c r="J8337" t="s">
        <v>17</v>
      </c>
      <c r="K8337" t="str">
        <f>"86531430"</f>
        <v>86531430</v>
      </c>
      <c r="L8337" t="str">
        <f>"86531430"</f>
        <v>86531430</v>
      </c>
      <c r="M8337" t="s">
        <v>75</v>
      </c>
      <c r="N8337" s="1">
        <v>42872.847222222219</v>
      </c>
      <c r="O8337" t="s">
        <v>19</v>
      </c>
    </row>
    <row r="8338" spans="1:15" x14ac:dyDescent="0.25">
      <c r="A8338" t="s">
        <v>5662</v>
      </c>
      <c r="B8338" t="s">
        <v>15</v>
      </c>
      <c r="C8338" t="s">
        <v>25</v>
      </c>
      <c r="D8338" t="s">
        <v>17</v>
      </c>
      <c r="E8338" t="s">
        <v>18</v>
      </c>
      <c r="F8338" t="s">
        <v>19</v>
      </c>
      <c r="G8338" t="s">
        <v>20</v>
      </c>
      <c r="J8338" t="s">
        <v>17</v>
      </c>
      <c r="K8338" t="str">
        <f>"76330065"</f>
        <v>76330065</v>
      </c>
      <c r="L8338" t="str">
        <f>"76330065"</f>
        <v>76330065</v>
      </c>
      <c r="M8338" t="s">
        <v>75</v>
      </c>
      <c r="N8338" s="1">
        <v>42872.847222222219</v>
      </c>
      <c r="O8338" t="s">
        <v>19</v>
      </c>
    </row>
    <row r="8339" spans="1:15" x14ac:dyDescent="0.25">
      <c r="A8339" t="s">
        <v>5663</v>
      </c>
      <c r="B8339" t="s">
        <v>15</v>
      </c>
      <c r="C8339" t="s">
        <v>25</v>
      </c>
      <c r="D8339" t="s">
        <v>17</v>
      </c>
      <c r="E8339" t="s">
        <v>18</v>
      </c>
      <c r="F8339" t="s">
        <v>19</v>
      </c>
      <c r="G8339" t="s">
        <v>20</v>
      </c>
      <c r="J8339" t="s">
        <v>17</v>
      </c>
      <c r="K8339" t="str">
        <f>"76330007"</f>
        <v>76330007</v>
      </c>
      <c r="L8339" t="str">
        <f>"76330007"</f>
        <v>76330007</v>
      </c>
      <c r="M8339" t="s">
        <v>75</v>
      </c>
      <c r="N8339" s="1">
        <v>43064.729166666664</v>
      </c>
      <c r="O8339" t="s">
        <v>19</v>
      </c>
    </row>
    <row r="8340" spans="1:15" x14ac:dyDescent="0.25">
      <c r="A8340" t="s">
        <v>5663</v>
      </c>
      <c r="B8340" t="s">
        <v>15</v>
      </c>
      <c r="C8340" t="s">
        <v>25</v>
      </c>
      <c r="D8340" t="s">
        <v>17</v>
      </c>
      <c r="E8340" t="s">
        <v>18</v>
      </c>
      <c r="F8340" t="s">
        <v>19</v>
      </c>
      <c r="G8340" t="s">
        <v>20</v>
      </c>
      <c r="J8340" t="s">
        <v>17</v>
      </c>
      <c r="K8340" t="str">
        <f>"1000001002798"</f>
        <v>1000001002798</v>
      </c>
      <c r="L8340" t="str">
        <f>"17330007"</f>
        <v>17330007</v>
      </c>
      <c r="M8340" t="s">
        <v>21</v>
      </c>
      <c r="N8340" s="1">
        <v>43113.71875</v>
      </c>
      <c r="O8340" t="s">
        <v>19</v>
      </c>
    </row>
    <row r="8341" spans="1:15" x14ac:dyDescent="0.25">
      <c r="A8341" t="s">
        <v>5664</v>
      </c>
      <c r="B8341" t="s">
        <v>15</v>
      </c>
      <c r="C8341" t="s">
        <v>25</v>
      </c>
      <c r="D8341" t="s">
        <v>17</v>
      </c>
      <c r="E8341" t="s">
        <v>18</v>
      </c>
      <c r="F8341" t="s">
        <v>19</v>
      </c>
      <c r="G8341" t="s">
        <v>20</v>
      </c>
      <c r="J8341" t="s">
        <v>17</v>
      </c>
      <c r="K8341" t="str">
        <f>"175362118"</f>
        <v>175362118</v>
      </c>
      <c r="L8341" t="str">
        <f>"175362118"</f>
        <v>175362118</v>
      </c>
      <c r="M8341" t="s">
        <v>75</v>
      </c>
      <c r="N8341" s="1">
        <v>42872.849305555559</v>
      </c>
      <c r="O8341" t="s">
        <v>19</v>
      </c>
    </row>
    <row r="8342" spans="1:15" x14ac:dyDescent="0.25">
      <c r="A8342" t="s">
        <v>5664</v>
      </c>
      <c r="B8342" t="s">
        <v>15</v>
      </c>
      <c r="C8342" t="s">
        <v>25</v>
      </c>
      <c r="D8342" t="s">
        <v>17</v>
      </c>
      <c r="E8342" t="s">
        <v>18</v>
      </c>
      <c r="F8342" t="s">
        <v>19</v>
      </c>
      <c r="G8342" t="s">
        <v>20</v>
      </c>
      <c r="J8342" t="s">
        <v>17</v>
      </c>
      <c r="K8342" t="str">
        <f>"345362118"</f>
        <v>345362118</v>
      </c>
      <c r="L8342" t="str">
        <f>"345362118"</f>
        <v>345362118</v>
      </c>
      <c r="M8342" t="s">
        <v>75</v>
      </c>
      <c r="N8342" s="1">
        <v>42872.849305555559</v>
      </c>
      <c r="O8342" t="s">
        <v>19</v>
      </c>
    </row>
    <row r="8343" spans="1:15" x14ac:dyDescent="0.25">
      <c r="A8343" t="s">
        <v>5665</v>
      </c>
      <c r="B8343" t="s">
        <v>15</v>
      </c>
      <c r="C8343" t="s">
        <v>25</v>
      </c>
      <c r="D8343" t="s">
        <v>17</v>
      </c>
      <c r="E8343" t="s">
        <v>18</v>
      </c>
      <c r="F8343" t="s">
        <v>19</v>
      </c>
      <c r="G8343" t="s">
        <v>20</v>
      </c>
      <c r="J8343" t="s">
        <v>17</v>
      </c>
      <c r="K8343" t="str">
        <f>"34330350"</f>
        <v>34330350</v>
      </c>
      <c r="L8343" t="str">
        <f>"34330350"</f>
        <v>34330350</v>
      </c>
      <c r="M8343" t="s">
        <v>84</v>
      </c>
      <c r="N8343" s="1">
        <v>43257.789583333331</v>
      </c>
      <c r="O8343" t="s">
        <v>19</v>
      </c>
    </row>
    <row r="8344" spans="1:15" x14ac:dyDescent="0.25">
      <c r="A8344" t="s">
        <v>5666</v>
      </c>
      <c r="B8344" t="s">
        <v>15</v>
      </c>
      <c r="C8344" t="s">
        <v>25</v>
      </c>
      <c r="D8344" t="s">
        <v>17</v>
      </c>
      <c r="E8344" t="s">
        <v>18</v>
      </c>
      <c r="F8344" t="s">
        <v>19</v>
      </c>
      <c r="G8344" t="s">
        <v>20</v>
      </c>
      <c r="J8344" t="s">
        <v>17</v>
      </c>
      <c r="K8344" t="str">
        <f>"76540110"</f>
        <v>76540110</v>
      </c>
      <c r="L8344" t="str">
        <f>"76540110"</f>
        <v>76540110</v>
      </c>
      <c r="M8344" t="s">
        <v>75</v>
      </c>
      <c r="N8344" s="1">
        <v>42898.979861111111</v>
      </c>
      <c r="O8344" t="s">
        <v>19</v>
      </c>
    </row>
    <row r="8345" spans="1:15" x14ac:dyDescent="0.25">
      <c r="A8345" t="s">
        <v>5667</v>
      </c>
      <c r="B8345" t="s">
        <v>15</v>
      </c>
      <c r="C8345" t="s">
        <v>25</v>
      </c>
      <c r="D8345" t="s">
        <v>17</v>
      </c>
      <c r="E8345" t="s">
        <v>18</v>
      </c>
      <c r="F8345" t="s">
        <v>19</v>
      </c>
      <c r="G8345" t="s">
        <v>20</v>
      </c>
      <c r="J8345" t="s">
        <v>17</v>
      </c>
      <c r="K8345" t="str">
        <f>"343314230"</f>
        <v>343314230</v>
      </c>
      <c r="L8345" t="str">
        <f>"343314230"</f>
        <v>343314230</v>
      </c>
      <c r="M8345" t="s">
        <v>75</v>
      </c>
      <c r="N8345" s="1">
        <v>43116.706250000003</v>
      </c>
      <c r="O8345" t="s">
        <v>19</v>
      </c>
    </row>
    <row r="8346" spans="1:15" x14ac:dyDescent="0.25">
      <c r="A8346" t="s">
        <v>5668</v>
      </c>
      <c r="B8346" t="s">
        <v>15</v>
      </c>
      <c r="C8346" t="s">
        <v>25</v>
      </c>
      <c r="D8346" t="s">
        <v>17</v>
      </c>
      <c r="E8346" t="s">
        <v>18</v>
      </c>
      <c r="F8346" t="s">
        <v>19</v>
      </c>
      <c r="G8346" t="s">
        <v>20</v>
      </c>
      <c r="J8346" t="s">
        <v>17</v>
      </c>
      <c r="K8346" t="str">
        <f>"345314267"</f>
        <v>345314267</v>
      </c>
      <c r="L8346" t="str">
        <f>"345314267"</f>
        <v>345314267</v>
      </c>
      <c r="M8346" t="s">
        <v>75</v>
      </c>
      <c r="N8346" s="1">
        <v>42872.849305555559</v>
      </c>
      <c r="O8346" t="s">
        <v>19</v>
      </c>
    </row>
    <row r="8347" spans="1:15" x14ac:dyDescent="0.25">
      <c r="A8347" t="s">
        <v>5669</v>
      </c>
      <c r="B8347" t="s">
        <v>15</v>
      </c>
      <c r="C8347" t="s">
        <v>25</v>
      </c>
      <c r="D8347" t="s">
        <v>17</v>
      </c>
      <c r="E8347" t="s">
        <v>18</v>
      </c>
      <c r="F8347" t="s">
        <v>19</v>
      </c>
      <c r="G8347" t="s">
        <v>20</v>
      </c>
      <c r="J8347" t="s">
        <v>17</v>
      </c>
      <c r="K8347" t="str">
        <f>"17536214"</f>
        <v>17536214</v>
      </c>
      <c r="L8347" t="str">
        <f>"17536214"</f>
        <v>17536214</v>
      </c>
      <c r="M8347" t="s">
        <v>75</v>
      </c>
      <c r="N8347" s="1">
        <v>42872.839583333334</v>
      </c>
      <c r="O8347" t="s">
        <v>19</v>
      </c>
    </row>
    <row r="8348" spans="1:15" x14ac:dyDescent="0.25">
      <c r="A8348" t="s">
        <v>5670</v>
      </c>
      <c r="B8348" t="s">
        <v>15</v>
      </c>
      <c r="C8348" t="s">
        <v>25</v>
      </c>
      <c r="D8348" t="s">
        <v>17</v>
      </c>
      <c r="E8348" t="s">
        <v>18</v>
      </c>
      <c r="F8348" t="s">
        <v>19</v>
      </c>
      <c r="G8348" t="s">
        <v>20</v>
      </c>
      <c r="J8348" t="s">
        <v>17</v>
      </c>
      <c r="K8348" t="str">
        <f>"93531462"</f>
        <v>93531462</v>
      </c>
      <c r="L8348" t="str">
        <f>"93531462"</f>
        <v>93531462</v>
      </c>
      <c r="M8348" t="s">
        <v>75</v>
      </c>
      <c r="N8348" s="1">
        <v>42872.847222222219</v>
      </c>
      <c r="O8348" t="s">
        <v>19</v>
      </c>
    </row>
    <row r="8349" spans="1:15" x14ac:dyDescent="0.25">
      <c r="A8349" t="s">
        <v>5671</v>
      </c>
      <c r="B8349" t="s">
        <v>15</v>
      </c>
      <c r="C8349" t="s">
        <v>25</v>
      </c>
      <c r="D8349" t="s">
        <v>17</v>
      </c>
      <c r="E8349" t="s">
        <v>18</v>
      </c>
      <c r="F8349" t="s">
        <v>19</v>
      </c>
      <c r="G8349" t="s">
        <v>20</v>
      </c>
      <c r="J8349" t="s">
        <v>17</v>
      </c>
      <c r="K8349" t="str">
        <f>"765322550"</f>
        <v>765322550</v>
      </c>
      <c r="L8349" t="str">
        <f>"765322550"</f>
        <v>765322550</v>
      </c>
      <c r="M8349" t="s">
        <v>75</v>
      </c>
      <c r="N8349" s="1">
        <v>42872.849305555559</v>
      </c>
      <c r="O8349" t="s">
        <v>19</v>
      </c>
    </row>
    <row r="8350" spans="1:15" x14ac:dyDescent="0.25">
      <c r="A8350" t="s">
        <v>5672</v>
      </c>
      <c r="B8350" t="s">
        <v>15</v>
      </c>
      <c r="C8350" t="s">
        <v>25</v>
      </c>
      <c r="D8350" t="s">
        <v>17</v>
      </c>
      <c r="E8350" t="s">
        <v>18</v>
      </c>
      <c r="F8350" t="s">
        <v>19</v>
      </c>
      <c r="G8350" t="s">
        <v>20</v>
      </c>
      <c r="J8350" t="s">
        <v>17</v>
      </c>
      <c r="K8350" t="str">
        <f>"763314110"</f>
        <v>763314110</v>
      </c>
      <c r="L8350" t="str">
        <f>"763314110"</f>
        <v>763314110</v>
      </c>
      <c r="M8350" t="s">
        <v>75</v>
      </c>
      <c r="N8350" s="1">
        <v>42959.761111111111</v>
      </c>
      <c r="O8350" t="s">
        <v>19</v>
      </c>
    </row>
    <row r="8351" spans="1:15" x14ac:dyDescent="0.25">
      <c r="A8351" t="s">
        <v>5673</v>
      </c>
      <c r="B8351" t="s">
        <v>15</v>
      </c>
      <c r="C8351" t="s">
        <v>25</v>
      </c>
      <c r="D8351" t="s">
        <v>17</v>
      </c>
      <c r="E8351" t="s">
        <v>18</v>
      </c>
      <c r="F8351" t="s">
        <v>19</v>
      </c>
      <c r="G8351" t="s">
        <v>20</v>
      </c>
      <c r="J8351" t="s">
        <v>17</v>
      </c>
      <c r="K8351" t="str">
        <f>"763314230"</f>
        <v>763314230</v>
      </c>
      <c r="L8351" t="str">
        <f>"763314230"</f>
        <v>763314230</v>
      </c>
      <c r="M8351" t="s">
        <v>75</v>
      </c>
      <c r="N8351" s="1">
        <v>42959.761805555558</v>
      </c>
      <c r="O8351" t="s">
        <v>19</v>
      </c>
    </row>
    <row r="8352" spans="1:15" x14ac:dyDescent="0.25">
      <c r="A8352" t="s">
        <v>5674</v>
      </c>
      <c r="B8352" t="s">
        <v>15</v>
      </c>
      <c r="C8352" t="s">
        <v>25</v>
      </c>
      <c r="D8352" t="s">
        <v>17</v>
      </c>
      <c r="E8352" t="s">
        <v>18</v>
      </c>
      <c r="F8352" t="s">
        <v>19</v>
      </c>
      <c r="G8352" t="s">
        <v>20</v>
      </c>
      <c r="J8352" t="s">
        <v>17</v>
      </c>
      <c r="K8352" t="str">
        <f>"763314280"</f>
        <v>763314280</v>
      </c>
      <c r="L8352" t="str">
        <f>"763314280"</f>
        <v>763314280</v>
      </c>
      <c r="M8352" t="s">
        <v>75</v>
      </c>
      <c r="N8352" s="1">
        <v>43033.854861111111</v>
      </c>
      <c r="O8352" t="s">
        <v>19</v>
      </c>
    </row>
    <row r="8353" spans="1:15" x14ac:dyDescent="0.25">
      <c r="A8353" t="s">
        <v>5675</v>
      </c>
      <c r="B8353" t="s">
        <v>15</v>
      </c>
      <c r="C8353" t="s">
        <v>25</v>
      </c>
      <c r="D8353" t="s">
        <v>17</v>
      </c>
      <c r="E8353" t="s">
        <v>18</v>
      </c>
      <c r="F8353" t="s">
        <v>19</v>
      </c>
      <c r="G8353" t="s">
        <v>20</v>
      </c>
      <c r="J8353" t="s">
        <v>17</v>
      </c>
      <c r="K8353" t="str">
        <f>"763314550"</f>
        <v>763314550</v>
      </c>
      <c r="L8353" t="str">
        <f>"763314550"</f>
        <v>763314550</v>
      </c>
      <c r="M8353" t="s">
        <v>75</v>
      </c>
      <c r="N8353" s="1">
        <v>42959.763194444444</v>
      </c>
      <c r="O8353" t="s">
        <v>19</v>
      </c>
    </row>
    <row r="8354" spans="1:15" x14ac:dyDescent="0.25">
      <c r="A8354" t="s">
        <v>5676</v>
      </c>
      <c r="B8354" t="s">
        <v>15</v>
      </c>
      <c r="C8354" t="s">
        <v>25</v>
      </c>
      <c r="D8354" t="s">
        <v>17</v>
      </c>
      <c r="E8354" t="s">
        <v>18</v>
      </c>
      <c r="F8354" t="s">
        <v>19</v>
      </c>
      <c r="G8354" t="s">
        <v>20</v>
      </c>
      <c r="J8354" t="s">
        <v>17</v>
      </c>
      <c r="K8354" t="str">
        <f>"76540560"</f>
        <v>76540560</v>
      </c>
      <c r="L8354" t="str">
        <f>"76540560"</f>
        <v>76540560</v>
      </c>
      <c r="M8354" t="s">
        <v>75</v>
      </c>
      <c r="N8354" s="1">
        <v>42898.980555555558</v>
      </c>
      <c r="O8354" t="s">
        <v>19</v>
      </c>
    </row>
    <row r="8355" spans="1:15" x14ac:dyDescent="0.25">
      <c r="A8355" t="s">
        <v>5676</v>
      </c>
      <c r="B8355" t="s">
        <v>15</v>
      </c>
      <c r="C8355" t="s">
        <v>25</v>
      </c>
      <c r="D8355" t="s">
        <v>17</v>
      </c>
      <c r="E8355" t="s">
        <v>18</v>
      </c>
      <c r="F8355" t="s">
        <v>19</v>
      </c>
      <c r="G8355" t="s">
        <v>20</v>
      </c>
      <c r="J8355" t="s">
        <v>17</v>
      </c>
      <c r="K8355" t="str">
        <f>"763314560"</f>
        <v>763314560</v>
      </c>
      <c r="L8355" t="str">
        <f>"763314560"</f>
        <v>763314560</v>
      </c>
      <c r="M8355" t="s">
        <v>75</v>
      </c>
      <c r="N8355" s="1">
        <v>42959.762499999997</v>
      </c>
      <c r="O8355" t="s">
        <v>19</v>
      </c>
    </row>
    <row r="8356" spans="1:15" x14ac:dyDescent="0.25">
      <c r="A8356" t="s">
        <v>5677</v>
      </c>
      <c r="B8356" t="s">
        <v>15</v>
      </c>
      <c r="C8356" t="s">
        <v>25</v>
      </c>
      <c r="D8356" t="s">
        <v>17</v>
      </c>
      <c r="E8356" t="s">
        <v>18</v>
      </c>
      <c r="F8356" t="s">
        <v>19</v>
      </c>
      <c r="G8356" t="s">
        <v>20</v>
      </c>
      <c r="J8356" t="s">
        <v>17</v>
      </c>
      <c r="K8356" t="str">
        <f>"17536200"</f>
        <v>17536200</v>
      </c>
      <c r="L8356" t="str">
        <f>"17536200"</f>
        <v>17536200</v>
      </c>
      <c r="M8356" t="s">
        <v>75</v>
      </c>
      <c r="N8356" s="1">
        <v>42872.839583333334</v>
      </c>
      <c r="O8356" t="s">
        <v>19</v>
      </c>
    </row>
    <row r="8357" spans="1:15" x14ac:dyDescent="0.25">
      <c r="A8357" t="s">
        <v>5678</v>
      </c>
      <c r="B8357" t="s">
        <v>15</v>
      </c>
      <c r="C8357" t="s">
        <v>25</v>
      </c>
      <c r="D8357" t="s">
        <v>17</v>
      </c>
      <c r="E8357" t="s">
        <v>18</v>
      </c>
      <c r="F8357" t="s">
        <v>19</v>
      </c>
      <c r="G8357" t="s">
        <v>20</v>
      </c>
      <c r="J8357" t="s">
        <v>17</v>
      </c>
      <c r="K8357" t="str">
        <f>"34536200"</f>
        <v>34536200</v>
      </c>
      <c r="L8357" t="str">
        <f>"34536200"</f>
        <v>34536200</v>
      </c>
      <c r="M8357" t="s">
        <v>75</v>
      </c>
      <c r="N8357" s="1">
        <v>42872.839583333334</v>
      </c>
      <c r="O8357" t="s">
        <v>19</v>
      </c>
    </row>
    <row r="8358" spans="1:15" x14ac:dyDescent="0.25">
      <c r="A8358" t="s">
        <v>5679</v>
      </c>
      <c r="B8358" t="s">
        <v>15</v>
      </c>
      <c r="C8358" t="s">
        <v>25</v>
      </c>
      <c r="D8358" t="s">
        <v>17</v>
      </c>
      <c r="E8358" t="s">
        <v>18</v>
      </c>
      <c r="F8358" t="s">
        <v>19</v>
      </c>
      <c r="G8358" t="s">
        <v>20</v>
      </c>
      <c r="J8358" t="s">
        <v>17</v>
      </c>
      <c r="K8358" t="str">
        <f>"86330101"</f>
        <v>86330101</v>
      </c>
      <c r="L8358" t="str">
        <f>"86330101"</f>
        <v>86330101</v>
      </c>
      <c r="M8358" t="s">
        <v>84</v>
      </c>
      <c r="N8358" s="1">
        <v>43367.695138888892</v>
      </c>
      <c r="O8358" t="s">
        <v>19</v>
      </c>
    </row>
    <row r="8359" spans="1:15" x14ac:dyDescent="0.25">
      <c r="A8359" t="s">
        <v>5680</v>
      </c>
      <c r="B8359" t="s">
        <v>15</v>
      </c>
      <c r="C8359" t="s">
        <v>25</v>
      </c>
      <c r="D8359" t="s">
        <v>17</v>
      </c>
      <c r="E8359" t="s">
        <v>18</v>
      </c>
      <c r="F8359" t="s">
        <v>19</v>
      </c>
      <c r="G8359" t="s">
        <v>20</v>
      </c>
      <c r="J8359" t="s">
        <v>17</v>
      </c>
      <c r="K8359" t="str">
        <f>"34330040"</f>
        <v>34330040</v>
      </c>
      <c r="L8359" t="str">
        <f>"34330040"</f>
        <v>34330040</v>
      </c>
      <c r="M8359" t="s">
        <v>75</v>
      </c>
      <c r="N8359" s="1">
        <v>42872.839583333334</v>
      </c>
      <c r="O8359" t="s">
        <v>19</v>
      </c>
    </row>
    <row r="8360" spans="1:15" x14ac:dyDescent="0.25">
      <c r="A8360" t="s">
        <v>5681</v>
      </c>
      <c r="B8360" t="s">
        <v>15</v>
      </c>
      <c r="C8360" t="s">
        <v>25</v>
      </c>
      <c r="D8360" t="s">
        <v>17</v>
      </c>
      <c r="E8360" t="s">
        <v>18</v>
      </c>
      <c r="F8360" t="s">
        <v>19</v>
      </c>
      <c r="G8360" t="s">
        <v>20</v>
      </c>
      <c r="J8360" t="s">
        <v>17</v>
      </c>
      <c r="K8360" t="str">
        <f>"32540047"</f>
        <v>32540047</v>
      </c>
      <c r="L8360" t="str">
        <f>"32540047"</f>
        <v>32540047</v>
      </c>
      <c r="M8360" t="s">
        <v>75</v>
      </c>
      <c r="N8360" s="1">
        <v>42872.839583333334</v>
      </c>
      <c r="O8360" t="s">
        <v>19</v>
      </c>
    </row>
    <row r="8361" spans="1:15" x14ac:dyDescent="0.25">
      <c r="A8361" t="s">
        <v>5682</v>
      </c>
      <c r="B8361" t="s">
        <v>15</v>
      </c>
      <c r="C8361" t="s">
        <v>25</v>
      </c>
      <c r="D8361" t="s">
        <v>17</v>
      </c>
      <c r="E8361" t="s">
        <v>18</v>
      </c>
      <c r="F8361" t="s">
        <v>19</v>
      </c>
      <c r="G8361" t="s">
        <v>20</v>
      </c>
      <c r="J8361" t="s">
        <v>17</v>
      </c>
      <c r="K8361" t="str">
        <f>"34330045"</f>
        <v>34330045</v>
      </c>
      <c r="L8361" t="str">
        <f>"34330045"</f>
        <v>34330045</v>
      </c>
      <c r="M8361" t="s">
        <v>75</v>
      </c>
      <c r="N8361" s="1">
        <v>42872.839583333334</v>
      </c>
      <c r="O8361" t="s">
        <v>19</v>
      </c>
    </row>
    <row r="8362" spans="1:15" x14ac:dyDescent="0.25">
      <c r="A8362" t="s">
        <v>5683</v>
      </c>
      <c r="B8362" t="s">
        <v>15</v>
      </c>
      <c r="C8362" t="s">
        <v>25</v>
      </c>
      <c r="D8362" t="s">
        <v>17</v>
      </c>
      <c r="E8362" t="s">
        <v>18</v>
      </c>
      <c r="F8362" t="s">
        <v>19</v>
      </c>
      <c r="G8362" t="s">
        <v>20</v>
      </c>
      <c r="J8362" t="s">
        <v>17</v>
      </c>
      <c r="K8362" t="str">
        <f>"34330050"</f>
        <v>34330050</v>
      </c>
      <c r="L8362" t="str">
        <f>"34330050"</f>
        <v>34330050</v>
      </c>
      <c r="M8362" t="s">
        <v>75</v>
      </c>
      <c r="N8362" s="1">
        <v>42872.839583333334</v>
      </c>
      <c r="O8362" t="s">
        <v>19</v>
      </c>
    </row>
    <row r="8363" spans="1:15" x14ac:dyDescent="0.25">
      <c r="A8363" t="s">
        <v>5683</v>
      </c>
      <c r="B8363" t="s">
        <v>15</v>
      </c>
      <c r="C8363" t="s">
        <v>25</v>
      </c>
      <c r="D8363" t="s">
        <v>17</v>
      </c>
      <c r="E8363" t="s">
        <v>18</v>
      </c>
      <c r="F8363" t="s">
        <v>19</v>
      </c>
      <c r="G8363" t="s">
        <v>20</v>
      </c>
      <c r="J8363" t="s">
        <v>17</v>
      </c>
      <c r="K8363" t="str">
        <f>"76330055"</f>
        <v>76330055</v>
      </c>
      <c r="L8363" t="str">
        <f>"76330055"</f>
        <v>76330055</v>
      </c>
      <c r="M8363" t="s">
        <v>75</v>
      </c>
      <c r="N8363" s="1">
        <v>42872.847222222219</v>
      </c>
      <c r="O8363" t="s">
        <v>19</v>
      </c>
    </row>
    <row r="8364" spans="1:15" x14ac:dyDescent="0.25">
      <c r="A8364" t="s">
        <v>5684</v>
      </c>
      <c r="B8364" t="s">
        <v>15</v>
      </c>
      <c r="C8364" t="s">
        <v>25</v>
      </c>
      <c r="D8364" t="s">
        <v>17</v>
      </c>
      <c r="E8364" t="s">
        <v>18</v>
      </c>
      <c r="F8364" t="s">
        <v>19</v>
      </c>
      <c r="G8364" t="s">
        <v>20</v>
      </c>
      <c r="J8364" t="s">
        <v>17</v>
      </c>
      <c r="K8364" t="str">
        <f>"41330050"</f>
        <v>41330050</v>
      </c>
      <c r="L8364" t="str">
        <f>"41330050"</f>
        <v>41330050</v>
      </c>
      <c r="M8364" t="s">
        <v>75</v>
      </c>
      <c r="N8364" s="1">
        <v>43113.820833333331</v>
      </c>
      <c r="O8364" t="s">
        <v>19</v>
      </c>
    </row>
    <row r="8365" spans="1:15" x14ac:dyDescent="0.25">
      <c r="A8365" t="s">
        <v>5685</v>
      </c>
      <c r="B8365" t="s">
        <v>15</v>
      </c>
      <c r="C8365" t="s">
        <v>25</v>
      </c>
      <c r="D8365" t="s">
        <v>17</v>
      </c>
      <c r="E8365" t="s">
        <v>18</v>
      </c>
      <c r="F8365" t="s">
        <v>19</v>
      </c>
      <c r="G8365" t="s">
        <v>20</v>
      </c>
      <c r="J8365" t="s">
        <v>17</v>
      </c>
      <c r="K8365" t="str">
        <f>"32540055"</f>
        <v>32540055</v>
      </c>
      <c r="L8365" t="str">
        <f>"32540055"</f>
        <v>32540055</v>
      </c>
      <c r="M8365" t="s">
        <v>75</v>
      </c>
      <c r="N8365" s="1">
        <v>42872.839583333334</v>
      </c>
      <c r="O8365" t="s">
        <v>19</v>
      </c>
    </row>
    <row r="8366" spans="1:15" x14ac:dyDescent="0.25">
      <c r="A8366" t="s">
        <v>5686</v>
      </c>
      <c r="B8366" t="s">
        <v>15</v>
      </c>
      <c r="C8366" t="s">
        <v>25</v>
      </c>
      <c r="D8366" t="s">
        <v>17</v>
      </c>
      <c r="E8366" t="s">
        <v>18</v>
      </c>
      <c r="F8366" t="s">
        <v>19</v>
      </c>
      <c r="G8366" t="s">
        <v>20</v>
      </c>
      <c r="J8366" t="s">
        <v>17</v>
      </c>
      <c r="K8366" t="str">
        <f>"76330050"</f>
        <v>76330050</v>
      </c>
      <c r="L8366" t="str">
        <f>"76330050"</f>
        <v>76330050</v>
      </c>
      <c r="M8366" t="s">
        <v>84</v>
      </c>
      <c r="N8366" s="1">
        <v>43353.638194444444</v>
      </c>
      <c r="O8366" t="s">
        <v>19</v>
      </c>
    </row>
    <row r="8367" spans="1:15" x14ac:dyDescent="0.25">
      <c r="A8367" t="s">
        <v>5687</v>
      </c>
      <c r="B8367" t="s">
        <v>15</v>
      </c>
      <c r="C8367" t="s">
        <v>25</v>
      </c>
      <c r="D8367" t="s">
        <v>17</v>
      </c>
      <c r="E8367" t="s">
        <v>18</v>
      </c>
      <c r="F8367" t="s">
        <v>19</v>
      </c>
      <c r="G8367" t="s">
        <v>20</v>
      </c>
      <c r="J8367" t="s">
        <v>17</v>
      </c>
      <c r="K8367" t="str">
        <f>"32540030"</f>
        <v>32540030</v>
      </c>
      <c r="L8367" t="str">
        <f>"32540030"</f>
        <v>32540030</v>
      </c>
      <c r="M8367" t="s">
        <v>75</v>
      </c>
      <c r="N8367" s="1">
        <v>42872.839583333334</v>
      </c>
      <c r="O8367" t="s">
        <v>19</v>
      </c>
    </row>
    <row r="8368" spans="1:15" x14ac:dyDescent="0.25">
      <c r="A8368" t="s">
        <v>5685</v>
      </c>
      <c r="B8368" t="s">
        <v>15</v>
      </c>
      <c r="C8368" t="s">
        <v>25</v>
      </c>
      <c r="D8368" t="s">
        <v>17</v>
      </c>
      <c r="E8368" t="s">
        <v>18</v>
      </c>
      <c r="F8368" t="s">
        <v>19</v>
      </c>
      <c r="G8368" t="s">
        <v>20</v>
      </c>
      <c r="J8368" t="s">
        <v>17</v>
      </c>
      <c r="K8368" t="str">
        <f>"34330055"</f>
        <v>34330055</v>
      </c>
      <c r="L8368" t="str">
        <f>"34330055"</f>
        <v>34330055</v>
      </c>
      <c r="M8368" t="s">
        <v>75</v>
      </c>
      <c r="N8368" s="1">
        <v>42872.839583333334</v>
      </c>
      <c r="O8368" t="s">
        <v>19</v>
      </c>
    </row>
    <row r="8369" spans="1:15" x14ac:dyDescent="0.25">
      <c r="A8369" t="s">
        <v>5685</v>
      </c>
      <c r="B8369" t="s">
        <v>15</v>
      </c>
      <c r="C8369" t="s">
        <v>25</v>
      </c>
      <c r="D8369" t="s">
        <v>17</v>
      </c>
      <c r="E8369" t="s">
        <v>18</v>
      </c>
      <c r="F8369" t="s">
        <v>19</v>
      </c>
      <c r="G8369" t="s">
        <v>20</v>
      </c>
      <c r="J8369" t="s">
        <v>17</v>
      </c>
      <c r="K8369" t="str">
        <f>"34540055"</f>
        <v>34540055</v>
      </c>
      <c r="L8369" t="str">
        <f>"34540055"</f>
        <v>34540055</v>
      </c>
      <c r="M8369" t="s">
        <v>75</v>
      </c>
      <c r="N8369" s="1">
        <v>42872.839583333334</v>
      </c>
      <c r="O8369" t="s">
        <v>19</v>
      </c>
    </row>
    <row r="8370" spans="1:15" x14ac:dyDescent="0.25">
      <c r="A8370" t="s">
        <v>5688</v>
      </c>
      <c r="B8370" t="s">
        <v>15</v>
      </c>
      <c r="C8370" t="s">
        <v>25</v>
      </c>
      <c r="D8370" t="s">
        <v>17</v>
      </c>
      <c r="E8370" t="s">
        <v>18</v>
      </c>
      <c r="F8370" t="s">
        <v>19</v>
      </c>
      <c r="G8370" t="s">
        <v>20</v>
      </c>
      <c r="J8370" t="s">
        <v>17</v>
      </c>
      <c r="K8370" t="str">
        <f>"34330060"</f>
        <v>34330060</v>
      </c>
      <c r="L8370" t="str">
        <f>"34330060"</f>
        <v>34330060</v>
      </c>
      <c r="M8370" t="s">
        <v>75</v>
      </c>
      <c r="N8370" s="1">
        <v>42872.839583333334</v>
      </c>
      <c r="O8370" t="s">
        <v>19</v>
      </c>
    </row>
    <row r="8371" spans="1:15" x14ac:dyDescent="0.25">
      <c r="A8371" t="s">
        <v>5689</v>
      </c>
      <c r="B8371" t="s">
        <v>15</v>
      </c>
      <c r="C8371" t="s">
        <v>25</v>
      </c>
      <c r="D8371" t="s">
        <v>17</v>
      </c>
      <c r="E8371" t="s">
        <v>18</v>
      </c>
      <c r="F8371" t="s">
        <v>19</v>
      </c>
      <c r="G8371" t="s">
        <v>20</v>
      </c>
      <c r="J8371" t="s">
        <v>17</v>
      </c>
      <c r="K8371" t="str">
        <f>"34330006"</f>
        <v>34330006</v>
      </c>
      <c r="L8371" t="str">
        <f>"34330006"</f>
        <v>34330006</v>
      </c>
      <c r="M8371" t="s">
        <v>84</v>
      </c>
      <c r="N8371" s="1">
        <v>43396.95</v>
      </c>
      <c r="O8371" t="s">
        <v>19</v>
      </c>
    </row>
    <row r="8372" spans="1:15" x14ac:dyDescent="0.25">
      <c r="A8372" t="s">
        <v>5690</v>
      </c>
      <c r="B8372" t="s">
        <v>15</v>
      </c>
      <c r="C8372" t="s">
        <v>25</v>
      </c>
      <c r="D8372" t="s">
        <v>17</v>
      </c>
      <c r="E8372" t="s">
        <v>18</v>
      </c>
      <c r="F8372" t="s">
        <v>19</v>
      </c>
      <c r="G8372" t="s">
        <v>20</v>
      </c>
      <c r="J8372" t="s">
        <v>17</v>
      </c>
      <c r="K8372" t="str">
        <f>"76330008"</f>
        <v>76330008</v>
      </c>
      <c r="L8372" t="str">
        <f>"76330008"</f>
        <v>76330008</v>
      </c>
      <c r="M8372" t="s">
        <v>75</v>
      </c>
      <c r="N8372" s="1">
        <v>43162.681250000001</v>
      </c>
      <c r="O8372" t="s">
        <v>19</v>
      </c>
    </row>
    <row r="8373" spans="1:15" x14ac:dyDescent="0.25">
      <c r="A8373" t="s">
        <v>5690</v>
      </c>
      <c r="B8373" t="s">
        <v>15</v>
      </c>
      <c r="C8373" t="s">
        <v>25</v>
      </c>
      <c r="D8373" t="s">
        <v>17</v>
      </c>
      <c r="E8373" t="s">
        <v>18</v>
      </c>
      <c r="F8373" t="s">
        <v>19</v>
      </c>
      <c r="G8373" t="s">
        <v>20</v>
      </c>
      <c r="J8373" t="s">
        <v>17</v>
      </c>
      <c r="K8373" t="str">
        <f>"86330008"</f>
        <v>86330008</v>
      </c>
      <c r="L8373" t="str">
        <f>"86330008"</f>
        <v>86330008</v>
      </c>
      <c r="M8373" t="s">
        <v>84</v>
      </c>
      <c r="N8373" s="1">
        <v>43367.679166666669</v>
      </c>
      <c r="O8373" t="s">
        <v>19</v>
      </c>
    </row>
    <row r="8374" spans="1:15" x14ac:dyDescent="0.25">
      <c r="A8374" t="s">
        <v>5691</v>
      </c>
      <c r="B8374" t="s">
        <v>15</v>
      </c>
      <c r="C8374" t="s">
        <v>25</v>
      </c>
      <c r="D8374" t="s">
        <v>17</v>
      </c>
      <c r="E8374" t="s">
        <v>18</v>
      </c>
      <c r="F8374" t="s">
        <v>19</v>
      </c>
      <c r="G8374" t="s">
        <v>20</v>
      </c>
      <c r="J8374" t="s">
        <v>17</v>
      </c>
      <c r="K8374" t="str">
        <f>"86530007"</f>
        <v>86530007</v>
      </c>
      <c r="L8374" t="str">
        <f>"86530007"</f>
        <v>86530007</v>
      </c>
      <c r="M8374" t="s">
        <v>75</v>
      </c>
      <c r="N8374" s="1">
        <v>42872.847222222219</v>
      </c>
      <c r="O8374" t="s">
        <v>19</v>
      </c>
    </row>
    <row r="8375" spans="1:15" x14ac:dyDescent="0.25">
      <c r="A8375" t="s">
        <v>5691</v>
      </c>
      <c r="B8375" t="s">
        <v>15</v>
      </c>
      <c r="C8375" t="s">
        <v>25</v>
      </c>
      <c r="D8375" t="s">
        <v>17</v>
      </c>
      <c r="E8375" t="s">
        <v>18</v>
      </c>
      <c r="F8375" t="s">
        <v>19</v>
      </c>
      <c r="G8375" t="s">
        <v>20</v>
      </c>
      <c r="J8375" t="s">
        <v>17</v>
      </c>
      <c r="K8375" t="str">
        <f>"1000001001166"</f>
        <v>1000001001166</v>
      </c>
      <c r="L8375" t="str">
        <f>"76330009"</f>
        <v>76330009</v>
      </c>
      <c r="M8375" t="s">
        <v>75</v>
      </c>
      <c r="N8375" s="1">
        <v>43162.681944444441</v>
      </c>
      <c r="O8375" t="s">
        <v>19</v>
      </c>
    </row>
    <row r="8376" spans="1:15" x14ac:dyDescent="0.25">
      <c r="A8376" t="s">
        <v>5691</v>
      </c>
      <c r="B8376" t="s">
        <v>15</v>
      </c>
      <c r="C8376" t="s">
        <v>25</v>
      </c>
      <c r="D8376" t="s">
        <v>17</v>
      </c>
      <c r="E8376" t="s">
        <v>18</v>
      </c>
      <c r="F8376" t="s">
        <v>19</v>
      </c>
      <c r="G8376" t="s">
        <v>20</v>
      </c>
      <c r="J8376" t="s">
        <v>17</v>
      </c>
      <c r="K8376" t="str">
        <f>"86330009"</f>
        <v>86330009</v>
      </c>
      <c r="L8376" t="str">
        <f>"86330009"</f>
        <v>86330009</v>
      </c>
      <c r="M8376" t="s">
        <v>84</v>
      </c>
      <c r="N8376" s="1">
        <v>43367.68472222222</v>
      </c>
      <c r="O8376" t="s">
        <v>19</v>
      </c>
    </row>
    <row r="8377" spans="1:15" x14ac:dyDescent="0.25">
      <c r="A8377" t="s">
        <v>5692</v>
      </c>
      <c r="B8377" t="s">
        <v>15</v>
      </c>
      <c r="C8377" t="s">
        <v>25</v>
      </c>
      <c r="D8377" t="s">
        <v>17</v>
      </c>
      <c r="E8377" t="s">
        <v>18</v>
      </c>
      <c r="F8377" t="s">
        <v>19</v>
      </c>
      <c r="G8377" t="s">
        <v>20</v>
      </c>
      <c r="J8377" t="s">
        <v>17</v>
      </c>
      <c r="K8377" t="str">
        <f>"68330209"</f>
        <v>68330209</v>
      </c>
      <c r="L8377" t="str">
        <f>"68330209"</f>
        <v>68330209</v>
      </c>
      <c r="M8377" t="s">
        <v>84</v>
      </c>
      <c r="N8377" s="1">
        <v>43420.625</v>
      </c>
      <c r="O8377" t="s">
        <v>19</v>
      </c>
    </row>
    <row r="8378" spans="1:15" x14ac:dyDescent="0.25">
      <c r="A8378" t="s">
        <v>5693</v>
      </c>
      <c r="B8378" t="s">
        <v>15</v>
      </c>
      <c r="C8378" t="s">
        <v>25</v>
      </c>
      <c r="D8378" t="s">
        <v>17</v>
      </c>
      <c r="E8378" t="s">
        <v>18</v>
      </c>
      <c r="F8378" t="s">
        <v>19</v>
      </c>
      <c r="G8378" t="s">
        <v>20</v>
      </c>
      <c r="J8378" t="s">
        <v>17</v>
      </c>
      <c r="K8378" t="str">
        <f>"68330208"</f>
        <v>68330208</v>
      </c>
      <c r="L8378" t="str">
        <f>"68330208"</f>
        <v>68330208</v>
      </c>
      <c r="M8378" t="s">
        <v>84</v>
      </c>
      <c r="N8378" s="1">
        <v>43420.625</v>
      </c>
      <c r="O8378" t="s">
        <v>19</v>
      </c>
    </row>
    <row r="8379" spans="1:15" x14ac:dyDescent="0.25">
      <c r="A8379" t="s">
        <v>5694</v>
      </c>
      <c r="B8379" t="s">
        <v>15</v>
      </c>
      <c r="C8379" t="s">
        <v>25</v>
      </c>
      <c r="D8379" t="s">
        <v>17</v>
      </c>
      <c r="E8379" t="s">
        <v>18</v>
      </c>
      <c r="F8379" t="s">
        <v>19</v>
      </c>
      <c r="G8379" t="s">
        <v>20</v>
      </c>
      <c r="J8379" t="s">
        <v>17</v>
      </c>
      <c r="K8379" t="str">
        <f>"68330204"</f>
        <v>68330204</v>
      </c>
      <c r="L8379" t="str">
        <f>"68330204"</f>
        <v>68330204</v>
      </c>
      <c r="M8379" t="s">
        <v>84</v>
      </c>
      <c r="N8379" s="1">
        <v>43420.622916666667</v>
      </c>
      <c r="O8379" t="s">
        <v>19</v>
      </c>
    </row>
    <row r="8380" spans="1:15" x14ac:dyDescent="0.25">
      <c r="A8380" t="s">
        <v>5695</v>
      </c>
      <c r="B8380" t="s">
        <v>15</v>
      </c>
      <c r="C8380" t="s">
        <v>25</v>
      </c>
      <c r="D8380" t="s">
        <v>17</v>
      </c>
      <c r="E8380" t="s">
        <v>18</v>
      </c>
      <c r="F8380" t="s">
        <v>19</v>
      </c>
      <c r="G8380" t="s">
        <v>20</v>
      </c>
      <c r="J8380" t="s">
        <v>17</v>
      </c>
      <c r="K8380" t="str">
        <f>"68330207"</f>
        <v>68330207</v>
      </c>
      <c r="L8380" t="str">
        <f>"68330207"</f>
        <v>68330207</v>
      </c>
      <c r="M8380" t="s">
        <v>84</v>
      </c>
      <c r="N8380" s="1">
        <v>43420.624305555553</v>
      </c>
      <c r="O8380" t="s">
        <v>19</v>
      </c>
    </row>
    <row r="8381" spans="1:15" x14ac:dyDescent="0.25">
      <c r="A8381" t="s">
        <v>5696</v>
      </c>
      <c r="B8381" t="s">
        <v>15</v>
      </c>
      <c r="C8381" t="s">
        <v>25</v>
      </c>
      <c r="D8381" t="s">
        <v>17</v>
      </c>
      <c r="E8381" t="s">
        <v>18</v>
      </c>
      <c r="F8381" t="s">
        <v>19</v>
      </c>
      <c r="G8381" t="s">
        <v>20</v>
      </c>
      <c r="J8381" t="s">
        <v>17</v>
      </c>
      <c r="K8381" t="str">
        <f>"68330206"</f>
        <v>68330206</v>
      </c>
      <c r="L8381" t="str">
        <f>"68330206"</f>
        <v>68330206</v>
      </c>
      <c r="M8381" t="s">
        <v>84</v>
      </c>
      <c r="N8381" s="1">
        <v>43420.623611111114</v>
      </c>
      <c r="O8381" t="s">
        <v>19</v>
      </c>
    </row>
    <row r="8382" spans="1:15" x14ac:dyDescent="0.25">
      <c r="A8382" t="s">
        <v>5697</v>
      </c>
      <c r="B8382" t="s">
        <v>15</v>
      </c>
      <c r="C8382" t="s">
        <v>25</v>
      </c>
      <c r="D8382" t="s">
        <v>17</v>
      </c>
      <c r="E8382" t="s">
        <v>18</v>
      </c>
      <c r="F8382" t="s">
        <v>19</v>
      </c>
      <c r="G8382" t="s">
        <v>20</v>
      </c>
      <c r="J8382" t="s">
        <v>17</v>
      </c>
      <c r="K8382" t="str">
        <f>"68330205"</f>
        <v>68330205</v>
      </c>
      <c r="L8382" t="str">
        <f>"68330205"</f>
        <v>68330205</v>
      </c>
      <c r="M8382" t="s">
        <v>84</v>
      </c>
      <c r="N8382" s="1">
        <v>43420.623611111114</v>
      </c>
      <c r="O8382" t="s">
        <v>19</v>
      </c>
    </row>
    <row r="8383" spans="1:15" x14ac:dyDescent="0.25">
      <c r="A8383" t="s">
        <v>5698</v>
      </c>
      <c r="B8383" t="s">
        <v>15</v>
      </c>
      <c r="C8383" t="s">
        <v>25</v>
      </c>
      <c r="D8383" t="s">
        <v>17</v>
      </c>
      <c r="E8383" t="s">
        <v>18</v>
      </c>
      <c r="F8383" t="s">
        <v>19</v>
      </c>
      <c r="G8383" t="s">
        <v>20</v>
      </c>
      <c r="J8383" t="s">
        <v>17</v>
      </c>
      <c r="K8383" t="str">
        <f>"68330203"</f>
        <v>68330203</v>
      </c>
      <c r="L8383" t="str">
        <f>"68330203"</f>
        <v>68330203</v>
      </c>
      <c r="M8383" t="s">
        <v>84</v>
      </c>
      <c r="N8383" s="1">
        <v>43420.62222222222</v>
      </c>
      <c r="O8383" t="s">
        <v>19</v>
      </c>
    </row>
    <row r="8384" spans="1:15" x14ac:dyDescent="0.25">
      <c r="A8384" t="s">
        <v>5699</v>
      </c>
      <c r="B8384" t="s">
        <v>15</v>
      </c>
      <c r="C8384" t="s">
        <v>25</v>
      </c>
      <c r="D8384" t="s">
        <v>17</v>
      </c>
      <c r="E8384" t="s">
        <v>18</v>
      </c>
      <c r="F8384" t="s">
        <v>19</v>
      </c>
      <c r="G8384" t="s">
        <v>20</v>
      </c>
      <c r="J8384" t="s">
        <v>17</v>
      </c>
      <c r="K8384" t="str">
        <f>"765318153"</f>
        <v>765318153</v>
      </c>
      <c r="L8384" t="str">
        <f>"765318153"</f>
        <v>765318153</v>
      </c>
      <c r="M8384" t="s">
        <v>75</v>
      </c>
      <c r="N8384" s="1">
        <v>42872.849305555559</v>
      </c>
      <c r="O8384" t="s">
        <v>19</v>
      </c>
    </row>
    <row r="8385" spans="1:15" x14ac:dyDescent="0.25">
      <c r="A8385" t="s">
        <v>5700</v>
      </c>
      <c r="B8385" t="s">
        <v>15</v>
      </c>
      <c r="C8385" t="s">
        <v>25</v>
      </c>
      <c r="D8385" t="s">
        <v>17</v>
      </c>
      <c r="E8385" t="s">
        <v>18</v>
      </c>
      <c r="F8385" t="s">
        <v>19</v>
      </c>
      <c r="G8385" t="s">
        <v>20</v>
      </c>
      <c r="J8385" t="s">
        <v>17</v>
      </c>
      <c r="K8385" t="str">
        <f>"765318279"</f>
        <v>765318279</v>
      </c>
      <c r="L8385" t="str">
        <f>"765318279"</f>
        <v>765318279</v>
      </c>
      <c r="M8385" t="s">
        <v>75</v>
      </c>
      <c r="N8385" s="1">
        <v>42872.849305555559</v>
      </c>
      <c r="O8385" t="s">
        <v>19</v>
      </c>
    </row>
    <row r="8386" spans="1:15" x14ac:dyDescent="0.25">
      <c r="A8386" t="s">
        <v>5701</v>
      </c>
      <c r="B8386" t="s">
        <v>15</v>
      </c>
      <c r="C8386" t="s">
        <v>25</v>
      </c>
      <c r="D8386" t="s">
        <v>17</v>
      </c>
      <c r="E8386" t="s">
        <v>18</v>
      </c>
      <c r="F8386" t="s">
        <v>19</v>
      </c>
      <c r="G8386" t="s">
        <v>20</v>
      </c>
      <c r="J8386" t="s">
        <v>17</v>
      </c>
      <c r="K8386" t="str">
        <f>"785318273"</f>
        <v>785318273</v>
      </c>
      <c r="L8386" t="str">
        <f>"785318273"</f>
        <v>785318273</v>
      </c>
      <c r="M8386" t="s">
        <v>75</v>
      </c>
      <c r="N8386" s="1">
        <v>42872.849305555559</v>
      </c>
      <c r="O8386" t="s">
        <v>19</v>
      </c>
    </row>
    <row r="8387" spans="1:15" x14ac:dyDescent="0.25">
      <c r="A8387" t="s">
        <v>5702</v>
      </c>
      <c r="B8387" t="s">
        <v>15</v>
      </c>
      <c r="C8387" t="s">
        <v>25</v>
      </c>
      <c r="D8387" t="s">
        <v>17</v>
      </c>
      <c r="E8387" t="s">
        <v>18</v>
      </c>
      <c r="F8387" t="s">
        <v>19</v>
      </c>
      <c r="G8387" t="s">
        <v>20</v>
      </c>
      <c r="J8387" t="s">
        <v>17</v>
      </c>
      <c r="K8387" t="str">
        <f>"345318186"</f>
        <v>345318186</v>
      </c>
      <c r="L8387" t="str">
        <f>"345318186"</f>
        <v>345318186</v>
      </c>
      <c r="M8387" t="s">
        <v>75</v>
      </c>
      <c r="N8387" s="1">
        <v>42872.849305555559</v>
      </c>
      <c r="O8387" t="s">
        <v>19</v>
      </c>
    </row>
    <row r="8388" spans="1:15" x14ac:dyDescent="0.25">
      <c r="A8388" t="s">
        <v>5702</v>
      </c>
      <c r="B8388" t="s">
        <v>15</v>
      </c>
      <c r="C8388" t="s">
        <v>25</v>
      </c>
      <c r="D8388" t="s">
        <v>17</v>
      </c>
      <c r="E8388" t="s">
        <v>18</v>
      </c>
      <c r="F8388" t="s">
        <v>19</v>
      </c>
      <c r="G8388" t="s">
        <v>20</v>
      </c>
      <c r="J8388" t="s">
        <v>17</v>
      </c>
      <c r="K8388" t="str">
        <f>"765314186"</f>
        <v>765314186</v>
      </c>
      <c r="L8388" t="str">
        <f>"765314186"</f>
        <v>765314186</v>
      </c>
      <c r="M8388" t="s">
        <v>75</v>
      </c>
      <c r="N8388" s="1">
        <v>42872.849305555559</v>
      </c>
      <c r="O8388" t="s">
        <v>19</v>
      </c>
    </row>
    <row r="8389" spans="1:15" x14ac:dyDescent="0.25">
      <c r="A8389" t="s">
        <v>5702</v>
      </c>
      <c r="B8389" t="s">
        <v>15</v>
      </c>
      <c r="C8389" t="s">
        <v>25</v>
      </c>
      <c r="D8389" t="s">
        <v>17</v>
      </c>
      <c r="E8389" t="s">
        <v>18</v>
      </c>
      <c r="F8389" t="s">
        <v>19</v>
      </c>
      <c r="G8389" t="s">
        <v>20</v>
      </c>
      <c r="J8389" t="s">
        <v>17</v>
      </c>
      <c r="K8389" t="str">
        <f>"765318186"</f>
        <v>765318186</v>
      </c>
      <c r="L8389" t="str">
        <f>"765318186"</f>
        <v>765318186</v>
      </c>
      <c r="M8389" t="s">
        <v>75</v>
      </c>
      <c r="N8389" s="1">
        <v>42872.849305555559</v>
      </c>
      <c r="O8389" t="s">
        <v>19</v>
      </c>
    </row>
    <row r="8390" spans="1:15" x14ac:dyDescent="0.25">
      <c r="A8390" t="s">
        <v>5703</v>
      </c>
      <c r="B8390" t="s">
        <v>15</v>
      </c>
      <c r="C8390" t="s">
        <v>25</v>
      </c>
      <c r="D8390" t="s">
        <v>17</v>
      </c>
      <c r="E8390" t="s">
        <v>18</v>
      </c>
      <c r="F8390" t="s">
        <v>19</v>
      </c>
      <c r="G8390" t="s">
        <v>20</v>
      </c>
      <c r="J8390" t="s">
        <v>17</v>
      </c>
      <c r="K8390" t="str">
        <f>"765318272"</f>
        <v>765318272</v>
      </c>
      <c r="L8390" t="str">
        <f>"765318272"</f>
        <v>765318272</v>
      </c>
      <c r="M8390" t="s">
        <v>75</v>
      </c>
      <c r="N8390" s="1">
        <v>42872.849305555559</v>
      </c>
      <c r="O8390" t="s">
        <v>19</v>
      </c>
    </row>
    <row r="8391" spans="1:15" x14ac:dyDescent="0.25">
      <c r="A8391" t="s">
        <v>5703</v>
      </c>
      <c r="B8391" t="s">
        <v>15</v>
      </c>
      <c r="C8391" t="s">
        <v>25</v>
      </c>
      <c r="D8391" t="s">
        <v>17</v>
      </c>
      <c r="E8391" t="s">
        <v>18</v>
      </c>
      <c r="F8391" t="s">
        <v>19</v>
      </c>
      <c r="G8391" t="s">
        <v>20</v>
      </c>
      <c r="J8391" t="s">
        <v>17</v>
      </c>
      <c r="K8391" t="str">
        <f>"763318273"</f>
        <v>763318273</v>
      </c>
      <c r="L8391" t="str">
        <f>"763318273"</f>
        <v>763318273</v>
      </c>
      <c r="M8391" t="s">
        <v>75</v>
      </c>
      <c r="N8391" s="1">
        <v>42893.929166666669</v>
      </c>
      <c r="O8391" t="s">
        <v>19</v>
      </c>
    </row>
    <row r="8392" spans="1:15" x14ac:dyDescent="0.25">
      <c r="A8392" t="s">
        <v>5704</v>
      </c>
      <c r="B8392" t="s">
        <v>15</v>
      </c>
      <c r="C8392" t="s">
        <v>25</v>
      </c>
      <c r="D8392" t="s">
        <v>17</v>
      </c>
      <c r="E8392" t="s">
        <v>18</v>
      </c>
      <c r="F8392" t="s">
        <v>19</v>
      </c>
      <c r="G8392" t="s">
        <v>20</v>
      </c>
      <c r="J8392" t="s">
        <v>17</v>
      </c>
      <c r="K8392" t="str">
        <f>"173318602"</f>
        <v>173318602</v>
      </c>
      <c r="L8392" t="str">
        <f>"173318602"</f>
        <v>173318602</v>
      </c>
      <c r="M8392" t="s">
        <v>75</v>
      </c>
      <c r="N8392" s="1">
        <v>43131.94027777778</v>
      </c>
      <c r="O8392" t="s">
        <v>19</v>
      </c>
    </row>
    <row r="8393" spans="1:15" x14ac:dyDescent="0.25">
      <c r="A8393" t="s">
        <v>5704</v>
      </c>
      <c r="B8393" t="s">
        <v>15</v>
      </c>
      <c r="C8393" t="s">
        <v>25</v>
      </c>
      <c r="D8393" t="s">
        <v>17</v>
      </c>
      <c r="E8393" t="s">
        <v>18</v>
      </c>
      <c r="F8393" t="s">
        <v>19</v>
      </c>
      <c r="G8393" t="s">
        <v>20</v>
      </c>
      <c r="J8393" t="s">
        <v>17</v>
      </c>
      <c r="K8393" t="str">
        <f>"763318602"</f>
        <v>763318602</v>
      </c>
      <c r="L8393" t="str">
        <f>"763318602"</f>
        <v>763318602</v>
      </c>
      <c r="M8393" t="s">
        <v>75</v>
      </c>
      <c r="N8393" s="1">
        <v>43132.727777777778</v>
      </c>
      <c r="O8393" t="s">
        <v>19</v>
      </c>
    </row>
    <row r="8394" spans="1:15" x14ac:dyDescent="0.25">
      <c r="A8394" t="s">
        <v>5705</v>
      </c>
      <c r="B8394" t="s">
        <v>15</v>
      </c>
      <c r="C8394" t="s">
        <v>25</v>
      </c>
      <c r="D8394" t="s">
        <v>17</v>
      </c>
      <c r="E8394" t="s">
        <v>18</v>
      </c>
      <c r="F8394" t="s">
        <v>19</v>
      </c>
      <c r="G8394" t="s">
        <v>20</v>
      </c>
      <c r="J8394" t="s">
        <v>17</v>
      </c>
      <c r="K8394" t="str">
        <f>"765318201"</f>
        <v>765318201</v>
      </c>
      <c r="L8394" t="str">
        <f>"765318201"</f>
        <v>765318201</v>
      </c>
      <c r="M8394" t="s">
        <v>75</v>
      </c>
      <c r="N8394" s="1">
        <v>42872.849305555559</v>
      </c>
      <c r="O8394" t="s">
        <v>19</v>
      </c>
    </row>
    <row r="8395" spans="1:15" x14ac:dyDescent="0.25">
      <c r="A8395" t="s">
        <v>5706</v>
      </c>
      <c r="B8395" t="s">
        <v>15</v>
      </c>
      <c r="C8395" t="s">
        <v>25</v>
      </c>
      <c r="D8395" t="s">
        <v>17</v>
      </c>
      <c r="E8395" t="s">
        <v>18</v>
      </c>
      <c r="F8395" t="s">
        <v>19</v>
      </c>
      <c r="G8395" t="s">
        <v>20</v>
      </c>
      <c r="J8395" t="s">
        <v>17</v>
      </c>
      <c r="K8395" t="str">
        <f>"345318133"</f>
        <v>345318133</v>
      </c>
      <c r="L8395" t="str">
        <f>"345318133"</f>
        <v>345318133</v>
      </c>
      <c r="M8395" t="s">
        <v>75</v>
      </c>
      <c r="N8395" s="1">
        <v>42872.849305555559</v>
      </c>
      <c r="O8395" t="s">
        <v>19</v>
      </c>
    </row>
    <row r="8396" spans="1:15" x14ac:dyDescent="0.25">
      <c r="A8396" t="s">
        <v>5707</v>
      </c>
      <c r="B8396" t="s">
        <v>15</v>
      </c>
      <c r="C8396" t="s">
        <v>25</v>
      </c>
      <c r="D8396" t="s">
        <v>17</v>
      </c>
      <c r="E8396" t="s">
        <v>18</v>
      </c>
      <c r="F8396" t="s">
        <v>19</v>
      </c>
      <c r="G8396" t="s">
        <v>20</v>
      </c>
      <c r="J8396" t="s">
        <v>17</v>
      </c>
      <c r="K8396" t="str">
        <f>"34531876"</f>
        <v>34531876</v>
      </c>
      <c r="L8396" t="str">
        <f>"34531876"</f>
        <v>34531876</v>
      </c>
      <c r="M8396" t="s">
        <v>75</v>
      </c>
      <c r="N8396" s="1">
        <v>42872.839583333334</v>
      </c>
      <c r="O8396" t="s">
        <v>19</v>
      </c>
    </row>
    <row r="8397" spans="1:15" x14ac:dyDescent="0.25">
      <c r="A8397" t="s">
        <v>5707</v>
      </c>
      <c r="B8397" t="s">
        <v>15</v>
      </c>
      <c r="C8397" t="s">
        <v>25</v>
      </c>
      <c r="D8397" t="s">
        <v>17</v>
      </c>
      <c r="E8397" t="s">
        <v>18</v>
      </c>
      <c r="F8397" t="s">
        <v>19</v>
      </c>
      <c r="G8397" t="s">
        <v>20</v>
      </c>
      <c r="J8397" t="s">
        <v>17</v>
      </c>
      <c r="K8397" t="str">
        <f>"76531876"</f>
        <v>76531876</v>
      </c>
      <c r="L8397" t="str">
        <f>"76531876"</f>
        <v>76531876</v>
      </c>
      <c r="M8397" t="s">
        <v>75</v>
      </c>
      <c r="N8397" s="1">
        <v>42872.847222222219</v>
      </c>
      <c r="O8397" t="s">
        <v>19</v>
      </c>
    </row>
    <row r="8398" spans="1:15" x14ac:dyDescent="0.25">
      <c r="A8398" t="s">
        <v>5708</v>
      </c>
      <c r="B8398" t="s">
        <v>15</v>
      </c>
      <c r="C8398" t="s">
        <v>25</v>
      </c>
      <c r="D8398" t="s">
        <v>17</v>
      </c>
      <c r="E8398" t="s">
        <v>18</v>
      </c>
      <c r="F8398" t="s">
        <v>19</v>
      </c>
      <c r="G8398" t="s">
        <v>20</v>
      </c>
      <c r="J8398" t="s">
        <v>17</v>
      </c>
      <c r="K8398" t="str">
        <f>"345318226"</f>
        <v>345318226</v>
      </c>
      <c r="L8398" t="str">
        <f>"345318226"</f>
        <v>345318226</v>
      </c>
      <c r="M8398" t="s">
        <v>75</v>
      </c>
      <c r="N8398" s="1">
        <v>42872.849305555559</v>
      </c>
      <c r="O8398" t="s">
        <v>19</v>
      </c>
    </row>
    <row r="8399" spans="1:15" x14ac:dyDescent="0.25">
      <c r="A8399" t="s">
        <v>5708</v>
      </c>
      <c r="B8399" t="s">
        <v>15</v>
      </c>
      <c r="C8399" t="s">
        <v>25</v>
      </c>
      <c r="D8399" t="s">
        <v>17</v>
      </c>
      <c r="E8399" t="s">
        <v>18</v>
      </c>
      <c r="F8399" t="s">
        <v>19</v>
      </c>
      <c r="G8399" t="s">
        <v>20</v>
      </c>
      <c r="J8399" t="s">
        <v>17</v>
      </c>
      <c r="K8399" t="str">
        <f>"3453181226"</f>
        <v>3453181226</v>
      </c>
      <c r="L8399" t="str">
        <f>"3453181226"</f>
        <v>3453181226</v>
      </c>
      <c r="M8399" t="s">
        <v>75</v>
      </c>
      <c r="N8399" s="1">
        <v>42872.849305555559</v>
      </c>
      <c r="O8399" t="s">
        <v>19</v>
      </c>
    </row>
    <row r="8400" spans="1:15" x14ac:dyDescent="0.25">
      <c r="A8400" t="s">
        <v>5709</v>
      </c>
      <c r="B8400" t="s">
        <v>15</v>
      </c>
      <c r="C8400" t="s">
        <v>25</v>
      </c>
      <c r="D8400" t="s">
        <v>17</v>
      </c>
      <c r="E8400" t="s">
        <v>18</v>
      </c>
      <c r="F8400" t="s">
        <v>19</v>
      </c>
      <c r="G8400" t="s">
        <v>20</v>
      </c>
      <c r="J8400" t="s">
        <v>17</v>
      </c>
      <c r="K8400" t="str">
        <f>"173318207"</f>
        <v>173318207</v>
      </c>
      <c r="L8400" t="str">
        <f>"173318207"</f>
        <v>173318207</v>
      </c>
      <c r="M8400" t="s">
        <v>75</v>
      </c>
      <c r="N8400" s="1">
        <v>43131.938194444447</v>
      </c>
      <c r="O8400" t="s">
        <v>19</v>
      </c>
    </row>
    <row r="8401" spans="1:15" x14ac:dyDescent="0.25">
      <c r="A8401" t="s">
        <v>5709</v>
      </c>
      <c r="B8401" t="s">
        <v>15</v>
      </c>
      <c r="C8401" t="s">
        <v>25</v>
      </c>
      <c r="D8401" t="s">
        <v>17</v>
      </c>
      <c r="E8401" t="s">
        <v>18</v>
      </c>
      <c r="F8401" t="s">
        <v>19</v>
      </c>
      <c r="G8401" t="s">
        <v>20</v>
      </c>
      <c r="J8401" t="s">
        <v>17</v>
      </c>
      <c r="K8401" t="str">
        <f>"763318207"</f>
        <v>763318207</v>
      </c>
      <c r="L8401" t="str">
        <f>"763318207"</f>
        <v>763318207</v>
      </c>
      <c r="M8401" t="s">
        <v>75</v>
      </c>
      <c r="N8401" s="1">
        <v>43132.726388888892</v>
      </c>
      <c r="O8401" t="s">
        <v>19</v>
      </c>
    </row>
    <row r="8402" spans="1:15" x14ac:dyDescent="0.25">
      <c r="A8402" t="s">
        <v>5710</v>
      </c>
      <c r="B8402" t="s">
        <v>15</v>
      </c>
      <c r="C8402" t="s">
        <v>25</v>
      </c>
      <c r="D8402" t="s">
        <v>17</v>
      </c>
      <c r="E8402" t="s">
        <v>18</v>
      </c>
      <c r="F8402" t="s">
        <v>19</v>
      </c>
      <c r="G8402" t="s">
        <v>20</v>
      </c>
      <c r="J8402" t="s">
        <v>17</v>
      </c>
      <c r="K8402" t="str">
        <f>"765323273"</f>
        <v>765323273</v>
      </c>
      <c r="L8402" t="str">
        <f>"765323273"</f>
        <v>765323273</v>
      </c>
      <c r="M8402" t="s">
        <v>75</v>
      </c>
      <c r="N8402" s="1">
        <v>42872.849305555559</v>
      </c>
      <c r="O8402" t="s">
        <v>19</v>
      </c>
    </row>
    <row r="8403" spans="1:15" x14ac:dyDescent="0.25">
      <c r="A8403" t="s">
        <v>5711</v>
      </c>
      <c r="B8403" t="s">
        <v>15</v>
      </c>
      <c r="C8403" t="s">
        <v>25</v>
      </c>
      <c r="D8403" t="s">
        <v>17</v>
      </c>
      <c r="E8403" t="s">
        <v>18</v>
      </c>
      <c r="F8403" t="s">
        <v>19</v>
      </c>
      <c r="G8403" t="s">
        <v>20</v>
      </c>
      <c r="J8403" t="s">
        <v>17</v>
      </c>
      <c r="K8403" t="str">
        <f>"345318273"</f>
        <v>345318273</v>
      </c>
      <c r="L8403" t="str">
        <f>"345318273"</f>
        <v>345318273</v>
      </c>
      <c r="M8403" t="s">
        <v>75</v>
      </c>
      <c r="N8403" s="1">
        <v>42872.849305555559</v>
      </c>
      <c r="O8403" t="s">
        <v>19</v>
      </c>
    </row>
    <row r="8404" spans="1:15" x14ac:dyDescent="0.25">
      <c r="A8404" t="s">
        <v>5711</v>
      </c>
      <c r="B8404" t="s">
        <v>15</v>
      </c>
      <c r="C8404" t="s">
        <v>25</v>
      </c>
      <c r="D8404" t="s">
        <v>17</v>
      </c>
      <c r="E8404" t="s">
        <v>18</v>
      </c>
      <c r="F8404" t="s">
        <v>19</v>
      </c>
      <c r="G8404" t="s">
        <v>20</v>
      </c>
      <c r="J8404" t="s">
        <v>17</v>
      </c>
      <c r="K8404" t="str">
        <f>"765318273"</f>
        <v>765318273</v>
      </c>
      <c r="L8404" t="str">
        <f>"765318273"</f>
        <v>765318273</v>
      </c>
      <c r="M8404" t="s">
        <v>75</v>
      </c>
      <c r="N8404" s="1">
        <v>42872.849305555559</v>
      </c>
      <c r="O8404" t="s">
        <v>19</v>
      </c>
    </row>
    <row r="8405" spans="1:15" x14ac:dyDescent="0.25">
      <c r="A8405" t="s">
        <v>5712</v>
      </c>
      <c r="B8405" t="s">
        <v>15</v>
      </c>
      <c r="C8405" t="s">
        <v>25</v>
      </c>
      <c r="D8405" t="s">
        <v>17</v>
      </c>
      <c r="E8405" t="s">
        <v>18</v>
      </c>
      <c r="F8405" t="s">
        <v>19</v>
      </c>
      <c r="G8405" t="s">
        <v>20</v>
      </c>
      <c r="J8405" t="s">
        <v>17</v>
      </c>
      <c r="K8405" t="str">
        <f>"76330291"</f>
        <v>76330291</v>
      </c>
      <c r="L8405" t="str">
        <f>"76330291"</f>
        <v>76330291</v>
      </c>
      <c r="M8405" t="s">
        <v>21</v>
      </c>
      <c r="N8405" s="1">
        <v>43005.931250000001</v>
      </c>
      <c r="O8405" t="s">
        <v>33</v>
      </c>
    </row>
    <row r="8406" spans="1:15" x14ac:dyDescent="0.25">
      <c r="A8406" t="s">
        <v>5713</v>
      </c>
      <c r="B8406" t="s">
        <v>15</v>
      </c>
      <c r="C8406" t="s">
        <v>37</v>
      </c>
      <c r="D8406" t="s">
        <v>17</v>
      </c>
      <c r="E8406" t="s">
        <v>18</v>
      </c>
      <c r="F8406" t="s">
        <v>19</v>
      </c>
      <c r="G8406" t="s">
        <v>20</v>
      </c>
      <c r="J8406" t="s">
        <v>17</v>
      </c>
      <c r="K8406" t="str">
        <f>"6925871670043"</f>
        <v>6925871670043</v>
      </c>
      <c r="L8406" t="str">
        <f>"22527004"</f>
        <v>22527004</v>
      </c>
      <c r="M8406" t="s">
        <v>21</v>
      </c>
      <c r="N8406" s="1">
        <v>43687.85</v>
      </c>
      <c r="O8406" t="s">
        <v>19</v>
      </c>
    </row>
    <row r="8407" spans="1:15" x14ac:dyDescent="0.25">
      <c r="A8407" t="s">
        <v>5714</v>
      </c>
      <c r="B8407" t="s">
        <v>15</v>
      </c>
      <c r="C8407" t="s">
        <v>37</v>
      </c>
      <c r="D8407" t="s">
        <v>17</v>
      </c>
      <c r="E8407" t="s">
        <v>18</v>
      </c>
      <c r="F8407" t="s">
        <v>19</v>
      </c>
      <c r="G8407" t="s">
        <v>20</v>
      </c>
      <c r="J8407" t="s">
        <v>17</v>
      </c>
      <c r="K8407" t="str">
        <f>"87010250"</f>
        <v>87010250</v>
      </c>
      <c r="L8407" t="str">
        <f>"87010250"</f>
        <v>87010250</v>
      </c>
      <c r="M8407" t="s">
        <v>75</v>
      </c>
      <c r="N8407" s="1">
        <v>42872.847222222219</v>
      </c>
      <c r="O8407" t="s">
        <v>19</v>
      </c>
    </row>
    <row r="8408" spans="1:15" x14ac:dyDescent="0.25">
      <c r="A8408" t="s">
        <v>5715</v>
      </c>
      <c r="B8408" t="s">
        <v>15</v>
      </c>
      <c r="C8408" t="s">
        <v>37</v>
      </c>
      <c r="D8408" t="s">
        <v>17</v>
      </c>
      <c r="E8408" t="s">
        <v>18</v>
      </c>
      <c r="F8408" t="s">
        <v>19</v>
      </c>
      <c r="G8408" t="s">
        <v>20</v>
      </c>
      <c r="J8408" t="s">
        <v>17</v>
      </c>
      <c r="K8408" t="str">
        <f>"7858816038280"</f>
        <v>7858816038280</v>
      </c>
      <c r="L8408" t="str">
        <f>"87528280"</f>
        <v>87528280</v>
      </c>
      <c r="M8408" t="s">
        <v>75</v>
      </c>
      <c r="N8408" s="1">
        <v>43125.957638888889</v>
      </c>
      <c r="O8408" t="s">
        <v>19</v>
      </c>
    </row>
    <row r="8409" spans="1:15" x14ac:dyDescent="0.25">
      <c r="A8409" t="s">
        <v>5716</v>
      </c>
      <c r="B8409" t="s">
        <v>15</v>
      </c>
      <c r="C8409" t="s">
        <v>217</v>
      </c>
      <c r="D8409" t="s">
        <v>17</v>
      </c>
      <c r="E8409" t="s">
        <v>18</v>
      </c>
      <c r="F8409" t="s">
        <v>19</v>
      </c>
      <c r="G8409" t="s">
        <v>20</v>
      </c>
      <c r="J8409" t="s">
        <v>17</v>
      </c>
      <c r="K8409" t="str">
        <f>"10004129"</f>
        <v>10004129</v>
      </c>
      <c r="L8409" t="str">
        <f>"10004129"</f>
        <v>10004129</v>
      </c>
      <c r="M8409" t="s">
        <v>84</v>
      </c>
      <c r="N8409" s="1">
        <v>43510.676388888889</v>
      </c>
      <c r="O8409" t="s">
        <v>19</v>
      </c>
    </row>
    <row r="8410" spans="1:15" x14ac:dyDescent="0.25">
      <c r="A8410" t="s">
        <v>5717</v>
      </c>
      <c r="B8410" t="s">
        <v>15</v>
      </c>
      <c r="C8410" t="s">
        <v>37</v>
      </c>
      <c r="D8410" t="s">
        <v>17</v>
      </c>
      <c r="E8410" t="s">
        <v>18</v>
      </c>
      <c r="F8410" t="s">
        <v>19</v>
      </c>
      <c r="G8410" t="s">
        <v>20</v>
      </c>
      <c r="J8410" t="s">
        <v>17</v>
      </c>
      <c r="K8410" t="str">
        <f>"1825381716352"</f>
        <v>1825381716352</v>
      </c>
      <c r="L8410" t="str">
        <f>"96071635"</f>
        <v>96071635</v>
      </c>
      <c r="M8410" t="s">
        <v>21</v>
      </c>
      <c r="N8410" s="1">
        <v>43854.823611111111</v>
      </c>
      <c r="O84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productExport_3f29e52ad3d5cb88e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2021-09-28T16:44:52Z</dcterms:created>
  <dcterms:modified xsi:type="dcterms:W3CDTF">2021-09-28T16:44:52Z</dcterms:modified>
</cp:coreProperties>
</file>